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ase" sheetId="1" r:id="rId3"/>
  </sheets>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5">
    <font>
      <sz val="10.0"/>
      <color rgb="FF000000"/>
      <name val="Arial"/>
    </font>
    <font/>
    <font>
      <u/>
      <color rgb="FF0000FF"/>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wrapText="0"/>
    </xf>
    <xf borderId="0" fillId="0" fontId="2" numFmtId="0" xfId="0" applyAlignment="1" applyFont="1">
      <alignment shrinkToFit="0" wrapText="0"/>
    </xf>
    <xf borderId="0" fillId="0" fontId="3" numFmtId="0" xfId="0" applyFont="1"/>
    <xf borderId="0" fillId="0" fontId="4" numFmtId="164"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s://tnsr.org/2021/06/debunking-the-ai-arms-race-theory/" TargetMode="External"/><Relationship Id="rId391" Type="http://schemas.openxmlformats.org/officeDocument/2006/relationships/hyperlink" Target="https://mailchi.mp/da3c3152e561/an-156the-scaling-hypothesis-a-plan-for-building-agi" TargetMode="External"/><Relationship Id="rId390" Type="http://schemas.openxmlformats.org/officeDocument/2006/relationships/hyperlink" Target="https://www.mdpi.com/2078-2489/12/7/275" TargetMode="External"/><Relationship Id="rId2180" Type="http://schemas.openxmlformats.org/officeDocument/2006/relationships/hyperlink" Target="https://www.alignmentforum.org/posts/X7S3u5E4KktLp7gHz/tessellating-hills-a-toy-model-for-demons-in-imperfect" TargetMode="External"/><Relationship Id="rId2181" Type="http://schemas.openxmlformats.org/officeDocument/2006/relationships/hyperlink" Target="https://mailchi.mp/0180cf9ba264/an-90how-search-landscapes-can-contain-self-reinforcing-feedback-loops" TargetMode="External"/><Relationship Id="rId2182" Type="http://schemas.openxmlformats.org/officeDocument/2006/relationships/hyperlink" Target="https://www.alignmentforum.org/posts/2GycxikGnepJbxfHT/towards-an-empirical-investigation-of-inner-alignment" TargetMode="External"/><Relationship Id="rId2183" Type="http://schemas.openxmlformats.org/officeDocument/2006/relationships/hyperlink" Target="https://mailchi.mp/38af1edcd025/an-67creating-environments-in-which-to-study-inner-alignment-failures" TargetMode="External"/><Relationship Id="rId385" Type="http://schemas.openxmlformats.org/officeDocument/2006/relationships/hyperlink" Target="https://mailchi.mp/0634a39158ce/an-168-four-technical-topics-for-which-open-phil-is-soliciting-grant-proposals" TargetMode="External"/><Relationship Id="rId2184" Type="http://schemas.openxmlformats.org/officeDocument/2006/relationships/hyperlink" Target="https://www.alignmentforum.org/posts/AFdRGfYDWQqmkdhFq/a-simple-environment-for-showing-mesa-misalignment" TargetMode="External"/><Relationship Id="rId384" Type="http://schemas.openxmlformats.org/officeDocument/2006/relationships/hyperlink" Target="https://arxiv.org/abs/2110.06674" TargetMode="External"/><Relationship Id="rId2185" Type="http://schemas.openxmlformats.org/officeDocument/2006/relationships/hyperlink" Target="https://mailchi.mp/38af1edcd025/an-67creating-environments-in-which-to-study-inner-alignment-failures" TargetMode="External"/><Relationship Id="rId383" Type="http://schemas.openxmlformats.org/officeDocument/2006/relationships/hyperlink" Target="https://mailchi.mp/df2e472140b6/alignment-newsletter-28" TargetMode="External"/><Relationship Id="rId2186" Type="http://schemas.openxmlformats.org/officeDocument/2006/relationships/hyperlink" Target="https://www.alignmentforum.org/posts/2mhFMgtAjFJesaSYR/2-d-robustness" TargetMode="External"/><Relationship Id="rId382" Type="http://schemas.openxmlformats.org/officeDocument/2006/relationships/hyperlink" Target="https://www.effectivealtruism.org/articles/ea-global-2018-the-future-of-surveillance/" TargetMode="External"/><Relationship Id="rId2187" Type="http://schemas.openxmlformats.org/officeDocument/2006/relationships/hyperlink" Target="https://mailchi.mp/c8ea4a5e842f/an-66-decomposing-robustness-into-capability-robustness-and-alignment-robustness" TargetMode="External"/><Relationship Id="rId389" Type="http://schemas.openxmlformats.org/officeDocument/2006/relationships/hyperlink" Target="https://mailchi.mp/bea92b186ef9/an-157-measuring-misalignment-in-the-technology-underlying-copilot" TargetMode="External"/><Relationship Id="rId2188" Type="http://schemas.openxmlformats.org/officeDocument/2006/relationships/hyperlink" Target="https://arxiv.org/abs/1906.01820" TargetMode="External"/><Relationship Id="rId388" Type="http://schemas.openxmlformats.org/officeDocument/2006/relationships/hyperlink" Target="https://forum.effectivealtruism.org/posts/M2SBwctwC6vBqAmZW/a-personal-take-on-longtermist-ai-governance" TargetMode="External"/><Relationship Id="rId2189" Type="http://schemas.openxmlformats.org/officeDocument/2006/relationships/hyperlink" Target="https://mailchi.mp/92b3a9458c2d/an-58-mesa-optimization-what-it-is-and-why-we-should-care" TargetMode="External"/><Relationship Id="rId387" Type="http://schemas.openxmlformats.org/officeDocument/2006/relationships/hyperlink" Target="https://mailchi.mp/7f4d6ceb2ac4/an-158-should-we-be-optimistic-about-generalization" TargetMode="External"/><Relationship Id="rId386" Type="http://schemas.openxmlformats.org/officeDocument/2006/relationships/hyperlink" Target="https://www.alignmentforum.org/posts/7jSvfeyh8ogu8GcE6/decoupling-deliberation-from-competition" TargetMode="External"/><Relationship Id="rId381" Type="http://schemas.openxmlformats.org/officeDocument/2006/relationships/hyperlink" Target="https://mailchi.mp/8f5d302499be/alignment-newsletter-32" TargetMode="External"/><Relationship Id="rId380" Type="http://schemas.openxmlformats.org/officeDocument/2006/relationships/hyperlink" Target="https://nickbostrom.com/papers/vulnerable.pdf" TargetMode="External"/><Relationship Id="rId379" Type="http://schemas.openxmlformats.org/officeDocument/2006/relationships/hyperlink" Target="https://www.fhi.ox.ac.uk/wp-content/uploads/Racing-to-the-precipice-a-model-of-artificial-intelligence-development.pdf" TargetMode="External"/><Relationship Id="rId2170" Type="http://schemas.openxmlformats.org/officeDocument/2006/relationships/hyperlink" Target="https://mailchi.mp/b6dc636f6a1b/alignment-newsletter-33" TargetMode="External"/><Relationship Id="rId2171" Type="http://schemas.openxmlformats.org/officeDocument/2006/relationships/hyperlink" Target="https://arxiv.org/abs/2107.07002" TargetMode="External"/><Relationship Id="rId2172" Type="http://schemas.openxmlformats.org/officeDocument/2006/relationships/hyperlink" Target="https://mailchi.mp/2121f5135173/an-160-building-ais-that-learn-and-think-like-people" TargetMode="External"/><Relationship Id="rId374" Type="http://schemas.openxmlformats.org/officeDocument/2006/relationships/hyperlink" Target="https://mailchi.mp/036ba834bcaf/alignment-newsletter-39" TargetMode="External"/><Relationship Id="rId2173" Type="http://schemas.openxmlformats.org/officeDocument/2006/relationships/hyperlink" Target="https://web.math.princeton.edu/~rvan/tri201106.pdf" TargetMode="External"/><Relationship Id="rId373" Type="http://schemas.openxmlformats.org/officeDocument/2006/relationships/hyperlink" Target="https://ainowinstitute.org/AI_Now_2018_Report.pdf" TargetMode="External"/><Relationship Id="rId2174" Type="http://schemas.openxmlformats.org/officeDocument/2006/relationships/hyperlink" Target="https://arxiv.org/abs/1804.06458" TargetMode="External"/><Relationship Id="rId372" Type="http://schemas.openxmlformats.org/officeDocument/2006/relationships/hyperlink" Target="https://mailchi.mp/036ba834bcaf/alignment-newsletter-39" TargetMode="External"/><Relationship Id="rId2175" Type="http://schemas.openxmlformats.org/officeDocument/2006/relationships/hyperlink" Target="https://mailchi.mp/e6a23da2760e/alignment-newsletter-3?e=f665c7b50a" TargetMode="External"/><Relationship Id="rId371" Type="http://schemas.openxmlformats.org/officeDocument/2006/relationships/hyperlink" Target="http://cdn.aiindex.org/2018/AI%20Index%202018%20Annual%20Report.pdf" TargetMode="External"/><Relationship Id="rId2176" Type="http://schemas.openxmlformats.org/officeDocument/2006/relationships/hyperlink" Target="https://medium.com/tensorflow/introducing-tensorflow-probability-dca4c304e245" TargetMode="External"/><Relationship Id="rId378" Type="http://schemas.openxmlformats.org/officeDocument/2006/relationships/hyperlink" Target="https://mailchi.mp/b6dc636f6a1b/alignment-newsletter-33" TargetMode="External"/><Relationship Id="rId2177" Type="http://schemas.openxmlformats.org/officeDocument/2006/relationships/hyperlink" Target="https://mailchi.mp/e6a23da2760e/alignment-newsletter-3?e=f665c7b50a" TargetMode="External"/><Relationship Id="rId377" Type="http://schemas.openxmlformats.org/officeDocument/2006/relationships/hyperlink" Target="https://www.lesswrong.com/posts/bkG4qj9BFEkNva3EX/ai-development-incentive-gradients-are-not-uniformly" TargetMode="External"/><Relationship Id="rId2178" Type="http://schemas.openxmlformats.org/officeDocument/2006/relationships/hyperlink" Target="https://www.alignmentforum.org/posts/KnPN7ett8RszE79PH/demons-in-imperfect-search" TargetMode="External"/><Relationship Id="rId376" Type="http://schemas.openxmlformats.org/officeDocument/2006/relationships/hyperlink" Target="https://mailchi.mp/f1947668b183/alignment-newsletter-34" TargetMode="External"/><Relationship Id="rId2179" Type="http://schemas.openxmlformats.org/officeDocument/2006/relationships/hyperlink" Target="https://mailchi.mp/0180cf9ba264/an-90how-search-landscapes-can-contain-self-reinforcing-feedback-loops" TargetMode="External"/><Relationship Id="rId375" Type="http://schemas.openxmlformats.org/officeDocument/2006/relationships/hyperlink" Target="https://intelligence.org/2018/11/22/2018-update-our-new-research-directions/" TargetMode="External"/><Relationship Id="rId2190" Type="http://schemas.openxmlformats.org/officeDocument/2006/relationships/hyperlink" Target="https://www.alignmentforum.org/s/r9tYkB2a8Fp4DN8yB" TargetMode="External"/><Relationship Id="rId2191" Type="http://schemas.openxmlformats.org/officeDocument/2006/relationships/hyperlink" Target="https://www.alignmentforum.org/posts/iJDmL7HJtN5CYKReM/empirical-observations-of-objective-robustness-failures" TargetMode="External"/><Relationship Id="rId2192" Type="http://schemas.openxmlformats.org/officeDocument/2006/relationships/hyperlink" Target="https://mailchi.mp/54987353654b/an-153experiments-that-demonstrate-failures-of-objective-robustness" TargetMode="External"/><Relationship Id="rId2193" Type="http://schemas.openxmlformats.org/officeDocument/2006/relationships/hyperlink" Target="https://arxiv.org/abs/2105.14111" TargetMode="External"/><Relationship Id="rId2194" Type="http://schemas.openxmlformats.org/officeDocument/2006/relationships/hyperlink" Target="https://www.alignmentforum.org/posts/ynt9TD6PrYw6iT49m/malign-generalization-without-internal-search" TargetMode="External"/><Relationship Id="rId396" Type="http://schemas.openxmlformats.org/officeDocument/2006/relationships/hyperlink" Target="https://www.fhi.ox.ac.uk/wp-content/uploads/2021/03/International-Control-of-Powerful-Technology-Lessons-from-the-Baruch-Plan-Zaidi-Dafoe-2021.pdf" TargetMode="External"/><Relationship Id="rId2195" Type="http://schemas.openxmlformats.org/officeDocument/2006/relationships/hyperlink" Target="https://mailchi.mp/ff565f097630/an-83-sample-efficient-deep-learning-with-remixmatch" TargetMode="External"/><Relationship Id="rId395" Type="http://schemas.openxmlformats.org/officeDocument/2006/relationships/hyperlink" Target="https://mailchi.mp/79ac4ef6d9da/an-154what-economic-growth-theory-has-to-say-about-transformative-ai" TargetMode="External"/><Relationship Id="rId2196" Type="http://schemas.openxmlformats.org/officeDocument/2006/relationships/hyperlink" Target="https://www.alignmentforum.org/posts/9Dy5YRaoCxH9zuJqa/relaxed-adversarial-training-for-inner-alignment" TargetMode="External"/><Relationship Id="rId394" Type="http://schemas.openxmlformats.org/officeDocument/2006/relationships/hyperlink" Target="https://cset.georgetown.edu/publication/truth-lies-and-automation/" TargetMode="External"/><Relationship Id="rId2197" Type="http://schemas.openxmlformats.org/officeDocument/2006/relationships/hyperlink" Target="https://mailchi.mp/732eaa192df0/an-70-agents-that-help-humans-who-are-still-learning-about-their-own-preferences" TargetMode="External"/><Relationship Id="rId393" Type="http://schemas.openxmlformats.org/officeDocument/2006/relationships/hyperlink" Target="https://mailchi.mp/aa6782968981/an-155a-minecraft-benchmark-for-algorithms-that-learn-without-reward-functions" TargetMode="External"/><Relationship Id="rId2198" Type="http://schemas.openxmlformats.org/officeDocument/2006/relationships/hyperlink" Target="https://www.alignmentforum.org/posts/uSdPa9nrSgmXCtdKN/concrete-experiments-in-inner-alignment" TargetMode="External"/><Relationship Id="rId2199" Type="http://schemas.openxmlformats.org/officeDocument/2006/relationships/hyperlink" Target="https://www.alignmentforum.org/posts/bG4PR9uSsZqHg2gYY/utility-reward" TargetMode="External"/><Relationship Id="rId399" Type="http://schemas.openxmlformats.org/officeDocument/2006/relationships/hyperlink" Target="https://mailchi.mp/93d2051b7d70/an-141the-case-for-practicing-alignment-work-on-gpt-3-and-other-large-models" TargetMode="External"/><Relationship Id="rId398" Type="http://schemas.openxmlformats.org/officeDocument/2006/relationships/hyperlink" Target="https://reports.nscai.gov/final-report/table-of-contents/" TargetMode="External"/><Relationship Id="rId397" Type="http://schemas.openxmlformats.org/officeDocument/2006/relationships/hyperlink" Target="https://mailchi.mp/3bb663155a8e/an-150the-subtypes-of-cooperative-ai-research" TargetMode="External"/><Relationship Id="rId1730" Type="http://schemas.openxmlformats.org/officeDocument/2006/relationships/hyperlink" Target="https://arxiv.org/abs/1907.09273" TargetMode="External"/><Relationship Id="rId1731" Type="http://schemas.openxmlformats.org/officeDocument/2006/relationships/hyperlink" Target="https://mailchi.mp/0dd8eb63fe2d/an-60a-new-ai-challenge-minecraft-agents-that-assist-human-players-in-creative-mode" TargetMode="External"/><Relationship Id="rId1732" Type="http://schemas.openxmlformats.org/officeDocument/2006/relationships/hyperlink" Target="https://research.fb.com/wp-content/uploads/2019/07/CraftAssist-A-Framework-for-Dialogue-enabled-Interactive-Agents-v3.pdf" TargetMode="External"/><Relationship Id="rId1733" Type="http://schemas.openxmlformats.org/officeDocument/2006/relationships/hyperlink" Target="https://www.alignmentforum.org/posts/BKjJJH2cRpJcAnP7T/thoughts-on-human-models" TargetMode="External"/><Relationship Id="rId1734" Type="http://schemas.openxmlformats.org/officeDocument/2006/relationships/hyperlink" Target="https://mailchi.mp/1e757d9b05cb/alignment-newsletter-52" TargetMode="External"/><Relationship Id="rId1735" Type="http://schemas.openxmlformats.org/officeDocument/2006/relationships/hyperlink" Target="https://arxiv.org/abs/1804.09160" TargetMode="External"/><Relationship Id="rId1736" Type="http://schemas.openxmlformats.org/officeDocument/2006/relationships/hyperlink" Target="https://mailchi.mp/0ae5d69de63b/alignment-newsletter-5" TargetMode="External"/><Relationship Id="rId1737" Type="http://schemas.openxmlformats.org/officeDocument/2006/relationships/hyperlink" Target="https://bair.berkeley.edu/blog/2019/02/11/learning_preferences/" TargetMode="External"/><Relationship Id="rId1738" Type="http://schemas.openxmlformats.org/officeDocument/2006/relationships/hyperlink" Target="https://mailchi.mp/35b451cb4d70/alignment-newsletter-45" TargetMode="External"/><Relationship Id="rId1739" Type="http://schemas.openxmlformats.org/officeDocument/2006/relationships/hyperlink" Target="https://arxiv.org/abs/1902.04198" TargetMode="External"/><Relationship Id="rId1720" Type="http://schemas.openxmlformats.org/officeDocument/2006/relationships/hyperlink" Target="https://mailchi.mp/732eaa192df0/an-70-agents-that-help-humans-who-are-still-learning-about-their-own-preferences" TargetMode="External"/><Relationship Id="rId1721" Type="http://schemas.openxmlformats.org/officeDocument/2006/relationships/hyperlink" Target="https://arxiv.org/abs/1606.03137" TargetMode="External"/><Relationship Id="rId1722" Type="http://schemas.openxmlformats.org/officeDocument/2006/relationships/hyperlink" Target="https://mailchi.mp/59ddebcb3b9a/an-69-stuart-russells-new-book-on-why-we-need-to-replace-the-standard-model-of-ai" TargetMode="External"/><Relationship Id="rId1723" Type="http://schemas.openxmlformats.org/officeDocument/2006/relationships/hyperlink" Target="https://bair.berkeley.edu/blog/2017/08/17/cooperatively-learning-human-values/" TargetMode="External"/><Relationship Id="rId1724" Type="http://schemas.openxmlformats.org/officeDocument/2006/relationships/hyperlink" Target="https://arxiv.org/abs/1611.08219" TargetMode="External"/><Relationship Id="rId1725" Type="http://schemas.openxmlformats.org/officeDocument/2006/relationships/hyperlink" Target="https://mailchi.mp/59ddebcb3b9a/an-69-stuart-russells-new-book-on-why-we-need-to-replace-the-standard-model-of-ai" TargetMode="External"/><Relationship Id="rId1726" Type="http://schemas.openxmlformats.org/officeDocument/2006/relationships/hyperlink" Target="https://arxiv.org/abs/1711.02827" TargetMode="External"/><Relationship Id="rId1727" Type="http://schemas.openxmlformats.org/officeDocument/2006/relationships/hyperlink" Target="https://mailchi.mp/59ddebcb3b9a/an-69-stuart-russells-new-book-on-why-we-need-to-replace-the-standard-model-of-ai" TargetMode="External"/><Relationship Id="rId1728" Type="http://schemas.openxmlformats.org/officeDocument/2006/relationships/hyperlink" Target="https://interactive-learning.github.io" TargetMode="External"/><Relationship Id="rId1729" Type="http://schemas.openxmlformats.org/officeDocument/2006/relationships/hyperlink" Target="https://mailchi.mp/0b74c28413c0/an-64-using-deep-rl-and-reward-uncertainty-to-incentivize-preference-learning" TargetMode="External"/><Relationship Id="rId1752" Type="http://schemas.openxmlformats.org/officeDocument/2006/relationships/hyperlink" Target="http://arxiv.org/abs/1810.06544" TargetMode="External"/><Relationship Id="rId1753" Type="http://schemas.openxmlformats.org/officeDocument/2006/relationships/hyperlink" Target="https://mailchi.mp/cfec6a0f6e73/alignment-newsletter-29" TargetMode="External"/><Relationship Id="rId1754" Type="http://schemas.openxmlformats.org/officeDocument/2006/relationships/hyperlink" Target="https://sites.google.com/view/dvd-human-videos" TargetMode="External"/><Relationship Id="rId1755" Type="http://schemas.openxmlformats.org/officeDocument/2006/relationships/hyperlink" Target="https://mailchi.mp/24cc937b2489/an-161creating-generalizable-reward-functions-for-multiple-tasks-by-learning-a-model-of-functional-similarity" TargetMode="External"/><Relationship Id="rId1756" Type="http://schemas.openxmlformats.org/officeDocument/2006/relationships/hyperlink" Target="https://arxiv.org/abs/2103.16817" TargetMode="External"/><Relationship Id="rId1757" Type="http://schemas.openxmlformats.org/officeDocument/2006/relationships/hyperlink" Target="https://bair.berkeley.edu/blog/2021/07/08/basalt/" TargetMode="External"/><Relationship Id="rId1758" Type="http://schemas.openxmlformats.org/officeDocument/2006/relationships/hyperlink" Target="https://mailchi.mp/aa6782968981/an-155a-minecraft-benchmark-for-algorithms-that-learn-without-reward-functions" TargetMode="External"/><Relationship Id="rId1759" Type="http://schemas.openxmlformats.org/officeDocument/2006/relationships/hyperlink" Target="https://arxiv.org/abs/2107.01969" TargetMode="External"/><Relationship Id="rId1750" Type="http://schemas.openxmlformats.org/officeDocument/2006/relationships/hyperlink" Target="https://arxiv.org/abs/1811.06521" TargetMode="External"/><Relationship Id="rId1751" Type="http://schemas.openxmlformats.org/officeDocument/2006/relationships/hyperlink" Target="https://mailchi.mp/b6dc636f6a1b/alignment-newsletter-33" TargetMode="External"/><Relationship Id="rId1741" Type="http://schemas.openxmlformats.org/officeDocument/2006/relationships/hyperlink" Target="https://mailchi.mp/f6488137d76c/alignment-newsletter-42" TargetMode="External"/><Relationship Id="rId1742" Type="http://schemas.openxmlformats.org/officeDocument/2006/relationships/hyperlink" Target="https://futureoflife.org/2019/01/17/cooperative-inverse-reinforcement-learning-with-dylan-hadfield-menell/" TargetMode="External"/><Relationship Id="rId1743" Type="http://schemas.openxmlformats.org/officeDocument/2006/relationships/hyperlink" Target="https://mailchi.mp/f6488137d76c/alignment-newsletter-42" TargetMode="External"/><Relationship Id="rId1744" Type="http://schemas.openxmlformats.org/officeDocument/2006/relationships/hyperlink" Target="https://www.lesswrong.com/posts/F9vcbEMKW48j4Z6h9/non-consequentialist-cooperation" TargetMode="External"/><Relationship Id="rId1745" Type="http://schemas.openxmlformats.org/officeDocument/2006/relationships/hyperlink" Target="https://mailchi.mp/8c3f02cabccd/alignment-newsletter-41" TargetMode="External"/><Relationship Id="rId1746" Type="http://schemas.openxmlformats.org/officeDocument/2006/relationships/hyperlink" Target="https://www.alignmentforum.org/posts/zvrZi95EHqJPxdgps/why-we-need-a-theory-of-human-values" TargetMode="External"/><Relationship Id="rId1747" Type="http://schemas.openxmlformats.org/officeDocument/2006/relationships/hyperlink" Target="https://mailchi.mp/6751e45fbb48/alignment-newsletter-36" TargetMode="External"/><Relationship Id="rId1748" Type="http://schemas.openxmlformats.org/officeDocument/2006/relationships/hyperlink" Target="https://medium.com/@deepmindsafetyresearch/scalable-agent-alignment-via-reward-modeling-bf4ab06dfd84" TargetMode="External"/><Relationship Id="rId1749" Type="http://schemas.openxmlformats.org/officeDocument/2006/relationships/hyperlink" Target="https://mailchi.mp/f1947668b183/alignment-newsletter-34" TargetMode="External"/><Relationship Id="rId1740" Type="http://schemas.openxmlformats.org/officeDocument/2006/relationships/hyperlink" Target="https://arxiv.org/abs/1901.01291" TargetMode="External"/><Relationship Id="rId1710" Type="http://schemas.openxmlformats.org/officeDocument/2006/relationships/hyperlink" Target="https://mailchi.mp/b6dc636f6a1b/alignment-newsletter-33" TargetMode="External"/><Relationship Id="rId1711" Type="http://schemas.openxmlformats.org/officeDocument/2006/relationships/hyperlink" Target="https://www.alignmentforum.org/posts/4iPBctHSeHx8AkS6Z/the-steering-problem" TargetMode="External"/><Relationship Id="rId1712" Type="http://schemas.openxmlformats.org/officeDocument/2006/relationships/hyperlink" Target="https://mailchi.mp/b6dc636f6a1b/alignment-newsletter-33" TargetMode="External"/><Relationship Id="rId1713" Type="http://schemas.openxmlformats.org/officeDocument/2006/relationships/hyperlink" Target="https://www.alignmentforum.org/posts/HCv2uwgDGf5dyX5y6/preface-to-the-sequence-on-iterated-amplification" TargetMode="External"/><Relationship Id="rId1714" Type="http://schemas.openxmlformats.org/officeDocument/2006/relationships/hyperlink" Target="https://mailchi.mp/8f5d302499be/alignment-newsletter-32" TargetMode="External"/><Relationship Id="rId1715" Type="http://schemas.openxmlformats.org/officeDocument/2006/relationships/hyperlink" Target="https://arxiv.org/abs/2002.04833" TargetMode="External"/><Relationship Id="rId1716" Type="http://schemas.openxmlformats.org/officeDocument/2006/relationships/hyperlink" Target="https://mailchi.mp/76ad355daab7/an-89-a-unifying-formalism-for-preference-learning-algorithms" TargetMode="External"/><Relationship Id="rId1717" Type="http://schemas.openxmlformats.org/officeDocument/2006/relationships/hyperlink" Target="https://arxiv.org/abs/1805.08010" TargetMode="External"/><Relationship Id="rId1718" Type="http://schemas.openxmlformats.org/officeDocument/2006/relationships/hyperlink" Target="https://mailchi.mp/15397ab6f65c/alignment-newsletter-8" TargetMode="External"/><Relationship Id="rId1719" Type="http://schemas.openxmlformats.org/officeDocument/2006/relationships/hyperlink" Target="https://arxiv.org/abs/1901.08654" TargetMode="External"/><Relationship Id="rId1700" Type="http://schemas.openxmlformats.org/officeDocument/2006/relationships/hyperlink" Target="https://mailchi.mp/f1947668b183/alignment-newsletter-34" TargetMode="External"/><Relationship Id="rId1701" Type="http://schemas.openxmlformats.org/officeDocument/2006/relationships/hyperlink" Target="https://www.alignmentforum.org/posts/6x7oExXi32ot6HjJv/approval-directed-bootstrapping" TargetMode="External"/><Relationship Id="rId1702" Type="http://schemas.openxmlformats.org/officeDocument/2006/relationships/hyperlink" Target="https://mailchi.mp/f1947668b183/alignment-newsletter-34" TargetMode="External"/><Relationship Id="rId1703" Type="http://schemas.openxmlformats.org/officeDocument/2006/relationships/hyperlink" Target="https://www.alignmentforum.org/posts/NXqs4nYXaq8q6dTTx/humans-consulting-hch" TargetMode="External"/><Relationship Id="rId1704" Type="http://schemas.openxmlformats.org/officeDocument/2006/relationships/hyperlink" Target="https://mailchi.mp/f1947668b183/alignment-newsletter-34" TargetMode="External"/><Relationship Id="rId1705" Type="http://schemas.openxmlformats.org/officeDocument/2006/relationships/hyperlink" Target="https://www.alignmentforum.org/posts/YTq4X6inEudiHkHDF/prosaic-ai-alignment" TargetMode="External"/><Relationship Id="rId1706" Type="http://schemas.openxmlformats.org/officeDocument/2006/relationships/hyperlink" Target="https://mailchi.mp/f1947668b183/alignment-newsletter-34" TargetMode="External"/><Relationship Id="rId1707" Type="http://schemas.openxmlformats.org/officeDocument/2006/relationships/hyperlink" Target="https://www.alignmentforum.org/posts/ZHXutm7KpoWEj9G2s/an-unaligned-benchmark" TargetMode="External"/><Relationship Id="rId1708" Type="http://schemas.openxmlformats.org/officeDocument/2006/relationships/hyperlink" Target="https://mailchi.mp/b6dc636f6a1b/alignment-newsletter-33" TargetMode="External"/><Relationship Id="rId1709" Type="http://schemas.openxmlformats.org/officeDocument/2006/relationships/hyperlink" Target="https://www.alignmentforum.org/posts/ZeE7EKHTFMBs8eMxn/clarifying-ai-alignment" TargetMode="External"/><Relationship Id="rId40" Type="http://schemas.openxmlformats.org/officeDocument/2006/relationships/hyperlink" Target="http://arxiv.org/abs/1811.03531" TargetMode="External"/><Relationship Id="rId3513" Type="http://schemas.openxmlformats.org/officeDocument/2006/relationships/hyperlink" Target="http://arxiv.org/abs/1810.01222" TargetMode="External"/><Relationship Id="rId3512" Type="http://schemas.openxmlformats.org/officeDocument/2006/relationships/hyperlink" Target="https://mailchi.mp/df2e472140b6/alignment-newsletter-28" TargetMode="External"/><Relationship Id="rId42" Type="http://schemas.openxmlformats.org/officeDocument/2006/relationships/hyperlink" Target="http://arxiv.org/abs/1805.09190" TargetMode="External"/><Relationship Id="rId3515" Type="http://schemas.openxmlformats.org/officeDocument/2006/relationships/hyperlink" Target="http://arxiv.org/abs/1810.00123" TargetMode="External"/><Relationship Id="rId41" Type="http://schemas.openxmlformats.org/officeDocument/2006/relationships/hyperlink" Target="https://mailchi.mp/f1947668b183/alignment-newsletter-34" TargetMode="External"/><Relationship Id="rId3514" Type="http://schemas.openxmlformats.org/officeDocument/2006/relationships/hyperlink" Target="https://mailchi.mp/0212425e5544/alignment-newsletter-27" TargetMode="External"/><Relationship Id="rId44" Type="http://schemas.openxmlformats.org/officeDocument/2006/relationships/hyperlink" Target="https://arxiv.org/abs/1706.06083" TargetMode="External"/><Relationship Id="rId3517" Type="http://schemas.openxmlformats.org/officeDocument/2006/relationships/hyperlink" Target="http://arxiv.org/abs/1809.04506" TargetMode="External"/><Relationship Id="rId43" Type="http://schemas.openxmlformats.org/officeDocument/2006/relationships/hyperlink" Target="https://mailchi.mp/0212425e5544/alignment-newsletter-27" TargetMode="External"/><Relationship Id="rId3516" Type="http://schemas.openxmlformats.org/officeDocument/2006/relationships/hyperlink" Target="https://mailchi.mp/0212425e5544/alignment-newsletter-27" TargetMode="External"/><Relationship Id="rId46" Type="http://schemas.openxmlformats.org/officeDocument/2006/relationships/hyperlink" Target="https://arxiv.org/abs/1807.06732" TargetMode="External"/><Relationship Id="rId3519" Type="http://schemas.openxmlformats.org/officeDocument/2006/relationships/hyperlink" Target="http://arxiv.org/abs/1809.06364" TargetMode="External"/><Relationship Id="rId45" Type="http://schemas.openxmlformats.org/officeDocument/2006/relationships/hyperlink" Target="https://mailchi.mp/0212425e5544/alignment-newsletter-27" TargetMode="External"/><Relationship Id="rId3518" Type="http://schemas.openxmlformats.org/officeDocument/2006/relationships/hyperlink" Target="https://mailchi.mp/0c5eeec28f75/alignment-newsletter-25" TargetMode="External"/><Relationship Id="rId48" Type="http://schemas.openxmlformats.org/officeDocument/2006/relationships/hyperlink" Target="https://stanislavfort.github.io/2021/03/05/OpenAI_CLIP_stickers_and_adversarial_examples.html" TargetMode="External"/><Relationship Id="rId47" Type="http://schemas.openxmlformats.org/officeDocument/2006/relationships/hyperlink" Target="https://mailchi.mp/4b19d2caa5a9/alignment-newsletter-19" TargetMode="External"/><Relationship Id="rId49" Type="http://schemas.openxmlformats.org/officeDocument/2006/relationships/hyperlink" Target="https://mailchi.mp/cbbf94c4c3b7/an-142the-quest-to-understand-a-network-well-enough-to-reimplement-it-by-hand" TargetMode="External"/><Relationship Id="rId3511" Type="http://schemas.openxmlformats.org/officeDocument/2006/relationships/hyperlink" Target="http://bair.berkeley.edu/blog/2018/10/09/sfv/" TargetMode="External"/><Relationship Id="rId3510" Type="http://schemas.openxmlformats.org/officeDocument/2006/relationships/hyperlink" Target="https://mailchi.mp/cfec6a0f6e73/alignment-newsletter-29" TargetMode="External"/><Relationship Id="rId3502" Type="http://schemas.openxmlformats.org/officeDocument/2006/relationships/hyperlink" Target="https://mailchi.mp/8f5d302499be/alignment-newsletter-32" TargetMode="External"/><Relationship Id="rId3501" Type="http://schemas.openxmlformats.org/officeDocument/2006/relationships/hyperlink" Target="http://arxiv.org/abs/1811.01848" TargetMode="External"/><Relationship Id="rId31" Type="http://schemas.openxmlformats.org/officeDocument/2006/relationships/hyperlink" Target="https://mailchi.mp/87c0d944c461/an-68-the-attainable-utility-theory-of-impact" TargetMode="External"/><Relationship Id="rId3504" Type="http://schemas.openxmlformats.org/officeDocument/2006/relationships/hyperlink" Target="https://mailchi.mp/8f5d302499be/alignment-newsletter-32" TargetMode="External"/><Relationship Id="rId30" Type="http://schemas.openxmlformats.org/officeDocument/2006/relationships/hyperlink" Target="http://gradientscience.org/robust_apps/" TargetMode="External"/><Relationship Id="rId3503" Type="http://schemas.openxmlformats.org/officeDocument/2006/relationships/hyperlink" Target="http://arxiv.org/abs/1811.01132" TargetMode="External"/><Relationship Id="rId33" Type="http://schemas.openxmlformats.org/officeDocument/2006/relationships/hyperlink" Target="http://arxiv.org/abs/1907.07174" TargetMode="External"/><Relationship Id="rId3506" Type="http://schemas.openxmlformats.org/officeDocument/2006/relationships/hyperlink" Target="https://mailchi.mp/7d0e3916e3d9/alignment-newsletter-31" TargetMode="External"/><Relationship Id="rId32" Type="http://schemas.openxmlformats.org/officeDocument/2006/relationships/hyperlink" Target="https://arxiv.org/abs/1906.09453" TargetMode="External"/><Relationship Id="rId3505" Type="http://schemas.openxmlformats.org/officeDocument/2006/relationships/hyperlink" Target="http://arxiv.org/abs/1810.09967" TargetMode="External"/><Relationship Id="rId35" Type="http://schemas.openxmlformats.org/officeDocument/2006/relationships/hyperlink" Target="https://openai.com/blog/testing-robustness/" TargetMode="External"/><Relationship Id="rId3508" Type="http://schemas.openxmlformats.org/officeDocument/2006/relationships/hyperlink" Target="https://mailchi.mp/e6a23da2760e/alignment-newsletter-3?e=f665c7b50a" TargetMode="External"/><Relationship Id="rId34" Type="http://schemas.openxmlformats.org/officeDocument/2006/relationships/hyperlink" Target="https://mailchi.mp/0b74c28413c0/an-64-using-deep-rl-and-reward-uncertainty-to-incentivize-preference-learning" TargetMode="External"/><Relationship Id="rId3507" Type="http://schemas.openxmlformats.org/officeDocument/2006/relationships/hyperlink" Target="https://blog.openai.com/evolved-policy-gradients/" TargetMode="External"/><Relationship Id="rId3509" Type="http://schemas.openxmlformats.org/officeDocument/2006/relationships/hyperlink" Target="https://deepmind.com/blog/trfl/" TargetMode="External"/><Relationship Id="rId37" Type="http://schemas.openxmlformats.org/officeDocument/2006/relationships/hyperlink" Target="https://arxiv.org/abs/1908.08016" TargetMode="External"/><Relationship Id="rId36" Type="http://schemas.openxmlformats.org/officeDocument/2006/relationships/hyperlink" Target="https://mailchi.mp/533c646a4b21/an-63how-architecture-search-meta-learning-and-environment-design-could-lead-to-general-intelligence" TargetMode="External"/><Relationship Id="rId39" Type="http://schemas.openxmlformats.org/officeDocument/2006/relationships/hyperlink" Target="https://mailchi.mp/6751e45fbb48/alignment-newsletter-36" TargetMode="External"/><Relationship Id="rId38" Type="http://schemas.openxmlformats.org/officeDocument/2006/relationships/hyperlink" Target="https://arxiv.org/abs/1811.00525" TargetMode="External"/><Relationship Id="rId3500" Type="http://schemas.openxmlformats.org/officeDocument/2006/relationships/hyperlink" Target="https://mailchi.mp/b6dc636f6a1b/alignment-newsletter-33" TargetMode="External"/><Relationship Id="rId2203" Type="http://schemas.openxmlformats.org/officeDocument/2006/relationships/hyperlink" Target="https://www.youtube.com/watch?v=bJLcIBixGj8" TargetMode="External"/><Relationship Id="rId3535" Type="http://schemas.openxmlformats.org/officeDocument/2006/relationships/hyperlink" Target="https://david-abel.github.io/blog/posts/misc/icml_2018.pdf" TargetMode="External"/><Relationship Id="rId2204" Type="http://schemas.openxmlformats.org/officeDocument/2006/relationships/hyperlink" Target="https://mailchi.mp/9ca67b5f5b72/an-139how-the-simplicity-of-reality-explains-the-success-of-neural-nets" TargetMode="External"/><Relationship Id="rId3534" Type="http://schemas.openxmlformats.org/officeDocument/2006/relationships/hyperlink" Target="https://mailchi.mp/4b19d2caa5a9/alignment-newsletter-19" TargetMode="External"/><Relationship Id="rId20" Type="http://schemas.openxmlformats.org/officeDocument/2006/relationships/hyperlink" Target="https://mailchi.mp/df2e472140b6/alignment-newsletter-28" TargetMode="External"/><Relationship Id="rId2205" Type="http://schemas.openxmlformats.org/officeDocument/2006/relationships/hyperlink" Target="https://www.alignmentforum.org/posts/Tr7tAyt5zZpdTwTQK/the-solomonoff-prior-is-malign" TargetMode="External"/><Relationship Id="rId3537" Type="http://schemas.openxmlformats.org/officeDocument/2006/relationships/hyperlink" Target="http://arxiv.org/abs/1807.09341" TargetMode="External"/><Relationship Id="rId2206" Type="http://schemas.openxmlformats.org/officeDocument/2006/relationships/hyperlink" Target="https://mailchi.mp/051273eb96eb/an-122arguing-for-agi-driven-existential-risk-from-first-principles" TargetMode="External"/><Relationship Id="rId3536" Type="http://schemas.openxmlformats.org/officeDocument/2006/relationships/hyperlink" Target="https://mailchi.mp/4b19d2caa5a9/alignment-newsletter-19" TargetMode="External"/><Relationship Id="rId22" Type="http://schemas.openxmlformats.org/officeDocument/2006/relationships/hyperlink" Target="https://mailchi.mp/d7b5059d64ed/alignment-newsletter-24" TargetMode="External"/><Relationship Id="rId2207" Type="http://schemas.openxmlformats.org/officeDocument/2006/relationships/hyperlink" Target="https://www.alignmentforum.org/posts/AHhCrJ2KpTjsCSwbt/inner-alignment-explain-like-i-m-12-edition" TargetMode="External"/><Relationship Id="rId3539" Type="http://schemas.openxmlformats.org/officeDocument/2006/relationships/hyperlink" Target="http://arxiv.org/abs/1807.08058" TargetMode="External"/><Relationship Id="rId21" Type="http://schemas.openxmlformats.org/officeDocument/2006/relationships/hyperlink" Target="https://ai.googleblog.com/2018/09/introducing-unrestricted-adversarial.html" TargetMode="External"/><Relationship Id="rId2208" Type="http://schemas.openxmlformats.org/officeDocument/2006/relationships/hyperlink" Target="https://mailchi.mp/a5a5ec01e25b/an-111the-circuits-hypotheses-for-deep-learning" TargetMode="External"/><Relationship Id="rId3538" Type="http://schemas.openxmlformats.org/officeDocument/2006/relationships/hyperlink" Target="https://mailchi.mp/51717855ea27/alignment-newsletter-18" TargetMode="External"/><Relationship Id="rId24" Type="http://schemas.openxmlformats.org/officeDocument/2006/relationships/hyperlink" Target="https://mailchi.mp/ff6340049bd0/alignment-newsletter-1" TargetMode="External"/><Relationship Id="rId2209" Type="http://schemas.openxmlformats.org/officeDocument/2006/relationships/hyperlink" Target="https://futureoflife.org/2020/07/01/evan-hubinger-on-inner-alignment-outer-alignment-and-proposals-for-building-safe-advanced-ai/" TargetMode="External"/><Relationship Id="rId23" Type="http://schemas.openxmlformats.org/officeDocument/2006/relationships/hyperlink" Target="https://arxiv.org/abs/1804.00097" TargetMode="External"/><Relationship Id="rId26" Type="http://schemas.openxmlformats.org/officeDocument/2006/relationships/hyperlink" Target="https://mailchi.mp/976b1f69179c/an-93the-precipice-were-standing-at-and-how-we-can-back-away-from-it" TargetMode="External"/><Relationship Id="rId25" Type="http://schemas.openxmlformats.org/officeDocument/2006/relationships/hyperlink" Target="https://bair.berkeley.edu/blog/2020/03/27/attacks/" TargetMode="External"/><Relationship Id="rId28" Type="http://schemas.openxmlformats.org/officeDocument/2006/relationships/hyperlink" Target="https://mailchi.mp/87c0d944c461/an-68-the-attainable-utility-theory-of-impact" TargetMode="External"/><Relationship Id="rId27" Type="http://schemas.openxmlformats.org/officeDocument/2006/relationships/hyperlink" Target="http://gradientscience.org/robust_reps/" TargetMode="External"/><Relationship Id="rId3531" Type="http://schemas.openxmlformats.org/officeDocument/2006/relationships/hyperlink" Target="https://arxiv.org/abs/1804.02808" TargetMode="External"/><Relationship Id="rId29" Type="http://schemas.openxmlformats.org/officeDocument/2006/relationships/hyperlink" Target="https://arxiv.org/abs/1906.00945v2" TargetMode="External"/><Relationship Id="rId2200" Type="http://schemas.openxmlformats.org/officeDocument/2006/relationships/hyperlink" Target="https://mailchi.mp/c8ea4a5e842f/an-66-decomposing-robustness-into-capability-robustness-and-alignment-robustness" TargetMode="External"/><Relationship Id="rId3530" Type="http://schemas.openxmlformats.org/officeDocument/2006/relationships/hyperlink" Target="https://mailchi.mp/5ad3a9643b6b/alignment-newsletter-21" TargetMode="External"/><Relationship Id="rId2201" Type="http://schemas.openxmlformats.org/officeDocument/2006/relationships/hyperlink" Target="https://www.alignmentforum.org/posts/pDaxobbB9FG5Dvqyv/discussion-objective-robustness-and-inner-alignment" TargetMode="External"/><Relationship Id="rId3533" Type="http://schemas.openxmlformats.org/officeDocument/2006/relationships/hyperlink" Target="http://arxiv.org/abs/1808.00928" TargetMode="External"/><Relationship Id="rId2202" Type="http://schemas.openxmlformats.org/officeDocument/2006/relationships/hyperlink" Target="https://mailchi.mp/54987353654b/an-153experiments-that-demonstrate-failures-of-objective-robustness" TargetMode="External"/><Relationship Id="rId3532" Type="http://schemas.openxmlformats.org/officeDocument/2006/relationships/hyperlink" Target="https://mailchi.mp/14782876a85d/alignment-newsletter-2" TargetMode="External"/><Relationship Id="rId3524" Type="http://schemas.openxmlformats.org/officeDocument/2006/relationships/hyperlink" Target="https://mailchi.mp/9295c961b39b/alignment-newsletter-23" TargetMode="External"/><Relationship Id="rId3523" Type="http://schemas.openxmlformats.org/officeDocument/2006/relationships/hyperlink" Target="http://arxiv.org/abs/1808.09105" TargetMode="External"/><Relationship Id="rId3526" Type="http://schemas.openxmlformats.org/officeDocument/2006/relationships/hyperlink" Target="https://mailchi.mp/469203093ca3/alignment-newsletter-22" TargetMode="External"/><Relationship Id="rId3525" Type="http://schemas.openxmlformats.org/officeDocument/2006/relationships/hyperlink" Target="https://ai.googleblog.com/2018/08/introducing-new-framework-for-flexible.html" TargetMode="External"/><Relationship Id="rId11" Type="http://schemas.openxmlformats.org/officeDocument/2006/relationships/hyperlink" Target="https://distill.pub/2019/advex-bugs-discussion/response-3/" TargetMode="External"/><Relationship Id="rId3528" Type="http://schemas.openxmlformats.org/officeDocument/2006/relationships/hyperlink" Target="https://mailchi.mp/469203093ca3/alignment-newsletter-22" TargetMode="External"/><Relationship Id="rId10" Type="http://schemas.openxmlformats.org/officeDocument/2006/relationships/hyperlink" Target="https://mailchi.mp/4a1b3c4249ae/an-62are-adversarial-examples-caused-by-real-but-imperceptible-features" TargetMode="External"/><Relationship Id="rId3527" Type="http://schemas.openxmlformats.org/officeDocument/2006/relationships/hyperlink" Target="https://bair.berkeley.edu/blog/2018/08/31/dexterous-manip/" TargetMode="External"/><Relationship Id="rId13" Type="http://schemas.openxmlformats.org/officeDocument/2006/relationships/hyperlink" Target="https://distill.pub/2019/advex-bugs-discussion/response-4/" TargetMode="External"/><Relationship Id="rId12" Type="http://schemas.openxmlformats.org/officeDocument/2006/relationships/hyperlink" Target="https://mailchi.mp/4a1b3c4249ae/an-62are-adversarial-examples-caused-by-real-but-imperceptible-features" TargetMode="External"/><Relationship Id="rId3529" Type="http://schemas.openxmlformats.org/officeDocument/2006/relationships/hyperlink" Target="https://blog.openai.com/the-international-2018-results/" TargetMode="External"/><Relationship Id="rId15" Type="http://schemas.openxmlformats.org/officeDocument/2006/relationships/hyperlink" Target="https://arxiv.org/abs/1812.03411" TargetMode="External"/><Relationship Id="rId14" Type="http://schemas.openxmlformats.org/officeDocument/2006/relationships/hyperlink" Target="https://mailchi.mp/4a1b3c4249ae/an-62are-adversarial-examples-caused-by-real-but-imperceptible-features" TargetMode="External"/><Relationship Id="rId17" Type="http://schemas.openxmlformats.org/officeDocument/2006/relationships/hyperlink" Target="https://arxiv.org/abs/1805.07894" TargetMode="External"/><Relationship Id="rId16" Type="http://schemas.openxmlformats.org/officeDocument/2006/relationships/hyperlink" Target="https://mailchi.mp/efed27be268a/alignment-newsletter-49" TargetMode="External"/><Relationship Id="rId19" Type="http://schemas.openxmlformats.org/officeDocument/2006/relationships/hyperlink" Target="https://arxiv.org/abs/1807.06732" TargetMode="External"/><Relationship Id="rId3520" Type="http://schemas.openxmlformats.org/officeDocument/2006/relationships/hyperlink" Target="https://mailchi.mp/0c5eeec28f75/alignment-newsletter-25" TargetMode="External"/><Relationship Id="rId18" Type="http://schemas.openxmlformats.org/officeDocument/2006/relationships/hyperlink" Target="https://mailchi.mp/036ba834bcaf/alignment-newsletter-39" TargetMode="External"/><Relationship Id="rId3522" Type="http://schemas.openxmlformats.org/officeDocument/2006/relationships/hyperlink" Target="https://mailchi.mp/9295c961b39b/alignment-newsletter-23" TargetMode="External"/><Relationship Id="rId3521" Type="http://schemas.openxmlformats.org/officeDocument/2006/relationships/hyperlink" Target="http://arxiv.org/abs/1809.02070" TargetMode="External"/><Relationship Id="rId84" Type="http://schemas.openxmlformats.org/officeDocument/2006/relationships/hyperlink" Target="http://arxiv.org/abs/1808.01976" TargetMode="External"/><Relationship Id="rId1774" Type="http://schemas.openxmlformats.org/officeDocument/2006/relationships/hyperlink" Target="https://mailchi.mp/d9e1db727875/an-100what-might-go-wrong-if-you-learn-a-reward-function-while-acting" TargetMode="External"/><Relationship Id="rId83" Type="http://schemas.openxmlformats.org/officeDocument/2006/relationships/hyperlink" Target="https://mailchi.mp/14782876a85d/alignment-newsletter-2" TargetMode="External"/><Relationship Id="rId1775" Type="http://schemas.openxmlformats.org/officeDocument/2006/relationships/hyperlink" Target="https://www.alignmentforum.org/posts/LpjjWDBXr88gzcYK2/learning-and-manipulating-learning" TargetMode="External"/><Relationship Id="rId86" Type="http://schemas.openxmlformats.org/officeDocument/2006/relationships/hyperlink" Target="http://arxiv.org/abs/1807.10272" TargetMode="External"/><Relationship Id="rId1776" Type="http://schemas.openxmlformats.org/officeDocument/2006/relationships/hyperlink" Target="http://arxiv.org/abs/1805.11686" TargetMode="External"/><Relationship Id="rId85" Type="http://schemas.openxmlformats.org/officeDocument/2006/relationships/hyperlink" Target="https://mailchi.mp/4b19d2caa5a9/alignment-newsletter-19" TargetMode="External"/><Relationship Id="rId1777" Type="http://schemas.openxmlformats.org/officeDocument/2006/relationships/hyperlink" Target="https://mailchi.mp/d1a19c140226/alignment-newsletter-10" TargetMode="External"/><Relationship Id="rId88" Type="http://schemas.openxmlformats.org/officeDocument/2006/relationships/hyperlink" Target="http://arxiv.org/abs/1807.01697" TargetMode="External"/><Relationship Id="rId1778" Type="http://schemas.openxmlformats.org/officeDocument/2006/relationships/hyperlink" Target="https://arxiv.org/abs/1503.07619" TargetMode="External"/><Relationship Id="rId87" Type="http://schemas.openxmlformats.org/officeDocument/2006/relationships/hyperlink" Target="https://mailchi.mp/51717855ea27/alignment-newsletter-18" TargetMode="External"/><Relationship Id="rId1779" Type="http://schemas.openxmlformats.org/officeDocument/2006/relationships/hyperlink" Target="https://mailchi.mp/2fbece2a4915/an-98understanding-neural-net-training-by-seeing-which-gradients-were-helpful" TargetMode="External"/><Relationship Id="rId89" Type="http://schemas.openxmlformats.org/officeDocument/2006/relationships/hyperlink" Target="https://mailchi.mp/4920e52dd61b/alignment-newsletter-15" TargetMode="External"/><Relationship Id="rId80" Type="http://schemas.openxmlformats.org/officeDocument/2006/relationships/hyperlink" Target="http://arxiv.org/abs/1809.01829" TargetMode="External"/><Relationship Id="rId82" Type="http://schemas.openxmlformats.org/officeDocument/2006/relationships/hyperlink" Target="https://arxiv.org/abs/1804.02485" TargetMode="External"/><Relationship Id="rId81" Type="http://schemas.openxmlformats.org/officeDocument/2006/relationships/hyperlink" Target="https://mailchi.mp/9295c961b39b/alignment-newsletter-23" TargetMode="External"/><Relationship Id="rId1770" Type="http://schemas.openxmlformats.org/officeDocument/2006/relationships/hyperlink" Target="https://mailchi.mp/60475c277263/an-103-arches-an-agenda-for-existential-safety-and-combining-natural-language-with-deep-rl" TargetMode="External"/><Relationship Id="rId1771" Type="http://schemas.openxmlformats.org/officeDocument/2006/relationships/hyperlink" Target="https://language-play.github.io/" TargetMode="External"/><Relationship Id="rId1772" Type="http://schemas.openxmlformats.org/officeDocument/2006/relationships/hyperlink" Target="https://mailchi.mp/60475c277263/an-103-arches-an-agenda-for-existential-safety-and-combining-natural-language-with-deep-rl" TargetMode="External"/><Relationship Id="rId1773" Type="http://schemas.openxmlformats.org/officeDocument/2006/relationships/hyperlink" Target="http://arxiv.org/abs/2004.13654" TargetMode="External"/><Relationship Id="rId73" Type="http://schemas.openxmlformats.org/officeDocument/2006/relationships/hyperlink" Target="https://mailchi.mp/8f5d302499be/alignment-newsletter-32" TargetMode="External"/><Relationship Id="rId1763" Type="http://schemas.openxmlformats.org/officeDocument/2006/relationships/hyperlink" Target="https://mailchi.mp/474d6a8a4527/an-110-learning-features-from-human-feedback-to-enable-reward-learning" TargetMode="External"/><Relationship Id="rId72" Type="http://schemas.openxmlformats.org/officeDocument/2006/relationships/hyperlink" Target="https://arxiv.org/abs/1808.01688" TargetMode="External"/><Relationship Id="rId1764" Type="http://schemas.openxmlformats.org/officeDocument/2006/relationships/hyperlink" Target="https://arxiv.org/abs/1806.01946" TargetMode="External"/><Relationship Id="rId75" Type="http://schemas.openxmlformats.org/officeDocument/2006/relationships/hyperlink" Target="https://mailchi.mp/8f5d302499be/alignment-newsletter-32" TargetMode="External"/><Relationship Id="rId1765" Type="http://schemas.openxmlformats.org/officeDocument/2006/relationships/hyperlink" Target="https://mailchi.mp/7ad36e25be22/alignment-newsletter-11" TargetMode="External"/><Relationship Id="rId74" Type="http://schemas.openxmlformats.org/officeDocument/2006/relationships/hyperlink" Target="https://arxiv.org/abs/1901.10513" TargetMode="External"/><Relationship Id="rId1766" Type="http://schemas.openxmlformats.org/officeDocument/2006/relationships/hyperlink" Target="https://arxiv.org/abs/2006.13900" TargetMode="External"/><Relationship Id="rId77" Type="http://schemas.openxmlformats.org/officeDocument/2006/relationships/hyperlink" Target="https://mailchi.mp/8f5d302499be/alignment-newsletter-32" TargetMode="External"/><Relationship Id="rId1767" Type="http://schemas.openxmlformats.org/officeDocument/2006/relationships/hyperlink" Target="https://mailchi.mp/dd7dd9157abe/an-106-evaluating-generalization-ability-of-learned-reward-models" TargetMode="External"/><Relationship Id="rId76" Type="http://schemas.openxmlformats.org/officeDocument/2006/relationships/hyperlink" Target="https://arxiv.org/abs/1805.12152" TargetMode="External"/><Relationship Id="rId1768" Type="http://schemas.openxmlformats.org/officeDocument/2006/relationships/hyperlink" Target="https://medium.com/@deepmindsafetyresearch/an-epic-way-to-evaluate-reward-functions-c2c6d41b61cc" TargetMode="External"/><Relationship Id="rId79" Type="http://schemas.openxmlformats.org/officeDocument/2006/relationships/hyperlink" Target="https://mailchi.mp/d7b5059d64ed/alignment-newsletter-24" TargetMode="External"/><Relationship Id="rId1769" Type="http://schemas.openxmlformats.org/officeDocument/2006/relationships/hyperlink" Target="https://arxiv.org/abs/2005.09382" TargetMode="External"/><Relationship Id="rId78" Type="http://schemas.openxmlformats.org/officeDocument/2006/relationships/hyperlink" Target="http://arxiv.org/abs/1809.02104" TargetMode="External"/><Relationship Id="rId71" Type="http://schemas.openxmlformats.org/officeDocument/2006/relationships/hyperlink" Target="https://mailchi.mp/bbd47ba94e84/alignment-newsletter-35" TargetMode="External"/><Relationship Id="rId70" Type="http://schemas.openxmlformats.org/officeDocument/2006/relationships/hyperlink" Target="https://arxiv.org/abs/1811.09716" TargetMode="External"/><Relationship Id="rId1760" Type="http://schemas.openxmlformats.org/officeDocument/2006/relationships/hyperlink" Target="http://bair.berkeley.edu/blog/2018/06/28/daml/" TargetMode="External"/><Relationship Id="rId1761" Type="http://schemas.openxmlformats.org/officeDocument/2006/relationships/hyperlink" Target="https://mailchi.mp/4a4bc2286f53/alignment-newsletter-14" TargetMode="External"/><Relationship Id="rId1762" Type="http://schemas.openxmlformats.org/officeDocument/2006/relationships/hyperlink" Target="https://arxiv.org/abs/2006.13208" TargetMode="External"/><Relationship Id="rId62" Type="http://schemas.openxmlformats.org/officeDocument/2006/relationships/hyperlink" Target="https://arxiv.org/abs/1902.08265" TargetMode="External"/><Relationship Id="rId1796" Type="http://schemas.openxmlformats.org/officeDocument/2006/relationships/hyperlink" Target="https://mailchi.mp/938a7eed18c3/an-71avoiding-reward-tampering-through-current-rf-optimization" TargetMode="External"/><Relationship Id="rId61" Type="http://schemas.openxmlformats.org/officeDocument/2006/relationships/hyperlink" Target="https://mailchi.mp/534f448d6c8b/alignment-newsletter-53" TargetMode="External"/><Relationship Id="rId1797" Type="http://schemas.openxmlformats.org/officeDocument/2006/relationships/hyperlink" Target="https://openai.com/blog/fine-tuning-gpt-2/" TargetMode="External"/><Relationship Id="rId64" Type="http://schemas.openxmlformats.org/officeDocument/2006/relationships/hyperlink" Target="https://arxiv.org/abs/1902.08336" TargetMode="External"/><Relationship Id="rId1798" Type="http://schemas.openxmlformats.org/officeDocument/2006/relationships/hyperlink" Target="https://mailchi.mp/38af1edcd025/an-67creating-environments-in-which-to-study-inner-alignment-failures" TargetMode="External"/><Relationship Id="rId63" Type="http://schemas.openxmlformats.org/officeDocument/2006/relationships/hyperlink" Target="https://mailchi.mp/3091c6e9405c/alignment-newsletter-48" TargetMode="External"/><Relationship Id="rId1799" Type="http://schemas.openxmlformats.org/officeDocument/2006/relationships/hyperlink" Target="https://arxiv.org/abs/1909.08593" TargetMode="External"/><Relationship Id="rId66" Type="http://schemas.openxmlformats.org/officeDocument/2006/relationships/hyperlink" Target="http://arxiv.org/abs/1901.08573" TargetMode="External"/><Relationship Id="rId65" Type="http://schemas.openxmlformats.org/officeDocument/2006/relationships/hyperlink" Target="https://mailchi.mp/3091c6e9405c/alignment-newsletter-48" TargetMode="External"/><Relationship Id="rId68" Type="http://schemas.openxmlformats.org/officeDocument/2006/relationships/hyperlink" Target="https://arxiv.org/abs/1802.01421" TargetMode="External"/><Relationship Id="rId67" Type="http://schemas.openxmlformats.org/officeDocument/2006/relationships/hyperlink" Target="https://mailchi.mp/6bfac400a0c3/alignment-newsletter-44" TargetMode="External"/><Relationship Id="rId60" Type="http://schemas.openxmlformats.org/officeDocument/2006/relationships/hyperlink" Target="https://arxiv.org/abs/1903.10396" TargetMode="External"/><Relationship Id="rId69" Type="http://schemas.openxmlformats.org/officeDocument/2006/relationships/hyperlink" Target="https://mailchi.mp/6751e45fbb48/alignment-newsletter-36" TargetMode="External"/><Relationship Id="rId1790" Type="http://schemas.openxmlformats.org/officeDocument/2006/relationships/hyperlink" Target="https://mailchi.mp/8d9e3703fbde/an-79-recursive-reward-modeling-as-an-alignment-technique-integrated-with-deep-rl" TargetMode="External"/><Relationship Id="rId1791" Type="http://schemas.openxmlformats.org/officeDocument/2006/relationships/hyperlink" Target="https://arxiv.org/abs/1911.00459" TargetMode="External"/><Relationship Id="rId1792" Type="http://schemas.openxmlformats.org/officeDocument/2006/relationships/hyperlink" Target="https://mailchi.mp/eef1d6c95d7c/an-78formalizing-power-and-instrumental-convergence-and-the-end-of-year-ai-safety-charity-comparison" TargetMode="External"/><Relationship Id="rId1793" Type="http://schemas.openxmlformats.org/officeDocument/2006/relationships/hyperlink" Target="https://hrilab.tufts.edu/publications/kasenbergetal18aies.pdf" TargetMode="External"/><Relationship Id="rId1794" Type="http://schemas.openxmlformats.org/officeDocument/2006/relationships/hyperlink" Target="https://mailchi.mp/cac125522aa3/an-72-alignment-robustness-methodology-and-system-building-as-research-priorities-for-ai-safety" TargetMode="External"/><Relationship Id="rId1795" Type="http://schemas.openxmlformats.org/officeDocument/2006/relationships/hyperlink" Target="http://arxiv.org/abs/1909.09906" TargetMode="External"/><Relationship Id="rId51" Type="http://schemas.openxmlformats.org/officeDocument/2006/relationships/hyperlink" Target="https://mailchi.mp/ca80338dad5a/an-136how-well-will-gpt-n-perform-on-downstream-tasks" TargetMode="External"/><Relationship Id="rId1785" Type="http://schemas.openxmlformats.org/officeDocument/2006/relationships/hyperlink" Target="https://mailchi.mp/598f425b1533/an-86-improving-debate-and-factored-cognition-through-human-experiments" TargetMode="External"/><Relationship Id="rId50" Type="http://schemas.openxmlformats.org/officeDocument/2006/relationships/hyperlink" Target="https://stanislavfort.github.io/2021/01/12/OpenAI_CLIP_adversarial_examples.html" TargetMode="External"/><Relationship Id="rId1786" Type="http://schemas.openxmlformats.org/officeDocument/2006/relationships/hyperlink" Target="https://deepmind.com/blog/article/learning-human-objectives-by-evaluating-hypothetical-behaviours" TargetMode="External"/><Relationship Id="rId53" Type="http://schemas.openxmlformats.org/officeDocument/2006/relationships/hyperlink" Target="https://mailchi.mp/073921bbc4b8/an-130-a-new-ai-x-risk-podcast-and-reviews-of-the-field" TargetMode="External"/><Relationship Id="rId1787" Type="http://schemas.openxmlformats.org/officeDocument/2006/relationships/hyperlink" Target="https://mailchi.mp/8d9e3703fbde/an-79-recursive-reward-modeling-as-an-alignment-technique-integrated-with-deep-rl" TargetMode="External"/><Relationship Id="rId52" Type="http://schemas.openxmlformats.org/officeDocument/2006/relationships/hyperlink" Target="https://axrp.net/episode/2020/12/11/episode-1-adversarial-policies-adam-gleave.html" TargetMode="External"/><Relationship Id="rId1788" Type="http://schemas.openxmlformats.org/officeDocument/2006/relationships/hyperlink" Target="https://arxiv.org/abs/1912.05652" TargetMode="External"/><Relationship Id="rId55" Type="http://schemas.openxmlformats.org/officeDocument/2006/relationships/hyperlink" Target="https://arxiv.org/abs/1905.10615" TargetMode="External"/><Relationship Id="rId1789" Type="http://schemas.openxmlformats.org/officeDocument/2006/relationships/hyperlink" Target="https://arxiv.org/abs/1905.11979" TargetMode="External"/><Relationship Id="rId54" Type="http://schemas.openxmlformats.org/officeDocument/2006/relationships/hyperlink" Target="https://arxiv.org/abs/1709.04447" TargetMode="External"/><Relationship Id="rId57" Type="http://schemas.openxmlformats.org/officeDocument/2006/relationships/hyperlink" Target="https://adversarialpolicies.github.io/" TargetMode="External"/><Relationship Id="rId56" Type="http://schemas.openxmlformats.org/officeDocument/2006/relationships/hyperlink" Target="https://mailchi.mp/732eaa192df0/an-70-agents-that-help-humans-who-are-still-learning-about-their-own-preferences" TargetMode="External"/><Relationship Id="rId59" Type="http://schemas.openxmlformats.org/officeDocument/2006/relationships/hyperlink" Target="https://mailchi.mp/c8ea4a5e842f/an-66-decomposing-robustness-into-capability-robustness-and-alignment-robustness" TargetMode="External"/><Relationship Id="rId58" Type="http://schemas.openxmlformats.org/officeDocument/2006/relationships/hyperlink" Target="https://arxiv.org/abs/1906.03973" TargetMode="External"/><Relationship Id="rId1780" Type="http://schemas.openxmlformats.org/officeDocument/2006/relationships/hyperlink" Target="https://arxiv.org/abs/2001.04465" TargetMode="External"/><Relationship Id="rId1781" Type="http://schemas.openxmlformats.org/officeDocument/2006/relationships/hyperlink" Target="https://mailchi.mp/f534bdc85c58/an-96-buck-and-i-discussargue-about-ai-alignment" TargetMode="External"/><Relationship Id="rId1782" Type="http://schemas.openxmlformats.org/officeDocument/2006/relationships/hyperlink" Target="http://arxiv.org/abs/1909.09314" TargetMode="External"/><Relationship Id="rId1783" Type="http://schemas.openxmlformats.org/officeDocument/2006/relationships/hyperlink" Target="https://mailchi.mp/c29b3247da6f/4da2bu7tjd" TargetMode="External"/><Relationship Id="rId1784" Type="http://schemas.openxmlformats.org/officeDocument/2006/relationships/hyperlink" Target="http://arxiv.org/abs/1912.04472" TargetMode="External"/><Relationship Id="rId2269" Type="http://schemas.openxmlformats.org/officeDocument/2006/relationships/hyperlink" Target="https://arxiv.org/abs/2010.11223" TargetMode="External"/><Relationship Id="rId349" Type="http://schemas.openxmlformats.org/officeDocument/2006/relationships/hyperlink" Target="https://mailchi.mp/9d279b575b1a/an-88-how-the-principal-agent-literature-relates-to-ai-risk" TargetMode="External"/><Relationship Id="rId348" Type="http://schemas.openxmlformats.org/officeDocument/2006/relationships/hyperlink" Target="https://www.fhi.ox.ac.uk/windfallclause/" TargetMode="External"/><Relationship Id="rId347" Type="http://schemas.openxmlformats.org/officeDocument/2006/relationships/hyperlink" Target="https://arxiv.org/abs/2004.07213" TargetMode="External"/><Relationship Id="rId346" Type="http://schemas.openxmlformats.org/officeDocument/2006/relationships/hyperlink" Target="https://mailchi.mp/a2b5efbcd3a7/an-97-are-there-historical-examples-of-large-robust-discontinuities" TargetMode="External"/><Relationship Id="rId3591" Type="http://schemas.openxmlformats.org/officeDocument/2006/relationships/hyperlink" Target="https://mailchi.mp/ee62c1c9e331/an-109teaching-neural-nets-to-generalize-the-way-humans-would" TargetMode="External"/><Relationship Id="rId2260" Type="http://schemas.openxmlformats.org/officeDocument/2006/relationships/hyperlink" Target="https://www.shortscience.org/paper?bibtexKey=journals/corr/1905.01320&amp;a=decodyng" TargetMode="External"/><Relationship Id="rId3590" Type="http://schemas.openxmlformats.org/officeDocument/2006/relationships/hyperlink" Target="http://arxiv.org/abs/1910.01741" TargetMode="External"/><Relationship Id="rId341" Type="http://schemas.openxmlformats.org/officeDocument/2006/relationships/hyperlink" Target="https://www.cnas.org/publications/reports/technology-roulette" TargetMode="External"/><Relationship Id="rId2261" Type="http://schemas.openxmlformats.org/officeDocument/2006/relationships/hyperlink" Target="http://arxiv.org/abs/1810.03548" TargetMode="External"/><Relationship Id="rId3593" Type="http://schemas.openxmlformats.org/officeDocument/2006/relationships/hyperlink" Target="https://mailchi.mp/dd7dd9157abe/an-106-evaluating-generalization-ability-of-learned-reward-models" TargetMode="External"/><Relationship Id="rId340" Type="http://schemas.openxmlformats.org/officeDocument/2006/relationships/hyperlink" Target="https://mailchi.mp/7ad36e25be22/alignment-newsletter-11" TargetMode="External"/><Relationship Id="rId2262" Type="http://schemas.openxmlformats.org/officeDocument/2006/relationships/hyperlink" Target="https://mailchi.mp/cfec6a0f6e73/alignment-newsletter-29" TargetMode="External"/><Relationship Id="rId3592" Type="http://schemas.openxmlformats.org/officeDocument/2006/relationships/hyperlink" Target="http://arxiv.org/abs/2006.04635" TargetMode="External"/><Relationship Id="rId2263" Type="http://schemas.openxmlformats.org/officeDocument/2006/relationships/hyperlink" Target="http://arxiv.org/abs/1810.03642" TargetMode="External"/><Relationship Id="rId3595" Type="http://schemas.openxmlformats.org/officeDocument/2006/relationships/hyperlink" Target="https://mailchi.mp/d9e1db727875/an-100what-might-go-wrong-if-you-learn-a-reward-function-while-acting" TargetMode="External"/><Relationship Id="rId2264" Type="http://schemas.openxmlformats.org/officeDocument/2006/relationships/hyperlink" Target="https://mailchi.mp/df2e472140b6/alignment-newsletter-28" TargetMode="External"/><Relationship Id="rId3594" Type="http://schemas.openxmlformats.org/officeDocument/2006/relationships/hyperlink" Target="https://arxiv.org/abs/2001.10208" TargetMode="External"/><Relationship Id="rId345" Type="http://schemas.openxmlformats.org/officeDocument/2006/relationships/hyperlink" Target="https://openai.com/blog/improving-verifiability/" TargetMode="External"/><Relationship Id="rId2265" Type="http://schemas.openxmlformats.org/officeDocument/2006/relationships/hyperlink" Target="https://arxiv.org/abs/1905.03030" TargetMode="External"/><Relationship Id="rId3597" Type="http://schemas.openxmlformats.org/officeDocument/2006/relationships/hyperlink" Target="https://mailchi.mp/ff6340049bd0/alignment-newsletter-1" TargetMode="External"/><Relationship Id="rId344" Type="http://schemas.openxmlformats.org/officeDocument/2006/relationships/hyperlink" Target="https://mailchi.mp/4f7ffc5cbe53/an-99-doubling-times-for-the-efficiency-of-ai-algorithms" TargetMode="External"/><Relationship Id="rId2266" Type="http://schemas.openxmlformats.org/officeDocument/2006/relationships/hyperlink" Target="https://mailchi.mp/9ca67b5f5b72/an-139how-the-simplicity-of-reality-explains-the-success-of-neural-nets" TargetMode="External"/><Relationship Id="rId3596" Type="http://schemas.openxmlformats.org/officeDocument/2006/relationships/hyperlink" Target="https://blog.openai.com/retro-contest/" TargetMode="External"/><Relationship Id="rId343" Type="http://schemas.openxmlformats.org/officeDocument/2006/relationships/hyperlink" Target="https://www.aigovernancereview.com/" TargetMode="External"/><Relationship Id="rId2267" Type="http://schemas.openxmlformats.org/officeDocument/2006/relationships/hyperlink" Target="https://medium.com/@deepmindsafetyresearch/understanding-meta-trained-algorithms-through-a-bayesian-lens-5042a1acc1c2" TargetMode="External"/><Relationship Id="rId3599" Type="http://schemas.openxmlformats.org/officeDocument/2006/relationships/hyperlink" Target="https://arxiv.org/abs/2010.02193" TargetMode="External"/><Relationship Id="rId342" Type="http://schemas.openxmlformats.org/officeDocument/2006/relationships/hyperlink" Target="https://mailchi.mp/d1a19c140226/alignment-newsletter-10" TargetMode="External"/><Relationship Id="rId2268" Type="http://schemas.openxmlformats.org/officeDocument/2006/relationships/hyperlink" Target="https://mailchi.mp/9ca67b5f5b72/an-139how-the-simplicity-of-reality-explains-the-success-of-neural-nets" TargetMode="External"/><Relationship Id="rId3598" Type="http://schemas.openxmlformats.org/officeDocument/2006/relationships/hyperlink" Target="https://ai.googleblog.com/2021/02/mastering-atari-with-discrete-world.html" TargetMode="External"/><Relationship Id="rId2258" Type="http://schemas.openxmlformats.org/officeDocument/2006/relationships/hyperlink" Target="https://arxiv.org/abs/1905.01320" TargetMode="External"/><Relationship Id="rId2259" Type="http://schemas.openxmlformats.org/officeDocument/2006/relationships/hyperlink" Target="https://mailchi.mp/894417149126/an-56-should-ml-researchers-stop-running-experiments-before-making-hypotheses" TargetMode="External"/><Relationship Id="rId3589" Type="http://schemas.openxmlformats.org/officeDocument/2006/relationships/hyperlink" Target="https://attentionagent.github.io/" TargetMode="External"/><Relationship Id="rId338" Type="http://schemas.openxmlformats.org/officeDocument/2006/relationships/hyperlink" Target="https://mailchi.mp/d0b668319344/an-118risks-solutions-and-prioritization-in-a-world-with-many-ai-systems" TargetMode="External"/><Relationship Id="rId337" Type="http://schemas.openxmlformats.org/officeDocument/2006/relationships/hyperlink" Target="https://forum.effectivealtruism.org/posts/42reWndoTEhFqu6T8/ai-governance-opportunity-and-theory-of-impact" TargetMode="External"/><Relationship Id="rId336" Type="http://schemas.openxmlformats.org/officeDocument/2006/relationships/hyperlink" Target="https://mailchi.mp/e7cec4ed9117/an-138why-ai-governance-should-find-problems-rather-than-just-solving-them" TargetMode="External"/><Relationship Id="rId335" Type="http://schemas.openxmlformats.org/officeDocument/2006/relationships/hyperlink" Target="https://www.researchgate.net/profile/Matthijs_Maas/publication/342774816_'Solving_for_X'_Towards_a_problem-finding_framework_to_ground_long-term_governance_strategies_for_artificial_intelligence/links/5fbbd04592851c933f517ad3/Solving-for-X-Towards-a-problem-finding-framework-to-ground-long-term-governance-strategies-for-artificial-intelligence.pdf" TargetMode="External"/><Relationship Id="rId3580" Type="http://schemas.openxmlformats.org/officeDocument/2006/relationships/hyperlink" Target="https://mailchi.mp/30b144930924/an-119ai-safety-when-agents-are-shaped-by-environments-not-rewards" TargetMode="External"/><Relationship Id="rId339" Type="http://schemas.openxmlformats.org/officeDocument/2006/relationships/hyperlink" Target="https://docs.google.com/spreadsheets/d/1ojSJFrDsBpLj0_snavF3AQjDImTElYLq33WUiB5x5lg/edit" TargetMode="External"/><Relationship Id="rId330" Type="http://schemas.openxmlformats.org/officeDocument/2006/relationships/hyperlink" Target="https://mailchi.mp/c48f996a5db5/alignment-newsletter-46" TargetMode="External"/><Relationship Id="rId2250" Type="http://schemas.openxmlformats.org/officeDocument/2006/relationships/hyperlink" Target="https://mailchi.mp/dd7dd9157abe/an-106-evaluating-generalization-ability-of-learned-reward-models" TargetMode="External"/><Relationship Id="rId3582" Type="http://schemas.openxmlformats.org/officeDocument/2006/relationships/hyperlink" Target="https://mailchi.mp/c85a95604c5c/an-117how-neural-nets-would-fare-under-the-tevv-framework" TargetMode="External"/><Relationship Id="rId2251" Type="http://schemas.openxmlformats.org/officeDocument/2006/relationships/hyperlink" Target="https://arxiv.org/abs/1905.10985" TargetMode="External"/><Relationship Id="rId3581" Type="http://schemas.openxmlformats.org/officeDocument/2006/relationships/hyperlink" Target="http://arxiv.org/abs/2002.11708" TargetMode="External"/><Relationship Id="rId2252" Type="http://schemas.openxmlformats.org/officeDocument/2006/relationships/hyperlink" Target="https://arxiv.org/abs/1912.03820" TargetMode="External"/><Relationship Id="rId3584" Type="http://schemas.openxmlformats.org/officeDocument/2006/relationships/hyperlink" Target="https://mailchi.mp/c85a95604c5c/an-117how-neural-nets-would-fare-under-the-tevv-framework" TargetMode="External"/><Relationship Id="rId2253" Type="http://schemas.openxmlformats.org/officeDocument/2006/relationships/hyperlink" Target="https://mailchi.mp/ba4d1765368f/an-104-the-perils-of-inaccessible-information-and-what-we-can-learn-about-ai-alignment-from-covid" TargetMode="External"/><Relationship Id="rId3583" Type="http://schemas.openxmlformats.org/officeDocument/2006/relationships/hyperlink" Target="http://arxiv.org/abs/2002.11089" TargetMode="External"/><Relationship Id="rId334" Type="http://schemas.openxmlformats.org/officeDocument/2006/relationships/hyperlink" Target="https://mailchi.mp/14782876a85d/alignment-newsletter-2" TargetMode="External"/><Relationship Id="rId2254" Type="http://schemas.openxmlformats.org/officeDocument/2006/relationships/hyperlink" Target="http://arxiv.org/abs/1805.07722" TargetMode="External"/><Relationship Id="rId3586" Type="http://schemas.openxmlformats.org/officeDocument/2006/relationships/hyperlink" Target="https://mailchi.mp/474d6a8a4527/an-110-learning-features-from-human-feedback-to-enable-reward-learning" TargetMode="External"/><Relationship Id="rId333" Type="http://schemas.openxmlformats.org/officeDocument/2006/relationships/hyperlink" Target="https://blog.openai.com/openai-charter/" TargetMode="External"/><Relationship Id="rId2255" Type="http://schemas.openxmlformats.org/officeDocument/2006/relationships/hyperlink" Target="https://mailchi.mp/15397ab6f65c/alignment-newsletter-8" TargetMode="External"/><Relationship Id="rId3585" Type="http://schemas.openxmlformats.org/officeDocument/2006/relationships/hyperlink" Target="https://arxiv.org/abs/1907.04543" TargetMode="External"/><Relationship Id="rId332" Type="http://schemas.openxmlformats.org/officeDocument/2006/relationships/hyperlink" Target="https://mailchi.mp/469203093ca3/alignment-newsletter-22" TargetMode="External"/><Relationship Id="rId2256" Type="http://schemas.openxmlformats.org/officeDocument/2006/relationships/hyperlink" Target="https://arxiv.org/abs/1805.08136" TargetMode="External"/><Relationship Id="rId3588" Type="http://schemas.openxmlformats.org/officeDocument/2006/relationships/hyperlink" Target="https://mailchi.mp/ee62c1c9e331/an-109teaching-neural-nets-to-generalize-the-way-humans-would" TargetMode="External"/><Relationship Id="rId331" Type="http://schemas.openxmlformats.org/officeDocument/2006/relationships/hyperlink" Target="https://www.fhi.ox.ac.uk/wp-content/uploads/GovAIAgenda.pdf" TargetMode="External"/><Relationship Id="rId2257" Type="http://schemas.openxmlformats.org/officeDocument/2006/relationships/hyperlink" Target="https://mailchi.mp/15397ab6f65c/alignment-newsletter-8" TargetMode="External"/><Relationship Id="rId3587" Type="http://schemas.openxmlformats.org/officeDocument/2006/relationships/hyperlink" Target="https://ai.googleblog.com/2020/06/using-selective-attention-in.html" TargetMode="External"/><Relationship Id="rId370" Type="http://schemas.openxmlformats.org/officeDocument/2006/relationships/hyperlink" Target="https://mailchi.mp/35b451cb4d70/alignment-newsletter-45" TargetMode="External"/><Relationship Id="rId369" Type="http://schemas.openxmlformats.org/officeDocument/2006/relationships/hyperlink" Target="https://forum.effectivealtruism.org/posts/9sBAW3qKppnoG3QPq/how-sure-are-we-about-this-ai-stuff" TargetMode="External"/><Relationship Id="rId368" Type="http://schemas.openxmlformats.org/officeDocument/2006/relationships/hyperlink" Target="https://mailchi.mp/3091c6e9405c/alignment-newsletter-48" TargetMode="External"/><Relationship Id="rId2280" Type="http://schemas.openxmlformats.org/officeDocument/2006/relationships/hyperlink" Target="http://arxiv.org/abs/1806.03836" TargetMode="External"/><Relationship Id="rId2281" Type="http://schemas.openxmlformats.org/officeDocument/2006/relationships/hyperlink" Target="https://mailchi.mp/7ad36e25be22/alignment-newsletter-11" TargetMode="External"/><Relationship Id="rId2282" Type="http://schemas.openxmlformats.org/officeDocument/2006/relationships/hyperlink" Target="https://arxiv.org/abs/1905.10985" TargetMode="External"/><Relationship Id="rId363" Type="http://schemas.openxmlformats.org/officeDocument/2006/relationships/hyperlink" Target="https://mailchi.mp/b342d1a1bd06/an-59-how-arguments-for-ai-risk-have-changed-over-time" TargetMode="External"/><Relationship Id="rId2283" Type="http://schemas.openxmlformats.org/officeDocument/2006/relationships/hyperlink" Target="https://mailchi.mp/533c646a4b21/an-63how-architecture-search-meta-learning-and-environment-design-could-lead-to-general-intelligence" TargetMode="External"/><Relationship Id="rId362" Type="http://schemas.openxmlformats.org/officeDocument/2006/relationships/hyperlink" Target="https://alignmentforum.org/posts/Sn5NiiD5WBi4dLzaB/agi-will-drastically-increase-economies-of-scale-1" TargetMode="External"/><Relationship Id="rId2284" Type="http://schemas.openxmlformats.org/officeDocument/2006/relationships/hyperlink" Target="https://arxiv.org/abs/1904.07633" TargetMode="External"/><Relationship Id="rId361" Type="http://schemas.openxmlformats.org/officeDocument/2006/relationships/hyperlink" Target="https://mailchi.mp/533c646a4b21/an-63how-architecture-search-meta-learning-and-environment-design-could-lead-to-general-intelligence" TargetMode="External"/><Relationship Id="rId2285" Type="http://schemas.openxmlformats.org/officeDocument/2006/relationships/hyperlink" Target="https://mailchi.mp/894417149126/an-56-should-ml-researchers-stop-running-experiments-before-making-hypotheses" TargetMode="External"/><Relationship Id="rId360" Type="http://schemas.openxmlformats.org/officeDocument/2006/relationships/hyperlink" Target="https://www.alignmentforum.org/posts/PKy8NuNPknenkDY74/soft-takeoff-can-still-lead-to-decisive-strategic-advantage" TargetMode="External"/><Relationship Id="rId2286" Type="http://schemas.openxmlformats.org/officeDocument/2006/relationships/hyperlink" Target="https://docs.google.com/document/d/1SnJe07u0oESoAT2BPdj_0t6xaIRYmk0RN0DlrHyqMEo/edit" TargetMode="External"/><Relationship Id="rId367" Type="http://schemas.openxmlformats.org/officeDocument/2006/relationships/hyperlink" Target="https://www.fhi.ox.ac.uk/wp-content/uploads/Stable-Agreements.pdf" TargetMode="External"/><Relationship Id="rId2287" Type="http://schemas.openxmlformats.org/officeDocument/2006/relationships/hyperlink" Target="https://mailchi.mp/d7b5059d64ed/alignment-newsletter-24" TargetMode="External"/><Relationship Id="rId366" Type="http://schemas.openxmlformats.org/officeDocument/2006/relationships/hyperlink" Target="http://www.xinhuanet.com/english/2019-05/26/c_138091724.htm" TargetMode="External"/><Relationship Id="rId2288" Type="http://schemas.openxmlformats.org/officeDocument/2006/relationships/hyperlink" Target="https://arxiv.org/abs/1604.00289" TargetMode="External"/><Relationship Id="rId365" Type="http://schemas.openxmlformats.org/officeDocument/2006/relationships/hyperlink" Target="https://mailchi.mp/392d2043e782/an-57why-we-should-focus-on-robustness-in-ai-safety-and-the-analogous-problems-in-programming" TargetMode="External"/><Relationship Id="rId2289" Type="http://schemas.openxmlformats.org/officeDocument/2006/relationships/hyperlink" Target="https://mailchi.mp/2121f5135173/an-160-building-ais-that-learn-and-think-like-people" TargetMode="External"/><Relationship Id="rId364" Type="http://schemas.openxmlformats.org/officeDocument/2006/relationships/hyperlink" Target="https://baip.baai.ac.cn/en" TargetMode="External"/><Relationship Id="rId95" Type="http://schemas.openxmlformats.org/officeDocument/2006/relationships/hyperlink" Target="https://mailchi.mp/e7cec4ed9117/an-138why-ai-governance-should-find-problems-rather-than-just-solving-them" TargetMode="External"/><Relationship Id="rId94" Type="http://schemas.openxmlformats.org/officeDocument/2006/relationships/hyperlink" Target="https://arxiv.org/abs/2011.05623" TargetMode="External"/><Relationship Id="rId97" Type="http://schemas.openxmlformats.org/officeDocument/2006/relationships/hyperlink" Target="https://mailchi.mp/7ad36e25be22/alignment-newsletter-11" TargetMode="External"/><Relationship Id="rId96" Type="http://schemas.openxmlformats.org/officeDocument/2006/relationships/hyperlink" Target="http://arxiv.org/abs/1806.04169" TargetMode="External"/><Relationship Id="rId99" Type="http://schemas.openxmlformats.org/officeDocument/2006/relationships/hyperlink" Target="https://mailchi.mp/c48f996a5db5/alignment-newsletter-46" TargetMode="External"/><Relationship Id="rId98" Type="http://schemas.openxmlformats.org/officeDocument/2006/relationships/hyperlink" Target="https://arxiv.org/abs/1902.06705" TargetMode="External"/><Relationship Id="rId91" Type="http://schemas.openxmlformats.org/officeDocument/2006/relationships/hyperlink" Target="https://mailchi.mp/8aae224669a8/an-143how-to-make-embedded-agents-that-reason-probabilistically-about-their-environments" TargetMode="External"/><Relationship Id="rId90" Type="http://schemas.openxmlformats.org/officeDocument/2006/relationships/hyperlink" Target="https://nitter.cc/NoaNabeshima/status/1368662246885265409" TargetMode="External"/><Relationship Id="rId93" Type="http://schemas.openxmlformats.org/officeDocument/2006/relationships/hyperlink" Target="https://mailchi.mp/4a4bc2286f53/alignment-newsletter-14" TargetMode="External"/><Relationship Id="rId92" Type="http://schemas.openxmlformats.org/officeDocument/2006/relationships/hyperlink" Target="https://arxiv.org/abs/1806.11146" TargetMode="External"/><Relationship Id="rId359" Type="http://schemas.openxmlformats.org/officeDocument/2006/relationships/hyperlink" Target="https://mailchi.mp/0b74c28413c0/an-64-using-deep-rl-and-reward-uncertainty-to-incentivize-preference-learning" TargetMode="External"/><Relationship Id="rId358" Type="http://schemas.openxmlformats.org/officeDocument/2006/relationships/hyperlink" Target="https://futureoflife.org/2019/08/16/chinas-ai-superpower-dream-with-jeffrey-ding/" TargetMode="External"/><Relationship Id="rId357" Type="http://schemas.openxmlformats.org/officeDocument/2006/relationships/hyperlink" Target="http://arxiv.org/abs/1907.04534" TargetMode="External"/><Relationship Id="rId2270" Type="http://schemas.openxmlformats.org/officeDocument/2006/relationships/hyperlink" Target="http://arxiv.org/abs/1806.04640" TargetMode="External"/><Relationship Id="rId2271" Type="http://schemas.openxmlformats.org/officeDocument/2006/relationships/hyperlink" Target="https://mailchi.mp/7ad36e25be22/alignment-newsletter-11" TargetMode="External"/><Relationship Id="rId352" Type="http://schemas.openxmlformats.org/officeDocument/2006/relationships/hyperlink" Target="https://mailchi.mp/9d279b575b1a/an-88-how-the-principal-agent-literature-relates-to-ai-risk" TargetMode="External"/><Relationship Id="rId2272" Type="http://schemas.openxmlformats.org/officeDocument/2006/relationships/hyperlink" Target="https://arxiv.org/abs/2001.06782" TargetMode="External"/><Relationship Id="rId351" Type="http://schemas.openxmlformats.org/officeDocument/2006/relationships/hyperlink" Target="https://arxiv.org/abs/2001.00463" TargetMode="External"/><Relationship Id="rId2273" Type="http://schemas.openxmlformats.org/officeDocument/2006/relationships/hyperlink" Target="https://mailchi.mp/d9e1db727875/an-100what-might-go-wrong-if-you-learn-a-reward-function-while-acting" TargetMode="External"/><Relationship Id="rId350" Type="http://schemas.openxmlformats.org/officeDocument/2006/relationships/hyperlink" Target="https://forum.effectivealtruism.org/posts/iYCAoP3JgXxGAvMrr/fhi-report-the-windfall-clause-distributing-the-benefits-of" TargetMode="External"/><Relationship Id="rId2274" Type="http://schemas.openxmlformats.org/officeDocument/2006/relationships/hyperlink" Target="http://arxiv.org/abs/1905.07435" TargetMode="External"/><Relationship Id="rId2275" Type="http://schemas.openxmlformats.org/officeDocument/2006/relationships/hyperlink" Target="https://mailchi.mp/92b3a9458c2d/an-58-mesa-optimization-what-it-is-and-why-we-should-care" TargetMode="External"/><Relationship Id="rId356" Type="http://schemas.openxmlformats.org/officeDocument/2006/relationships/hyperlink" Target="https://mailchi.mp/c8ea4a5e842f/an-66-decomposing-robustness-into-capability-robustness-and-alignment-robustness" TargetMode="External"/><Relationship Id="rId2276" Type="http://schemas.openxmlformats.org/officeDocument/2006/relationships/hyperlink" Target="http://arxiv.org/abs/1805.08462" TargetMode="External"/><Relationship Id="rId355" Type="http://schemas.openxmlformats.org/officeDocument/2006/relationships/hyperlink" Target="https://openai.com/blog/cooperation-on-safety/" TargetMode="External"/><Relationship Id="rId2277" Type="http://schemas.openxmlformats.org/officeDocument/2006/relationships/hyperlink" Target="https://mailchi.mp/a1ae6b62df21/alignment-newsletter-9" TargetMode="External"/><Relationship Id="rId354" Type="http://schemas.openxmlformats.org/officeDocument/2006/relationships/hyperlink" Target="https://mailchi.mp/d2f2d15b7114/an-77-double-descent-a-unification-of-statistical-theory-and-modern-ml-practice" TargetMode="External"/><Relationship Id="rId2278" Type="http://schemas.openxmlformats.org/officeDocument/2006/relationships/hyperlink" Target="http://arxiv.org/abs/1807.05960" TargetMode="External"/><Relationship Id="rId353" Type="http://schemas.openxmlformats.org/officeDocument/2006/relationships/hyperlink" Target="https://www.tandfonline.com/doi/full/10.1080/01402390.2019.1631810" TargetMode="External"/><Relationship Id="rId2279" Type="http://schemas.openxmlformats.org/officeDocument/2006/relationships/hyperlink" Target="https://mailchi.mp/ad852629e45a/alignment-newsletter-17" TargetMode="External"/><Relationship Id="rId2225" Type="http://schemas.openxmlformats.org/officeDocument/2006/relationships/hyperlink" Target="https://arxiv.org/abs/2102.08686" TargetMode="External"/><Relationship Id="rId3557" Type="http://schemas.openxmlformats.org/officeDocument/2006/relationships/hyperlink" Target="http://arxiv.org/abs/1806.10729" TargetMode="External"/><Relationship Id="rId2226" Type="http://schemas.openxmlformats.org/officeDocument/2006/relationships/hyperlink" Target="https://www.alignmentforum.org/posts/Dx9LoqsEh3gHNJMDk/fixing-the-good-regulator-theorem" TargetMode="External"/><Relationship Id="rId3556" Type="http://schemas.openxmlformats.org/officeDocument/2006/relationships/hyperlink" Target="https://mailchi.mp/4920e52dd61b/alignment-newsletter-15" TargetMode="External"/><Relationship Id="rId2227" Type="http://schemas.openxmlformats.org/officeDocument/2006/relationships/hyperlink" Target="https://mailchi.mp/e7cec4ed9117/an-138why-ai-governance-should-find-problems-rather-than-just-solving-them" TargetMode="External"/><Relationship Id="rId3559" Type="http://schemas.openxmlformats.org/officeDocument/2006/relationships/hyperlink" Target="http://arxiv.org/abs/1807.01672" TargetMode="External"/><Relationship Id="rId2228" Type="http://schemas.openxmlformats.org/officeDocument/2006/relationships/hyperlink" Target="https://www.alignmentforum.org/posts/Xg2YycEfCnLYrCcjy/defining-capability-and-alignment-in-gradient-descent" TargetMode="External"/><Relationship Id="rId3558" Type="http://schemas.openxmlformats.org/officeDocument/2006/relationships/hyperlink" Target="https://mailchi.mp/4a4bc2286f53/alignment-newsletter-14" TargetMode="External"/><Relationship Id="rId2229" Type="http://schemas.openxmlformats.org/officeDocument/2006/relationships/hyperlink" Target="https://mailchi.mp/b8b755c3f8f5/an-135five-properties-of-goal-directed-systems" TargetMode="External"/><Relationship Id="rId305" Type="http://schemas.openxmlformats.org/officeDocument/2006/relationships/hyperlink" Target="https://mailchi.mp/0c5eeec28f75/alignment-newsletter-25" TargetMode="External"/><Relationship Id="rId304" Type="http://schemas.openxmlformats.org/officeDocument/2006/relationships/hyperlink" Target="http://arxiv.org/abs/1809.03956" TargetMode="External"/><Relationship Id="rId303" Type="http://schemas.openxmlformats.org/officeDocument/2006/relationships/hyperlink" Target="https://mailchi.mp/4920e52dd61b/alignment-newsletter-15" TargetMode="External"/><Relationship Id="rId302" Type="http://schemas.openxmlformats.org/officeDocument/2006/relationships/hyperlink" Target="https://www.lesswrong.com/posts/brQYmeX4HFrPbs4XP/an-agent-is-a-worldline-in-tegmark-v" TargetMode="External"/><Relationship Id="rId309" Type="http://schemas.openxmlformats.org/officeDocument/2006/relationships/hyperlink" Target="https://arxiv.org/abs/1803.05049" TargetMode="External"/><Relationship Id="rId308" Type="http://schemas.openxmlformats.org/officeDocument/2006/relationships/hyperlink" Target="https://mailchi.mp/8f5d302499be/alignment-newsletter-32" TargetMode="External"/><Relationship Id="rId307" Type="http://schemas.openxmlformats.org/officeDocument/2006/relationships/hyperlink" Target="http://arxiv.org/abs/1811.02546" TargetMode="External"/><Relationship Id="rId306" Type="http://schemas.openxmlformats.org/officeDocument/2006/relationships/hyperlink" Target="https://mailchi.mp/f2950ed2ac4b/alignment-newsletter-16" TargetMode="External"/><Relationship Id="rId3551" Type="http://schemas.openxmlformats.org/officeDocument/2006/relationships/hyperlink" Target="https://towardsdatascience.com/the-pursuit-of-robotic-happiness-how-trpo-and-ppo-stabilize-policy-gradient-methods-545784094e3b" TargetMode="External"/><Relationship Id="rId2220" Type="http://schemas.openxmlformats.org/officeDocument/2006/relationships/hyperlink" Target="https://mailchi.mp/921dbde2ffac/an-151how-sparsity-in-the-final-layer-makes-a-neural-net-debuggable" TargetMode="External"/><Relationship Id="rId3550" Type="http://schemas.openxmlformats.org/officeDocument/2006/relationships/hyperlink" Target="https://mailchi.mp/54987353654b/an-153experiments-that-demonstrate-failures-of-objective-robustness" TargetMode="External"/><Relationship Id="rId301" Type="http://schemas.openxmlformats.org/officeDocument/2006/relationships/hyperlink" Target="https://mailchi.mp/51717855ea27/alignment-newsletter-18" TargetMode="External"/><Relationship Id="rId2221" Type="http://schemas.openxmlformats.org/officeDocument/2006/relationships/hyperlink" Target="https://axrp.net/episode/2021/02/17/episode-4-risks-from-learned-optimization-evan-hubinger.html" TargetMode="External"/><Relationship Id="rId3553" Type="http://schemas.openxmlformats.org/officeDocument/2006/relationships/hyperlink" Target="https://arxiv.org/abs/1705.08926" TargetMode="External"/><Relationship Id="rId300" Type="http://schemas.openxmlformats.org/officeDocument/2006/relationships/hyperlink" Target="https://www.lesswrong.com/posts/TQvSZ4n4BuntC22Af/decisions-are-not-about-changing-the-world-they-are-about" TargetMode="External"/><Relationship Id="rId2222" Type="http://schemas.openxmlformats.org/officeDocument/2006/relationships/hyperlink" Target="https://mailchi.mp/9ca67b5f5b72/an-139how-the-simplicity-of-reality-explains-the-success-of-neural-nets" TargetMode="External"/><Relationship Id="rId3552" Type="http://schemas.openxmlformats.org/officeDocument/2006/relationships/hyperlink" Target="https://mailchi.mp/4920e52dd61b/alignment-newsletter-15" TargetMode="External"/><Relationship Id="rId2223" Type="http://schemas.openxmlformats.org/officeDocument/2006/relationships/hyperlink" Target="https://www.alignmentforum.org/posts/CnruhwFGQBThvgJiX/formal-solution-to-the-inner-alignment-problem" TargetMode="External"/><Relationship Id="rId3555" Type="http://schemas.openxmlformats.org/officeDocument/2006/relationships/hyperlink" Target="https://arxiv.org/abs/1709.05380" TargetMode="External"/><Relationship Id="rId2224" Type="http://schemas.openxmlformats.org/officeDocument/2006/relationships/hyperlink" Target="https://mailchi.mp/9ca67b5f5b72/an-139how-the-simplicity-of-reality-explains-the-success-of-neural-nets" TargetMode="External"/><Relationship Id="rId3554" Type="http://schemas.openxmlformats.org/officeDocument/2006/relationships/hyperlink" Target="https://mailchi.mp/4920e52dd61b/alignment-newsletter-15" TargetMode="External"/><Relationship Id="rId2214" Type="http://schemas.openxmlformats.org/officeDocument/2006/relationships/hyperlink" Target="https://mailchi.mp/eef1d6c95d7c/an-78formalizing-power-and-instrumental-convergence-and-the-end-of-year-ai-safety-charity-comparison" TargetMode="External"/><Relationship Id="rId3546" Type="http://schemas.openxmlformats.org/officeDocument/2006/relationships/hyperlink" Target="https://mailchi.mp/f2950ed2ac4b/alignment-newsletter-16" TargetMode="External"/><Relationship Id="rId2215" Type="http://schemas.openxmlformats.org/officeDocument/2006/relationships/hyperlink" Target="https://www.alignmentforum.org/posts/fM5ZWGDbnjb7ThNKJ/are-minimal-circuits-deceptive" TargetMode="External"/><Relationship Id="rId3545" Type="http://schemas.openxmlformats.org/officeDocument/2006/relationships/hyperlink" Target="http://arxiv.org/abs/1807.04723" TargetMode="External"/><Relationship Id="rId2216" Type="http://schemas.openxmlformats.org/officeDocument/2006/relationships/hyperlink" Target="https://mailchi.mp/938a7eed18c3/an-71avoiding-reward-tampering-through-current-rf-optimization" TargetMode="External"/><Relationship Id="rId3548" Type="http://schemas.openxmlformats.org/officeDocument/2006/relationships/hyperlink" Target="https://mailchi.mp/54987353654b/an-153experiments-that-demonstrate-failures-of-objective-robustness" TargetMode="External"/><Relationship Id="rId2217" Type="http://schemas.openxmlformats.org/officeDocument/2006/relationships/hyperlink" Target="https://www.alignmentforum.org/posts/jGB7Pd5q8ivBor8Ee/impact-measurement-and-value-neutrality-verification-1" TargetMode="External"/><Relationship Id="rId3547" Type="http://schemas.openxmlformats.org/officeDocument/2006/relationships/hyperlink" Target="https://arxiv.org/abs/2106.01345" TargetMode="External"/><Relationship Id="rId2218" Type="http://schemas.openxmlformats.org/officeDocument/2006/relationships/hyperlink" Target="https://mailchi.mp/938a7eed18c3/an-71avoiding-reward-tampering-through-current-rf-optimization" TargetMode="External"/><Relationship Id="rId2219" Type="http://schemas.openxmlformats.org/officeDocument/2006/relationships/hyperlink" Target="https://www.alignmentforum.org/posts/a7jnbtoKFyvu5qfkd/formal-inner-alignment-prospectus" TargetMode="External"/><Relationship Id="rId3549" Type="http://schemas.openxmlformats.org/officeDocument/2006/relationships/hyperlink" Target="https://arxiv.org/abs/2106.02039" TargetMode="External"/><Relationship Id="rId3540" Type="http://schemas.openxmlformats.org/officeDocument/2006/relationships/hyperlink" Target="https://mailchi.mp/ad852629e45a/alignment-newsletter-17" TargetMode="External"/><Relationship Id="rId2210" Type="http://schemas.openxmlformats.org/officeDocument/2006/relationships/hyperlink" Target="https://mailchi.mp/df363224d0e4/an-107-the-convergent-instrumental-subgoals-of-goal-directed-agents" TargetMode="External"/><Relationship Id="rId3542" Type="http://schemas.openxmlformats.org/officeDocument/2006/relationships/hyperlink" Target="https://mailchi.mp/f2950ed2ac4b/alignment-newsletter-16" TargetMode="External"/><Relationship Id="rId2211" Type="http://schemas.openxmlformats.org/officeDocument/2006/relationships/hyperlink" Target="https://www.alignmentforum.org/posts/6m5qqkeBTrqQsegGi/inner-alignment-requires-making-assumptions-about-human" TargetMode="External"/><Relationship Id="rId3541" Type="http://schemas.openxmlformats.org/officeDocument/2006/relationships/hyperlink" Target="http://arxiv.org/abs/1807.04742" TargetMode="External"/><Relationship Id="rId2212" Type="http://schemas.openxmlformats.org/officeDocument/2006/relationships/hyperlink" Target="https://mailchi.mp/84b4235cfa34/an-85-the-normative-questions-we-should-be-asking-for-ai-alignment-and-a-surprisingly-good-chatbot" TargetMode="External"/><Relationship Id="rId3544" Type="http://schemas.openxmlformats.org/officeDocument/2006/relationships/hyperlink" Target="https://mailchi.mp/f2950ed2ac4b/alignment-newsletter-16" TargetMode="External"/><Relationship Id="rId2213" Type="http://schemas.openxmlformats.org/officeDocument/2006/relationships/hyperlink" Target="https://www.alignmentforum.org/posts/nFDXq7HTv9Xugcqaw/is-the-term-mesa-optimizer-too-narrow" TargetMode="External"/><Relationship Id="rId3543" Type="http://schemas.openxmlformats.org/officeDocument/2006/relationships/hyperlink" Target="https://blog.openai.com/openai-five-benchmark/" TargetMode="External"/><Relationship Id="rId2247" Type="http://schemas.openxmlformats.org/officeDocument/2006/relationships/hyperlink" Target="http://arxiv.org/abs/1902.08438" TargetMode="External"/><Relationship Id="rId3579" Type="http://schemas.openxmlformats.org/officeDocument/2006/relationships/hyperlink" Target="https://arxiv.org/abs/2006.05990" TargetMode="External"/><Relationship Id="rId2248" Type="http://schemas.openxmlformats.org/officeDocument/2006/relationships/hyperlink" Target="https://mailchi.mp/93fe1a0a92da/alignment-newsletter-50" TargetMode="External"/><Relationship Id="rId3578" Type="http://schemas.openxmlformats.org/officeDocument/2006/relationships/hyperlink" Target="https://mailchi.mp/bcb2c6f1d507/alignment-newsletter-12" TargetMode="External"/><Relationship Id="rId2249" Type="http://schemas.openxmlformats.org/officeDocument/2006/relationships/hyperlink" Target="https://arxiv.org/abs/2002.09571" TargetMode="External"/><Relationship Id="rId327" Type="http://schemas.openxmlformats.org/officeDocument/2006/relationships/hyperlink" Target="https://80000hours.org/podcast/episodes/openai-askell-brundage-clark-latest-in-ai-policy-and-strategy/" TargetMode="External"/><Relationship Id="rId326" Type="http://schemas.openxmlformats.org/officeDocument/2006/relationships/hyperlink" Target="https://mailchi.mp/405e29e1f1cd/an-55-regulatory-markets-and-international-standards-as-a-means-of-ensuring-beneficial-ai" TargetMode="External"/><Relationship Id="rId325" Type="http://schemas.openxmlformats.org/officeDocument/2006/relationships/hyperlink" Target="https://arxiv.org/abs/2001.00078" TargetMode="External"/><Relationship Id="rId324" Type="http://schemas.openxmlformats.org/officeDocument/2006/relationships/hyperlink" Target="https://mailchi.mp/405e29e1f1cd/an-55-regulatory-markets-and-international-standards-as-a-means-of-ensuring-beneficial-ai" TargetMode="External"/><Relationship Id="rId329" Type="http://schemas.openxmlformats.org/officeDocument/2006/relationships/hyperlink" Target="https://www.lawfareblog.com/thinking-about-risks-ai-accidents-misuse-and-structure" TargetMode="External"/><Relationship Id="rId328" Type="http://schemas.openxmlformats.org/officeDocument/2006/relationships/hyperlink" Target="https://mailchi.mp/93fe1a0a92da/alignment-newsletter-50" TargetMode="External"/><Relationship Id="rId3571" Type="http://schemas.openxmlformats.org/officeDocument/2006/relationships/hyperlink" Target="https://www.pnas.org/content/early/2020/08/13/1907370117" TargetMode="External"/><Relationship Id="rId2240" Type="http://schemas.openxmlformats.org/officeDocument/2006/relationships/hyperlink" Target="https://mailchi.mp/49c956f84771/an-74separating-beneficial-ai-into-competence-alignment-and-coping-with-impacts" TargetMode="External"/><Relationship Id="rId3570" Type="http://schemas.openxmlformats.org/officeDocument/2006/relationships/hyperlink" Target="https://mailchi.mp/0a793230b53a/an-125neural-network-scaling-laws-across-multiple-modalities" TargetMode="External"/><Relationship Id="rId2241" Type="http://schemas.openxmlformats.org/officeDocument/2006/relationships/hyperlink" Target="http://arxiv.org/abs/1910.10897" TargetMode="External"/><Relationship Id="rId3573" Type="http://schemas.openxmlformats.org/officeDocument/2006/relationships/hyperlink" Target="https://mailchi.mp/0a793230b53a/an-125neural-network-scaling-laws-across-multiple-modalities" TargetMode="External"/><Relationship Id="rId2242" Type="http://schemas.openxmlformats.org/officeDocument/2006/relationships/hyperlink" Target="https://mailchi.mp/49c956f84771/an-74separating-beneficial-ai-into-competence-alignment-and-coping-with-impacts" TargetMode="External"/><Relationship Id="rId3572" Type="http://schemas.openxmlformats.org/officeDocument/2006/relationships/hyperlink" Target="https://arxiv.org/abs/2010.14496" TargetMode="External"/><Relationship Id="rId323" Type="http://schemas.openxmlformats.org/officeDocument/2006/relationships/hyperlink" Target="https://www.fhi.ox.ac.uk/standards-technical-report/" TargetMode="External"/><Relationship Id="rId2243" Type="http://schemas.openxmlformats.org/officeDocument/2006/relationships/hyperlink" Target="https://arxiv.org/abs/1909.04630" TargetMode="External"/><Relationship Id="rId3575" Type="http://schemas.openxmlformats.org/officeDocument/2006/relationships/hyperlink" Target="https://mailchi.mp/d1da78ed4aac/an-124provably-safe-exploration-through-shielding" TargetMode="External"/><Relationship Id="rId322" Type="http://schemas.openxmlformats.org/officeDocument/2006/relationships/hyperlink" Target="https://mailchi.mp/2abdf19aa813/an-61ai-policy-and-governance-from-two-people-in-the-field" TargetMode="External"/><Relationship Id="rId2244" Type="http://schemas.openxmlformats.org/officeDocument/2006/relationships/hyperlink" Target="https://mailchi.mp/938a7eed18c3/an-71avoiding-reward-tampering-through-current-rf-optimization" TargetMode="External"/><Relationship Id="rId3574" Type="http://schemas.openxmlformats.org/officeDocument/2006/relationships/hyperlink" Target="https://bair.berkeley.edu/blog/2020/03/16/discor/" TargetMode="External"/><Relationship Id="rId321" Type="http://schemas.openxmlformats.org/officeDocument/2006/relationships/hyperlink" Target="https://futureoflife.org/2019/07/22/on-the-governance-of-ai-with-jade-leung/" TargetMode="External"/><Relationship Id="rId2245" Type="http://schemas.openxmlformats.org/officeDocument/2006/relationships/hyperlink" Target="http://arxiv.org/abs/1903.03096" TargetMode="External"/><Relationship Id="rId3577" Type="http://schemas.openxmlformats.org/officeDocument/2006/relationships/hyperlink" Target="http://arxiv.org/abs/1806.07857" TargetMode="External"/><Relationship Id="rId320" Type="http://schemas.openxmlformats.org/officeDocument/2006/relationships/hyperlink" Target="https://mailchi.mp/2abdf19aa813/an-61ai-policy-and-governance-from-two-people-in-the-field" TargetMode="External"/><Relationship Id="rId2246" Type="http://schemas.openxmlformats.org/officeDocument/2006/relationships/hyperlink" Target="https://mailchi.mp/93fe1a0a92da/alignment-newsletter-50" TargetMode="External"/><Relationship Id="rId3576" Type="http://schemas.openxmlformats.org/officeDocument/2006/relationships/hyperlink" Target="https://arxiv.org/abs/2003.07305" TargetMode="External"/><Relationship Id="rId2236" Type="http://schemas.openxmlformats.org/officeDocument/2006/relationships/hyperlink" Target="https://mailchi.mp/49c956f84771/an-74separating-beneficial-ai-into-competence-alignment-and-coping-with-impacts" TargetMode="External"/><Relationship Id="rId3568" Type="http://schemas.openxmlformats.org/officeDocument/2006/relationships/hyperlink" Target="https://mailchi.mp/0a793230b53a/an-125neural-network-scaling-laws-across-multiple-modalities" TargetMode="External"/><Relationship Id="rId2237" Type="http://schemas.openxmlformats.org/officeDocument/2006/relationships/hyperlink" Target="https://www.alignmentforum.org/posts/uXH4r6MmKPedk8rMA/gradient-hacking" TargetMode="External"/><Relationship Id="rId3567" Type="http://schemas.openxmlformats.org/officeDocument/2006/relationships/hyperlink" Target="https://www.microsoft.com/en-us/research/blog/deepspeed-extreme-scale-model-training-for-everyone/" TargetMode="External"/><Relationship Id="rId2238" Type="http://schemas.openxmlformats.org/officeDocument/2006/relationships/hyperlink" Target="https://mailchi.mp/938a7eed18c3/an-71avoiding-reward-tampering-through-current-rf-optimization" TargetMode="External"/><Relationship Id="rId2239" Type="http://schemas.openxmlformats.org/officeDocument/2006/relationships/hyperlink" Target="https://www.alignmentforum.org/posts/iydwbZhATANhjoGP7/more-variations-on-pseudo-alignment" TargetMode="External"/><Relationship Id="rId3569" Type="http://schemas.openxmlformats.org/officeDocument/2006/relationships/hyperlink" Target="https://deepmind.com/blog/article/fast-reinforcement-learning-through-the-composition-of-behaviours" TargetMode="External"/><Relationship Id="rId316" Type="http://schemas.openxmlformats.org/officeDocument/2006/relationships/hyperlink" Target="https://mailchi.mp/9d279b575b1a/an-88-how-the-principal-agent-literature-relates-to-ai-risk" TargetMode="External"/><Relationship Id="rId315" Type="http://schemas.openxmlformats.org/officeDocument/2006/relationships/hyperlink" Target="https://www.fhi.ox.ac.uk/govai/govai-2019-annual-report/" TargetMode="External"/><Relationship Id="rId314" Type="http://schemas.openxmlformats.org/officeDocument/2006/relationships/hyperlink" Target="https://mailchi.mp/8234356e4b7f/alignment-newsletter-13" TargetMode="External"/><Relationship Id="rId313" Type="http://schemas.openxmlformats.org/officeDocument/2006/relationships/hyperlink" Target="http://arxiv.org/abs/1806.08874" TargetMode="External"/><Relationship Id="rId319" Type="http://schemas.openxmlformats.org/officeDocument/2006/relationships/hyperlink" Target="https://80000hours.org/podcast/episodes/helen-toner-on-security-and-emerging-technology/" TargetMode="External"/><Relationship Id="rId318" Type="http://schemas.openxmlformats.org/officeDocument/2006/relationships/hyperlink" Target="https://mailchi.mp/3e550712419a/alignment-newsletter-7" TargetMode="External"/><Relationship Id="rId317" Type="http://schemas.openxmlformats.org/officeDocument/2006/relationships/hyperlink" Target="https://80000hours.org/podcast/episodes/allan-dafoe-politics-of-ai/" TargetMode="External"/><Relationship Id="rId3560" Type="http://schemas.openxmlformats.org/officeDocument/2006/relationships/hyperlink" Target="https://mailchi.mp/4a4bc2286f53/alignment-newsletter-14" TargetMode="External"/><Relationship Id="rId2230" Type="http://schemas.openxmlformats.org/officeDocument/2006/relationships/hyperlink" Target="https://www.alignmentforum.org/posts/3aDeaJzxinoGNWNpC/confucianism-in-ai-alignment" TargetMode="External"/><Relationship Id="rId3562" Type="http://schemas.openxmlformats.org/officeDocument/2006/relationships/hyperlink" Target="https://mailchi.mp/8234356e4b7f/alignment-newsletter-13" TargetMode="External"/><Relationship Id="rId2231" Type="http://schemas.openxmlformats.org/officeDocument/2006/relationships/hyperlink" Target="https://mailchi.mp/0a793230b53a/an-125neural-network-scaling-laws-across-multiple-modalities" TargetMode="External"/><Relationship Id="rId3561" Type="http://schemas.openxmlformats.org/officeDocument/2006/relationships/hyperlink" Target="https://blog.openai.com/first-retro-contest-retrospective/" TargetMode="External"/><Relationship Id="rId312" Type="http://schemas.openxmlformats.org/officeDocument/2006/relationships/hyperlink" Target="https://mailchi.mp/e6a23da2760e/alignment-newsletter-3?e=f665c7b50a" TargetMode="External"/><Relationship Id="rId2232" Type="http://schemas.openxmlformats.org/officeDocument/2006/relationships/hyperlink" Target="https://www.alignmentforum.org/posts/SzecSPYxqRa5GCaSF/clarifying-inner-alignment-terminology" TargetMode="External"/><Relationship Id="rId3564" Type="http://schemas.openxmlformats.org/officeDocument/2006/relationships/hyperlink" Target="https://mailchi.mp/8234356e4b7f/alignment-newsletter-13" TargetMode="External"/><Relationship Id="rId311" Type="http://schemas.openxmlformats.org/officeDocument/2006/relationships/hyperlink" Target="https://www.lesswrong.com/posts/ZnA3hxLY45Qr2cCd3/believable-promises" TargetMode="External"/><Relationship Id="rId2233" Type="http://schemas.openxmlformats.org/officeDocument/2006/relationships/hyperlink" Target="https://mailchi.mp/0a793230b53a/an-125neural-network-scaling-laws-across-multiple-modalities" TargetMode="External"/><Relationship Id="rId3563" Type="http://schemas.openxmlformats.org/officeDocument/2006/relationships/hyperlink" Target="http://arxiv.org/abs/1806.09460" TargetMode="External"/><Relationship Id="rId310" Type="http://schemas.openxmlformats.org/officeDocument/2006/relationships/hyperlink" Target="https://mailchi.mp/33af21f908b5/reconnaissance-5" TargetMode="External"/><Relationship Id="rId2234" Type="http://schemas.openxmlformats.org/officeDocument/2006/relationships/hyperlink" Target="https://www.alignmentforum.org/posts/WmBukJkEFM72Xr397/mesa-search-vs-mesa-control" TargetMode="External"/><Relationship Id="rId3566" Type="http://schemas.openxmlformats.org/officeDocument/2006/relationships/hyperlink" Target="https://mailchi.mp/8234356e4b7f/alignment-newsletter-13" TargetMode="External"/><Relationship Id="rId2235" Type="http://schemas.openxmlformats.org/officeDocument/2006/relationships/hyperlink" Target="https://www.alignmentforum.org/posts/J9D6Bi3eFDDhCaovi/will-transparency-help-catch-deception-perhaps-not" TargetMode="External"/><Relationship Id="rId3565" Type="http://schemas.openxmlformats.org/officeDocument/2006/relationships/hyperlink" Target="https://arxiv.org/abs/1806.05695" TargetMode="External"/><Relationship Id="rId4040" Type="http://schemas.openxmlformats.org/officeDocument/2006/relationships/hyperlink" Target="http://arxiv.org/abs/1805.10265" TargetMode="External"/><Relationship Id="rId4042" Type="http://schemas.openxmlformats.org/officeDocument/2006/relationships/hyperlink" Target="https://alignmentforum.org/posts/n3YRDJYCnQcDAw29G/verification-and-transparency" TargetMode="External"/><Relationship Id="rId4041" Type="http://schemas.openxmlformats.org/officeDocument/2006/relationships/hyperlink" Target="https://mailchi.mp/a1ae6b62df21/alignment-newsletter-9" TargetMode="External"/><Relationship Id="rId4044" Type="http://schemas.openxmlformats.org/officeDocument/2006/relationships/hyperlink" Target="http://arxiv.org/abs/1904.09959" TargetMode="External"/><Relationship Id="rId4043" Type="http://schemas.openxmlformats.org/officeDocument/2006/relationships/hyperlink" Target="https://mailchi.mp/1106d0ce6766/an-76how-dataset-size-affects-robustness-and-benchmarking-safe-exploration-by-measuring-constraint-violations" TargetMode="External"/><Relationship Id="rId4046" Type="http://schemas.openxmlformats.org/officeDocument/2006/relationships/hyperlink" Target="https://arxiv.org/abs/1903.06758" TargetMode="External"/><Relationship Id="rId4045" Type="http://schemas.openxmlformats.org/officeDocument/2006/relationships/hyperlink" Target="https://mailchi.mp/3e2f43012b07/an-54-boxing-a-finite-horizon-ai-system-to-keep-it-unambitious" TargetMode="External"/><Relationship Id="rId4048" Type="http://schemas.openxmlformats.org/officeDocument/2006/relationships/hyperlink" Target="https://arxiv.org/abs/1708.06374" TargetMode="External"/><Relationship Id="rId4047" Type="http://schemas.openxmlformats.org/officeDocument/2006/relationships/hyperlink" Target="https://mailchi.mp/1e757d9b05cb/alignment-newsletter-52" TargetMode="External"/><Relationship Id="rId4049" Type="http://schemas.openxmlformats.org/officeDocument/2006/relationships/hyperlink" Target="https://mailchi.mp/b6dc636f6a1b/alignment-newsletter-33" TargetMode="External"/><Relationship Id="rId4031" Type="http://schemas.openxmlformats.org/officeDocument/2006/relationships/hyperlink" Target="https://mailchi.mp/c48f996a5db5/alignment-newsletter-46" TargetMode="External"/><Relationship Id="rId4030" Type="http://schemas.openxmlformats.org/officeDocument/2006/relationships/hyperlink" Target="https://arxiv.org/abs/1902.02918" TargetMode="External"/><Relationship Id="rId297" Type="http://schemas.openxmlformats.org/officeDocument/2006/relationships/hyperlink" Target="https://mailchi.mp/ff6340049bd0/alignment-newsletter-1" TargetMode="External"/><Relationship Id="rId4033" Type="http://schemas.openxmlformats.org/officeDocument/2006/relationships/hyperlink" Target="https://mailchi.mp/b6dc636f6a1b/alignment-newsletter-33" TargetMode="External"/><Relationship Id="rId296" Type="http://schemas.openxmlformats.org/officeDocument/2006/relationships/hyperlink" Target="https://agentfoundations.org/item?id=1785" TargetMode="External"/><Relationship Id="rId4032" Type="http://schemas.openxmlformats.org/officeDocument/2006/relationships/hyperlink" Target="https://arxiv.org/abs/1711.07356" TargetMode="External"/><Relationship Id="rId295" Type="http://schemas.openxmlformats.org/officeDocument/2006/relationships/hyperlink" Target="https://mailchi.mp/ff6340049bd0/alignment-newsletter-1" TargetMode="External"/><Relationship Id="rId4035" Type="http://schemas.openxmlformats.org/officeDocument/2006/relationships/hyperlink" Target="https://mailchi.mp/d1da78ed4aac/an-124provably-safe-exploration-through-shielding" TargetMode="External"/><Relationship Id="rId294" Type="http://schemas.openxmlformats.org/officeDocument/2006/relationships/hyperlink" Target="https://agentfoundations.org/item?id=1786" TargetMode="External"/><Relationship Id="rId4034" Type="http://schemas.openxmlformats.org/officeDocument/2006/relationships/hyperlink" Target="http://arxiv.org/abs/1907.07273" TargetMode="External"/><Relationship Id="rId4037" Type="http://schemas.openxmlformats.org/officeDocument/2006/relationships/hyperlink" Target="https://mailchi.mp/d1da78ed4aac/an-124provably-safe-exploration-through-shielding" TargetMode="External"/><Relationship Id="rId4036" Type="http://schemas.openxmlformats.org/officeDocument/2006/relationships/hyperlink" Target="https://arxiv.org/abs/2010.11645" TargetMode="External"/><Relationship Id="rId299" Type="http://schemas.openxmlformats.org/officeDocument/2006/relationships/hyperlink" Target="https://mailchi.mp/33af21f908b5/reconnaissance-5" TargetMode="External"/><Relationship Id="rId4039" Type="http://schemas.openxmlformats.org/officeDocument/2006/relationships/hyperlink" Target="https://mailchi.mp/2fbece2a4915/an-98understanding-neural-net-training-by-seeing-which-gradients-were-helpful" TargetMode="External"/><Relationship Id="rId298" Type="http://schemas.openxmlformats.org/officeDocument/2006/relationships/hyperlink" Target="https://agentfoundations.org/item?id=1777" TargetMode="External"/><Relationship Id="rId4038" Type="http://schemas.openxmlformats.org/officeDocument/2006/relationships/hyperlink" Target="https://calhoun.nps.edu/handle/10945/61086" TargetMode="External"/><Relationship Id="rId4060" Type="http://schemas.openxmlformats.org/officeDocument/2006/relationships/hyperlink" Target="http://arxiv.org/abs/1811.02625" TargetMode="External"/><Relationship Id="rId4062" Type="http://schemas.openxmlformats.org/officeDocument/2006/relationships/hyperlink" Target="https://arxiv.org/abs/2104.00739" TargetMode="External"/><Relationship Id="rId4061" Type="http://schemas.openxmlformats.org/officeDocument/2006/relationships/hyperlink" Target="https://mailchi.mp/8f5d302499be/alignment-newsletter-32" TargetMode="External"/><Relationship Id="rId4064" Type="http://schemas.openxmlformats.org/officeDocument/2006/relationships/hyperlink" Target="https://arxiv.org/abs/2007.01223" TargetMode="External"/><Relationship Id="rId4063" Type="http://schemas.openxmlformats.org/officeDocument/2006/relationships/hyperlink" Target="https://mailchi.mp/7131b053140f/an-145-our-three-year-anniversary" TargetMode="External"/><Relationship Id="rId4066" Type="http://schemas.openxmlformats.org/officeDocument/2006/relationships/hyperlink" Target="http://arxiv.org/abs/1805.08328" TargetMode="External"/><Relationship Id="rId4065" Type="http://schemas.openxmlformats.org/officeDocument/2006/relationships/hyperlink" Target="https://mailchi.mp/d1da78ed4aac/an-124provably-safe-exploration-through-shielding" TargetMode="External"/><Relationship Id="rId4068" Type="http://schemas.openxmlformats.org/officeDocument/2006/relationships/hyperlink" Target="http://arxiv.org/abs/1807.03571" TargetMode="External"/><Relationship Id="rId4067" Type="http://schemas.openxmlformats.org/officeDocument/2006/relationships/hyperlink" Target="https://mailchi.mp/15397ab6f65c/alignment-newsletter-8" TargetMode="External"/><Relationship Id="rId4069" Type="http://schemas.openxmlformats.org/officeDocument/2006/relationships/hyperlink" Target="https://mailchi.mp/f2950ed2ac4b/alignment-newsletter-16" TargetMode="External"/><Relationship Id="rId4051" Type="http://schemas.openxmlformats.org/officeDocument/2006/relationships/hyperlink" Target="https://mailchi.mp/7d0e3916e3d9/alignment-newsletter-31" TargetMode="External"/><Relationship Id="rId4050" Type="http://schemas.openxmlformats.org/officeDocument/2006/relationships/hyperlink" Target="http://arxiv.org/abs/1810.12715" TargetMode="External"/><Relationship Id="rId4053" Type="http://schemas.openxmlformats.org/officeDocument/2006/relationships/hyperlink" Target="https://mailchi.mp/df2e472140b6/alignment-newsletter-28" TargetMode="External"/><Relationship Id="rId4052" Type="http://schemas.openxmlformats.org/officeDocument/2006/relationships/hyperlink" Target="http://arxiv.org/abs/1810.01989" TargetMode="External"/><Relationship Id="rId4055" Type="http://schemas.openxmlformats.org/officeDocument/2006/relationships/hyperlink" Target="https://mailchi.mp/0c5eeec28f75/alignment-newsletter-25" TargetMode="External"/><Relationship Id="rId4054" Type="http://schemas.openxmlformats.org/officeDocument/2006/relationships/hyperlink" Target="http://arxiv.org/abs/1809.03008" TargetMode="External"/><Relationship Id="rId4057" Type="http://schemas.openxmlformats.org/officeDocument/2006/relationships/hyperlink" Target="https://mailchi.mp/4a4bc2286f53/alignment-newsletter-14" TargetMode="External"/><Relationship Id="rId4056" Type="http://schemas.openxmlformats.org/officeDocument/2006/relationships/hyperlink" Target="http://arxiv.org/abs/1807.00403" TargetMode="External"/><Relationship Id="rId4059" Type="http://schemas.openxmlformats.org/officeDocument/2006/relationships/hyperlink" Target="https://mailchi.mp/df363224d0e4/an-107-the-convergent-instrumental-subgoals-of-goal-directed-agents" TargetMode="External"/><Relationship Id="rId4058" Type="http://schemas.openxmlformats.org/officeDocument/2006/relationships/hyperlink" Target="http://arxiv.org/abs/2004.06496" TargetMode="External"/><Relationship Id="rId4008" Type="http://schemas.openxmlformats.org/officeDocument/2006/relationships/hyperlink" Target="https://www.alignmentforum.org/posts/DfcywmqRSkBaCB6Ma/intuitions-about-goal-directed-behavior" TargetMode="External"/><Relationship Id="rId4007" Type="http://schemas.openxmlformats.org/officeDocument/2006/relationships/hyperlink" Target="https://mailchi.mp/bbd47ba94e84/alignment-newsletter-35" TargetMode="External"/><Relationship Id="rId4009" Type="http://schemas.openxmlformats.org/officeDocument/2006/relationships/hyperlink" Target="https://mailchi.mp/bbd47ba94e84/alignment-newsletter-35" TargetMode="External"/><Relationship Id="rId271" Type="http://schemas.openxmlformats.org/officeDocument/2006/relationships/hyperlink" Target="https://www.lesswrong.com/posts/YSH3RFSFESzsa5Nrg/counterfactuals-thick-and-thin" TargetMode="External"/><Relationship Id="rId270" Type="http://schemas.openxmlformats.org/officeDocument/2006/relationships/hyperlink" Target="https://mailchi.mp/4b19d2caa5a9/alignment-newsletter-19" TargetMode="External"/><Relationship Id="rId269" Type="http://schemas.openxmlformats.org/officeDocument/2006/relationships/hyperlink" Target="https://mailchi.mp/4b19d2caa5a9/alignment-newsletter-19" TargetMode="External"/><Relationship Id="rId264" Type="http://schemas.openxmlformats.org/officeDocument/2006/relationships/hyperlink" Target="https://agentfoundations.org/item?id=1793" TargetMode="External"/><Relationship Id="rId4000" Type="http://schemas.openxmlformats.org/officeDocument/2006/relationships/hyperlink" Target="https://www.alignmentforum.org/posts/vX7KirQwHsBaSEdfK/what-is-narrow-value-learning" TargetMode="External"/><Relationship Id="rId263" Type="http://schemas.openxmlformats.org/officeDocument/2006/relationships/hyperlink" Target="https://mailchi.mp/14782876a85d/alignment-newsletter-2" TargetMode="External"/><Relationship Id="rId262" Type="http://schemas.openxmlformats.org/officeDocument/2006/relationships/hyperlink" Target="https://agentfoundations.org/item?id=1792" TargetMode="External"/><Relationship Id="rId4002" Type="http://schemas.openxmlformats.org/officeDocument/2006/relationships/hyperlink" Target="https://www.alignmentforum.org/posts/tHxXdAn8Yuiy9y2pZ/ai-safety-without-goal-directed-behavior" TargetMode="External"/><Relationship Id="rId261" Type="http://schemas.openxmlformats.org/officeDocument/2006/relationships/hyperlink" Target="https://mailchi.mp/d92bd0fefc83/alignment-newsletter-20" TargetMode="External"/><Relationship Id="rId4001" Type="http://schemas.openxmlformats.org/officeDocument/2006/relationships/hyperlink" Target="https://mailchi.mp/8c3f02cabccd/alignment-newsletter-41" TargetMode="External"/><Relationship Id="rId268" Type="http://schemas.openxmlformats.org/officeDocument/2006/relationships/hyperlink" Target="https://www.alignmentforum.org/posts/nsbKeodxHJFKX2yYp/probabilistic-tiling-preliminary-attempt" TargetMode="External"/><Relationship Id="rId4004" Type="http://schemas.openxmlformats.org/officeDocument/2006/relationships/hyperlink" Target="https://www.alignmentforum.org/posts/9zpT9dikrrebdq3Jf/will-humans-build-goal-directed-agents" TargetMode="External"/><Relationship Id="rId267" Type="http://schemas.openxmlformats.org/officeDocument/2006/relationships/hyperlink" Target="https://mailchi.mp/14782876a85d/alignment-newsletter-2" TargetMode="External"/><Relationship Id="rId4003" Type="http://schemas.openxmlformats.org/officeDocument/2006/relationships/hyperlink" Target="https://mailchi.mp/b649f32b07da/alignment-newsletter-40" TargetMode="External"/><Relationship Id="rId266" Type="http://schemas.openxmlformats.org/officeDocument/2006/relationships/hyperlink" Target="https://www.lesswrong.com/posts/eN3xij74ZjaLhsc2Q/idea-openai-gym-environments-where-the-ai-is-a-part-of-the" TargetMode="External"/><Relationship Id="rId4006" Type="http://schemas.openxmlformats.org/officeDocument/2006/relationships/hyperlink" Target="https://www.alignmentforum.org/posts/NxF5G6CJiof6cemTw/coherence-arguments-do-not-imply-goal-directed-behavior" TargetMode="External"/><Relationship Id="rId265" Type="http://schemas.openxmlformats.org/officeDocument/2006/relationships/hyperlink" Target="https://mailchi.mp/14782876a85d/alignment-newsletter-2" TargetMode="External"/><Relationship Id="rId4005" Type="http://schemas.openxmlformats.org/officeDocument/2006/relationships/hyperlink" Target="https://mailchi.mp/b649f32b07da/alignment-newsletter-40" TargetMode="External"/><Relationship Id="rId260" Type="http://schemas.openxmlformats.org/officeDocument/2006/relationships/hyperlink" Target="https://www.alignmentforum.org/posts/NcA3dMJoWWEN4BQet/logical-counterfactuals-and-the-cooperation-game" TargetMode="External"/><Relationship Id="rId259" Type="http://schemas.openxmlformats.org/officeDocument/2006/relationships/hyperlink" Target="https://mailchi.mp/e6a23da2760e/alignment-newsletter-3?e=f665c7b50a" TargetMode="External"/><Relationship Id="rId258" Type="http://schemas.openxmlformats.org/officeDocument/2006/relationships/hyperlink" Target="https://agentfoundations.org/item?id=1794" TargetMode="External"/><Relationship Id="rId2290" Type="http://schemas.openxmlformats.org/officeDocument/2006/relationships/hyperlink" Target="http://proceedings.mlr.press/v97/bouthillier19a.html" TargetMode="External"/><Relationship Id="rId2291" Type="http://schemas.openxmlformats.org/officeDocument/2006/relationships/hyperlink" Target="https://mailchi.mp/c8ea4a5e842f/an-66-decomposing-robustness-into-capability-robustness-and-alignment-robustness" TargetMode="External"/><Relationship Id="rId2292" Type="http://schemas.openxmlformats.org/officeDocument/2006/relationships/hyperlink" Target="http://www.incompleteideas.net/IncIdeas/BitterLesson.html" TargetMode="External"/><Relationship Id="rId2293" Type="http://schemas.openxmlformats.org/officeDocument/2006/relationships/hyperlink" Target="https://mailchi.mp/efed27be268a/alignment-newsletter-49" TargetMode="External"/><Relationship Id="rId253" Type="http://schemas.openxmlformats.org/officeDocument/2006/relationships/hyperlink" Target="https://mailchi.mp/ff565f097630/an-83-sample-efficient-deep-learning-with-remixmatch" TargetMode="External"/><Relationship Id="rId2294" Type="http://schemas.openxmlformats.org/officeDocument/2006/relationships/hyperlink" Target="https://aiindex.stanford.edu/report/" TargetMode="External"/><Relationship Id="rId252" Type="http://schemas.openxmlformats.org/officeDocument/2006/relationships/hyperlink" Target="https://www.alignmentforum.org/posts/Kr76XzME7TFkN937z/predictors-exist-cdt-going-bonkers-forever" TargetMode="External"/><Relationship Id="rId2295" Type="http://schemas.openxmlformats.org/officeDocument/2006/relationships/hyperlink" Target="https://mailchi.mp/23ad2781da2f/an-144how-language-models-can-also-be-finetuned-for-non-language-tasks" TargetMode="External"/><Relationship Id="rId251" Type="http://schemas.openxmlformats.org/officeDocument/2006/relationships/hyperlink" Target="https://mailchi.mp/0180cf9ba264/an-90how-search-landscapes-can-contain-self-reinforcing-feedback-loops" TargetMode="External"/><Relationship Id="rId2296" Type="http://schemas.openxmlformats.org/officeDocument/2006/relationships/hyperlink" Target="https://aiindex.stanford.edu/wp-content/uploads/2021/03/2021-AI-Index-Report_Master.pdf" TargetMode="External"/><Relationship Id="rId250" Type="http://schemas.openxmlformats.org/officeDocument/2006/relationships/hyperlink" Target="https://www.alignmentforum.org/posts/t7jGT7uyf56TGjeba/subjective-implication-decision-theory-in-critical" TargetMode="External"/><Relationship Id="rId2297" Type="http://schemas.openxmlformats.org/officeDocument/2006/relationships/hyperlink" Target="https://arxiv.org/abs/1906.05909" TargetMode="External"/><Relationship Id="rId257" Type="http://schemas.openxmlformats.org/officeDocument/2006/relationships/hyperlink" Target="https://mailchi.mp/0ae5d69de63b/alignment-newsletter-5" TargetMode="External"/><Relationship Id="rId2298" Type="http://schemas.openxmlformats.org/officeDocument/2006/relationships/hyperlink" Target="https://mailchi.mp/0b74c28413c0/an-64-using-deep-rl-and-reward-uncertainty-to-incentivize-preference-learning" TargetMode="External"/><Relationship Id="rId256" Type="http://schemas.openxmlformats.org/officeDocument/2006/relationships/hyperlink" Target="https://agentfoundations.org/item?id=1797" TargetMode="External"/><Relationship Id="rId2299" Type="http://schemas.openxmlformats.org/officeDocument/2006/relationships/hyperlink" Target="https://www.notion.so/Explainable-AI-Sparse-Representations-and-Signals-fedf1522aff4415d8f156e1f94bb80c5" TargetMode="External"/><Relationship Id="rId255" Type="http://schemas.openxmlformats.org/officeDocument/2006/relationships/hyperlink" Target="https://mailchi.mp/ff565f097630/an-83-sample-efficient-deep-learning-with-remixmatch" TargetMode="External"/><Relationship Id="rId254" Type="http://schemas.openxmlformats.org/officeDocument/2006/relationships/hyperlink" Target="https://www.alignmentforum.org/posts/9m2fzjNSJmd3yxxKG/acdt-a-hack-y-acausal-decision-theory" TargetMode="External"/><Relationship Id="rId4029" Type="http://schemas.openxmlformats.org/officeDocument/2006/relationships/hyperlink" Target="https://mailchi.mp/d1da78ed4aac/an-124provably-safe-exploration-through-shielding" TargetMode="External"/><Relationship Id="rId293" Type="http://schemas.openxmlformats.org/officeDocument/2006/relationships/hyperlink" Target="https://mailchi.mp/d1a19c140226/alignment-newsletter-10" TargetMode="External"/><Relationship Id="rId292" Type="http://schemas.openxmlformats.org/officeDocument/2006/relationships/hyperlink" Target="https://agentfoundations.org/item?id=1806" TargetMode="External"/><Relationship Id="rId291" Type="http://schemas.openxmlformats.org/officeDocument/2006/relationships/hyperlink" Target="https://mailchi.mp/d1a19c140226/alignment-newsletter-10" TargetMode="External"/><Relationship Id="rId290" Type="http://schemas.openxmlformats.org/officeDocument/2006/relationships/hyperlink" Target="https://agentfoundations.org/item?id=1804" TargetMode="External"/><Relationship Id="rId4020" Type="http://schemas.openxmlformats.org/officeDocument/2006/relationships/hyperlink" Target="https://www.alignmentforum.org/posts/h9DesGT3WT9u2k7Hr/the-easy-goal-inference-problem-is-still-hard" TargetMode="External"/><Relationship Id="rId286" Type="http://schemas.openxmlformats.org/officeDocument/2006/relationships/hyperlink" Target="https://agentfoundations.org/item?id=1807" TargetMode="External"/><Relationship Id="rId4022" Type="http://schemas.openxmlformats.org/officeDocument/2006/relationships/hyperlink" Target="https://www.alignmentforum.org/posts/5eX8ko7GCxwR5N9mN/what-is-ambitious-value-learning" TargetMode="External"/><Relationship Id="rId285" Type="http://schemas.openxmlformats.org/officeDocument/2006/relationships/hyperlink" Target="https://mailchi.mp/d1a19c140226/alignment-newsletter-10" TargetMode="External"/><Relationship Id="rId4021" Type="http://schemas.openxmlformats.org/officeDocument/2006/relationships/hyperlink" Target="https://mailchi.mp/7d0e3916e3d9/alignment-newsletter-31" TargetMode="External"/><Relationship Id="rId284" Type="http://schemas.openxmlformats.org/officeDocument/2006/relationships/hyperlink" Target="https://agentfoundations.org/item?id=1810" TargetMode="External"/><Relationship Id="rId4024" Type="http://schemas.openxmlformats.org/officeDocument/2006/relationships/hyperlink" Target="https://arxiv.org/abs/1803.06567" TargetMode="External"/><Relationship Id="rId283" Type="http://schemas.openxmlformats.org/officeDocument/2006/relationships/hyperlink" Target="https://mailchi.mp/8234356e4b7f/alignment-newsletter-13" TargetMode="External"/><Relationship Id="rId4023" Type="http://schemas.openxmlformats.org/officeDocument/2006/relationships/hyperlink" Target="https://mailchi.mp/7d0e3916e3d9/alignment-newsletter-31" TargetMode="External"/><Relationship Id="rId4026" Type="http://schemas.openxmlformats.org/officeDocument/2006/relationships/hyperlink" Target="https://arxiv.org/abs/1801.09344" TargetMode="External"/><Relationship Id="rId289" Type="http://schemas.openxmlformats.org/officeDocument/2006/relationships/hyperlink" Target="https://mailchi.mp/d1a19c140226/alignment-newsletter-10" TargetMode="External"/><Relationship Id="rId4025" Type="http://schemas.openxmlformats.org/officeDocument/2006/relationships/hyperlink" Target="https://mailchi.mp/4b19d2caa5a9/alignment-newsletter-19" TargetMode="External"/><Relationship Id="rId288" Type="http://schemas.openxmlformats.org/officeDocument/2006/relationships/hyperlink" Target="https://agentfoundations.org/item?id=1808" TargetMode="External"/><Relationship Id="rId4028" Type="http://schemas.openxmlformats.org/officeDocument/2006/relationships/hyperlink" Target="http://arxiv.org/abs/2009.12612" TargetMode="External"/><Relationship Id="rId287" Type="http://schemas.openxmlformats.org/officeDocument/2006/relationships/hyperlink" Target="https://mailchi.mp/d1a19c140226/alignment-newsletter-10" TargetMode="External"/><Relationship Id="rId4027" Type="http://schemas.openxmlformats.org/officeDocument/2006/relationships/hyperlink" Target="https://mailchi.mp/4b19d2caa5a9/alignment-newsletter-19" TargetMode="External"/><Relationship Id="rId4019" Type="http://schemas.openxmlformats.org/officeDocument/2006/relationships/hyperlink" Target="https://mailchi.mp/7d0e3916e3d9/alignment-newsletter-31" TargetMode="External"/><Relationship Id="rId4018" Type="http://schemas.openxmlformats.org/officeDocument/2006/relationships/hyperlink" Target="https://www.alignmentforum.org/posts/oH8KMnXHnw964QyS6/preface-to-the-sequence-on-value-learning" TargetMode="External"/><Relationship Id="rId282" Type="http://schemas.openxmlformats.org/officeDocument/2006/relationships/hyperlink" Target="https://intelligence.org/2018/06/27/forecasting-using-incomplete-models/" TargetMode="External"/><Relationship Id="rId281" Type="http://schemas.openxmlformats.org/officeDocument/2006/relationships/hyperlink" Target="https://mailchi.mp/8234356e4b7f/alignment-newsletter-13" TargetMode="External"/><Relationship Id="rId280" Type="http://schemas.openxmlformats.org/officeDocument/2006/relationships/hyperlink" Target="https://www.lesswrong.com/posts/q9xHFf8duqbc45YvT/logical-uncertainty-and-mathematical-uncertainty" TargetMode="External"/><Relationship Id="rId275" Type="http://schemas.openxmlformats.org/officeDocument/2006/relationships/hyperlink" Target="https://www.lesswrong.com/posts/Nx4DsTpMaoTiTp4RQ/conceptual-problems-with-utility-functions" TargetMode="External"/><Relationship Id="rId4011" Type="http://schemas.openxmlformats.org/officeDocument/2006/relationships/hyperlink" Target="https://mailchi.mp/8f5d302499be/alignment-newsletter-32" TargetMode="External"/><Relationship Id="rId274" Type="http://schemas.openxmlformats.org/officeDocument/2006/relationships/hyperlink" Target="https://mailchi.mp/ad852629e45a/alignment-newsletter-17" TargetMode="External"/><Relationship Id="rId4010" Type="http://schemas.openxmlformats.org/officeDocument/2006/relationships/hyperlink" Target="https://www.alignmentforum.org/posts/EhNCnCkmu7MwrQ7yz/future-directions-for-ambitious-value-learning" TargetMode="External"/><Relationship Id="rId273" Type="http://schemas.openxmlformats.org/officeDocument/2006/relationships/hyperlink" Target="https://www.lesswrong.com/posts/QmeguSp4Pm7gecJCz/conceptual-problems-with-utility-functions-second-attempt-at" TargetMode="External"/><Relationship Id="rId4013" Type="http://schemas.openxmlformats.org/officeDocument/2006/relationships/hyperlink" Target="https://mailchi.mp/8f5d302499be/alignment-newsletter-32" TargetMode="External"/><Relationship Id="rId272" Type="http://schemas.openxmlformats.org/officeDocument/2006/relationships/hyperlink" Target="https://mailchi.mp/51717855ea27/alignment-newsletter-18" TargetMode="External"/><Relationship Id="rId4012" Type="http://schemas.openxmlformats.org/officeDocument/2006/relationships/hyperlink" Target="https://www.alignmentforum.org/posts/gnvrixhDfG7S2TpNL/latent-variables-and-model-mis-specification" TargetMode="External"/><Relationship Id="rId279" Type="http://schemas.openxmlformats.org/officeDocument/2006/relationships/hyperlink" Target="https://mailchi.mp/ad852629e45a/alignment-newsletter-17" TargetMode="External"/><Relationship Id="rId4015" Type="http://schemas.openxmlformats.org/officeDocument/2006/relationships/hyperlink" Target="https://mailchi.mp/8f5d302499be/alignment-newsletter-32" TargetMode="External"/><Relationship Id="rId278" Type="http://schemas.openxmlformats.org/officeDocument/2006/relationships/hyperlink" Target="https://www.lesswrong.com/posts/YSEtEtqf8hRBhKBS9/the-evil-genie-puzzle" TargetMode="External"/><Relationship Id="rId4014" Type="http://schemas.openxmlformats.org/officeDocument/2006/relationships/hyperlink" Target="https://www.alignmentforum.org/posts/cnC2RMWEGiGpJv8go/model-mis-specification-and-inverse-reinforcement-learning" TargetMode="External"/><Relationship Id="rId277" Type="http://schemas.openxmlformats.org/officeDocument/2006/relationships/hyperlink" Target="https://mailchi.mp/ad852629e45a/alignment-newsletter-17" TargetMode="External"/><Relationship Id="rId4017" Type="http://schemas.openxmlformats.org/officeDocument/2006/relationships/hyperlink" Target="https://mailchi.mp/7d0e3916e3d9/alignment-newsletter-31" TargetMode="External"/><Relationship Id="rId276" Type="http://schemas.openxmlformats.org/officeDocument/2006/relationships/hyperlink" Target="https://www.lesswrong.com/posts/Say4sCQ2g22HGsbRT/exorcizing-the-speed-prior" TargetMode="External"/><Relationship Id="rId4016" Type="http://schemas.openxmlformats.org/officeDocument/2006/relationships/hyperlink" Target="https://www.alignmentforum.org/posts/ANupXf8XfZo2EJxGv/humans-can-be-assigned-any-values-whatsoever" TargetMode="External"/><Relationship Id="rId1851" Type="http://schemas.openxmlformats.org/officeDocument/2006/relationships/hyperlink" Target="https://www.aaai.org/Papers/IJCAI/2007/IJCAI07-416.pdf" TargetMode="External"/><Relationship Id="rId1852" Type="http://schemas.openxmlformats.org/officeDocument/2006/relationships/hyperlink" Target="https://mailchi.mp/395179bd3c3d/an-132complex-and-subtly-incorrect-arguments-as-an-obstacle-to-debate" TargetMode="External"/><Relationship Id="rId1853" Type="http://schemas.openxmlformats.org/officeDocument/2006/relationships/hyperlink" Target="https://axrp.net/episode/2020/12/11/episode-2-learning-human-biases-rohin-shah.html" TargetMode="External"/><Relationship Id="rId1854" Type="http://schemas.openxmlformats.org/officeDocument/2006/relationships/hyperlink" Target="https://mailchi.mp/073921bbc4b8/an-130-a-new-ai-x-risk-podcast-and-reviews-of-the-field" TargetMode="External"/><Relationship Id="rId1855" Type="http://schemas.openxmlformats.org/officeDocument/2006/relationships/hyperlink" Target="https://arxiv.org/abs/2011.06118" TargetMode="External"/><Relationship Id="rId1856" Type="http://schemas.openxmlformats.org/officeDocument/2006/relationships/hyperlink" Target="https://mailchi.mp/77121cab0cff/an-126-avoiding-wireheading-by-decoupling-action-feedback-from-action-effects" TargetMode="External"/><Relationship Id="rId1857" Type="http://schemas.openxmlformats.org/officeDocument/2006/relationships/hyperlink" Target="https://ai.googleblog.com/2020/09/imitation-learning-in-low-data-regime.html" TargetMode="External"/><Relationship Id="rId1858" Type="http://schemas.openxmlformats.org/officeDocument/2006/relationships/hyperlink" Target="https://mailchi.mp/d1da78ed4aac/an-124provably-safe-exploration-through-shielding" TargetMode="External"/><Relationship Id="rId1859" Type="http://schemas.openxmlformats.org/officeDocument/2006/relationships/hyperlink" Target="https://arxiv.org/abs/2006.04678" TargetMode="External"/><Relationship Id="rId1850" Type="http://schemas.openxmlformats.org/officeDocument/2006/relationships/hyperlink" Target="https://mailchi.mp/395179bd3c3d/an-132complex-and-subtly-incorrect-arguments-as-an-obstacle-to-debate" TargetMode="External"/><Relationship Id="rId1840" Type="http://schemas.openxmlformats.org/officeDocument/2006/relationships/hyperlink" Target="https://mailchi.mp/aa6782968981/an-155a-minecraft-benchmark-for-algorithms-that-learn-without-reward-functions" TargetMode="External"/><Relationship Id="rId1841" Type="http://schemas.openxmlformats.org/officeDocument/2006/relationships/hyperlink" Target="https://www.alignmentforum.org/posts/fzFyCJ6gB9kBL9RqW/axrp-episode-8-assistance-games-with-dylan-hadfield-menell" TargetMode="External"/><Relationship Id="rId1842" Type="http://schemas.openxmlformats.org/officeDocument/2006/relationships/hyperlink" Target="https://mailchi.mp/79ac4ef6d9da/an-154what-economic-growth-theory-has-to-say-about-transformative-ai" TargetMode="External"/><Relationship Id="rId1843" Type="http://schemas.openxmlformats.org/officeDocument/2006/relationships/hyperlink" Target="https://arxiv.org/abs/2102.05207" TargetMode="External"/><Relationship Id="rId1844" Type="http://schemas.openxmlformats.org/officeDocument/2006/relationships/hyperlink" Target="https://mailchi.mp/dba8371e9221/an-149-the-newsletters-editorial-policy" TargetMode="External"/><Relationship Id="rId1845" Type="http://schemas.openxmlformats.org/officeDocument/2006/relationships/hyperlink" Target="https://arxiv.org/abs/2004.03607" TargetMode="External"/><Relationship Id="rId1846" Type="http://schemas.openxmlformats.org/officeDocument/2006/relationships/hyperlink" Target="https://mailchi.mp/1d67a64ff361/an-147-an-overview-of-the-interpretability-landscape" TargetMode="External"/><Relationship Id="rId1847" Type="http://schemas.openxmlformats.org/officeDocument/2006/relationships/hyperlink" Target="https://www.alignmentforum.org/posts/JKj5Krff5oKMb8TjT/imitative-generalisation-aka-learning-the-prior-1" TargetMode="External"/><Relationship Id="rId1848" Type="http://schemas.openxmlformats.org/officeDocument/2006/relationships/hyperlink" Target="https://mailchi.mp/c8b57f25d787/an-133building-machines-that-can-cooperate-with-humans-institutions-or-other-machines" TargetMode="External"/><Relationship Id="rId1849" Type="http://schemas.openxmlformats.org/officeDocument/2006/relationships/hyperlink" Target="https://arxiv.org/abs/2012.01365" TargetMode="External"/><Relationship Id="rId1873" Type="http://schemas.openxmlformats.org/officeDocument/2006/relationships/hyperlink" Target="https://mailchi.mp/e4e430660ded/an-101-why-we-should-rigorously-measure-and-forecast-ai-progress" TargetMode="External"/><Relationship Id="rId1874" Type="http://schemas.openxmlformats.org/officeDocument/2006/relationships/hyperlink" Target="http://papers.nips.cc/paper/6412-showing-versus-doing-teaching-by-demonstration" TargetMode="External"/><Relationship Id="rId1875" Type="http://schemas.openxmlformats.org/officeDocument/2006/relationships/hyperlink" Target="https://mailchi.mp/e4e430660ded/an-101-why-we-should-rigorously-measure-and-forecast-ai-progress" TargetMode="External"/><Relationship Id="rId1876" Type="http://schemas.openxmlformats.org/officeDocument/2006/relationships/hyperlink" Target="http://www.roboticsproceedings.org/rss10/p31.pdf" TargetMode="External"/><Relationship Id="rId1877" Type="http://schemas.openxmlformats.org/officeDocument/2006/relationships/hyperlink" Target="https://mailchi.mp/33af21f908b5/reconnaissance-5" TargetMode="External"/><Relationship Id="rId1878" Type="http://schemas.openxmlformats.org/officeDocument/2006/relationships/hyperlink" Target="https://deepmind.com/blog/learning-through-human-feedback/" TargetMode="External"/><Relationship Id="rId1879" Type="http://schemas.openxmlformats.org/officeDocument/2006/relationships/hyperlink" Target="http://people.eecs.berkeley.edu/~anca/papers/RSS17_comparisons.pdf" TargetMode="External"/><Relationship Id="rId1870" Type="http://schemas.openxmlformats.org/officeDocument/2006/relationships/hyperlink" Target="https://mailchi.mp/be2a0d160fa2/an-105-the-economic-trajectory-of-humanity-and-what-we-might-mean-by-optimization" TargetMode="External"/><Relationship Id="rId1871" Type="http://schemas.openxmlformats.org/officeDocument/2006/relationships/hyperlink" Target="https://arxiv.org/abs/1904.06387" TargetMode="External"/><Relationship Id="rId1872" Type="http://schemas.openxmlformats.org/officeDocument/2006/relationships/hyperlink" Target="https://arxiv.org/abs/2005.00582" TargetMode="External"/><Relationship Id="rId1862" Type="http://schemas.openxmlformats.org/officeDocument/2006/relationships/hyperlink" Target="https://openai.com/blog/learning-to-summarize-with-human-feedback/" TargetMode="External"/><Relationship Id="rId1863" Type="http://schemas.openxmlformats.org/officeDocument/2006/relationships/hyperlink" Target="https://mailchi.mp/d31663e4d330/an-116-how-to-make-explanations-of-neurons-compositional" TargetMode="External"/><Relationship Id="rId1864" Type="http://schemas.openxmlformats.org/officeDocument/2006/relationships/hyperlink" Target="https://arxiv.org/abs/2009.01325" TargetMode="External"/><Relationship Id="rId1865" Type="http://schemas.openxmlformats.org/officeDocument/2006/relationships/hyperlink" Target="http://arxiv.org/abs/2007.09540" TargetMode="External"/><Relationship Id="rId1866" Type="http://schemas.openxmlformats.org/officeDocument/2006/relationships/hyperlink" Target="https://mailchi.mp/474d6a8a4527/an-110-learning-features-from-human-feedback-to-enable-reward-learning" TargetMode="External"/><Relationship Id="rId1867" Type="http://schemas.openxmlformats.org/officeDocument/2006/relationships/hyperlink" Target="http://arxiv.org/abs/2006.13258" TargetMode="External"/><Relationship Id="rId1868" Type="http://schemas.openxmlformats.org/officeDocument/2006/relationships/hyperlink" Target="https://mailchi.mp/474d6a8a4527/an-110-learning-features-from-human-feedback-to-enable-reward-learning" TargetMode="External"/><Relationship Id="rId1869" Type="http://schemas.openxmlformats.org/officeDocument/2006/relationships/hyperlink" Target="http://arxiv.org/abs/2002.09089" TargetMode="External"/><Relationship Id="rId1860" Type="http://schemas.openxmlformats.org/officeDocument/2006/relationships/hyperlink" Target="https://arxiv.org/abs/1907.08225" TargetMode="External"/><Relationship Id="rId1861" Type="http://schemas.openxmlformats.org/officeDocument/2006/relationships/hyperlink" Target="https://mailchi.mp/42ec72ef7e11/an-120tracing-the-intellectual-roots-of-ai-and-ai-alignment" TargetMode="External"/><Relationship Id="rId1810" Type="http://schemas.openxmlformats.org/officeDocument/2006/relationships/hyperlink" Target="https://mailchi.mp/392d2043e782/an-57why-we-should-focus-on-robustness-in-ai-safety-and-the-analogous-problems-in-programming" TargetMode="External"/><Relationship Id="rId1811" Type="http://schemas.openxmlformats.org/officeDocument/2006/relationships/hyperlink" Target="https://arxiv.org/abs/1904.06387" TargetMode="External"/><Relationship Id="rId1812" Type="http://schemas.openxmlformats.org/officeDocument/2006/relationships/hyperlink" Target="https://mailchi.mp/3e2f43012b07/an-54-boxing-a-finite-horizon-ai-system-to-keep-it-unambitious" TargetMode="External"/><Relationship Id="rId1813" Type="http://schemas.openxmlformats.org/officeDocument/2006/relationships/hyperlink" Target="http://arxiv.org/abs/1902.04257" TargetMode="External"/><Relationship Id="rId1814" Type="http://schemas.openxmlformats.org/officeDocument/2006/relationships/hyperlink" Target="https://mailchi.mp/a90a547f06f2/alignment-newsletter-51" TargetMode="External"/><Relationship Id="rId1815" Type="http://schemas.openxmlformats.org/officeDocument/2006/relationships/hyperlink" Target="https://arxiv.org/abs/1903.03877" TargetMode="External"/><Relationship Id="rId1816" Type="http://schemas.openxmlformats.org/officeDocument/2006/relationships/hyperlink" Target="https://mailchi.mp/93fe1a0a92da/alignment-newsletter-50" TargetMode="External"/><Relationship Id="rId1817" Type="http://schemas.openxmlformats.org/officeDocument/2006/relationships/hyperlink" Target="https://arxiv.org/abs/1902.05542" TargetMode="External"/><Relationship Id="rId1818" Type="http://schemas.openxmlformats.org/officeDocument/2006/relationships/hyperlink" Target="https://mailchi.mp/3091c6e9405c/alignment-newsletter-48" TargetMode="External"/><Relationship Id="rId1819" Type="http://schemas.openxmlformats.org/officeDocument/2006/relationships/hyperlink" Target="http://arxiv.org/abs/1901.02161" TargetMode="External"/><Relationship Id="rId1800" Type="http://schemas.openxmlformats.org/officeDocument/2006/relationships/hyperlink" Target="https://arxiv.org/abs/1907.03976" TargetMode="External"/><Relationship Id="rId1801" Type="http://schemas.openxmlformats.org/officeDocument/2006/relationships/hyperlink" Target="https://mailchi.mp/0dd8eb63fe2d/an-60a-new-ai-challenge-minecraft-agents-that-assist-human-players-in-creative-mode" TargetMode="External"/><Relationship Id="rId1802" Type="http://schemas.openxmlformats.org/officeDocument/2006/relationships/hyperlink" Target="https://www.alignmentforum.org/posts/xxnPxELC4jLKaFKqG/learning-biases-and-rewards-simultaneously" TargetMode="External"/><Relationship Id="rId1803" Type="http://schemas.openxmlformats.org/officeDocument/2006/relationships/hyperlink" Target="https://mailchi.mp/b342d1a1bd06/an-59-how-arguments-for-ai-risk-have-changed-over-time" TargetMode="External"/><Relationship Id="rId1804" Type="http://schemas.openxmlformats.org/officeDocument/2006/relationships/hyperlink" Target="https://arxiv.org/abs/1906.09624" TargetMode="External"/><Relationship Id="rId1805" Type="http://schemas.openxmlformats.org/officeDocument/2006/relationships/hyperlink" Target="http://arxiv.org/abs/1905.09397" TargetMode="External"/><Relationship Id="rId1806" Type="http://schemas.openxmlformats.org/officeDocument/2006/relationships/hyperlink" Target="https://mailchi.mp/b342d1a1bd06/an-59-how-arguments-for-ai-risk-have-changed-over-time" TargetMode="External"/><Relationship Id="rId1807" Type="http://schemas.openxmlformats.org/officeDocument/2006/relationships/hyperlink" Target="https://arxiv.org/abs/1905.12888" TargetMode="External"/><Relationship Id="rId1808" Type="http://schemas.openxmlformats.org/officeDocument/2006/relationships/hyperlink" Target="https://mailchi.mp/92b3a9458c2d/an-58-mesa-optimization-what-it-is-and-why-we-should-care" TargetMode="External"/><Relationship Id="rId1809" Type="http://schemas.openxmlformats.org/officeDocument/2006/relationships/hyperlink" Target="https://arxiv.org/abs/1905.07861" TargetMode="External"/><Relationship Id="rId4070" Type="http://schemas.openxmlformats.org/officeDocument/2006/relationships/drawing" Target="../drawings/drawing1.xml"/><Relationship Id="rId1830" Type="http://schemas.openxmlformats.org/officeDocument/2006/relationships/hyperlink" Target="https://mailchi.mp/1ecd1b775703/alignment-newsletter-26" TargetMode="External"/><Relationship Id="rId1831" Type="http://schemas.openxmlformats.org/officeDocument/2006/relationships/hyperlink" Target="https://arxiv.org/abs/2104.04670" TargetMode="External"/><Relationship Id="rId1832" Type="http://schemas.openxmlformats.org/officeDocument/2006/relationships/hyperlink" Target="https://mailchi.mp/bfd4b0ddf358/an-165when-large-models-are-more-likely-to-lie" TargetMode="External"/><Relationship Id="rId1833" Type="http://schemas.openxmlformats.org/officeDocument/2006/relationships/hyperlink" Target="https://arxiv.org/abs/2109.01652" TargetMode="External"/><Relationship Id="rId1834" Type="http://schemas.openxmlformats.org/officeDocument/2006/relationships/hyperlink" Target="https://mailchi.mp/bfd4b0ddf358/an-165when-large-models-are-more-likely-to-lie" TargetMode="External"/><Relationship Id="rId1835" Type="http://schemas.openxmlformats.org/officeDocument/2006/relationships/hyperlink" Target="https://arxiv.org/abs/2108.03298" TargetMode="External"/><Relationship Id="rId1836" Type="http://schemas.openxmlformats.org/officeDocument/2006/relationships/hyperlink" Target="https://mailchi.mp/24cc937b2489/an-161creating-generalizable-reward-functions-for-multiple-tasks-by-learning-a-model-of-functional-similarity" TargetMode="External"/><Relationship Id="rId1837" Type="http://schemas.openxmlformats.org/officeDocument/2006/relationships/hyperlink" Target="https://arxiv.org/abs/2106.00672" TargetMode="External"/><Relationship Id="rId1838" Type="http://schemas.openxmlformats.org/officeDocument/2006/relationships/hyperlink" Target="https://mailchi.mp/aa6782968981/an-155a-minecraft-benchmark-for-algorithms-that-learn-without-reward-functions" TargetMode="External"/><Relationship Id="rId1839" Type="http://schemas.openxmlformats.org/officeDocument/2006/relationships/hyperlink" Target="https://thegradient.pub/prompting/" TargetMode="External"/><Relationship Id="rId1820" Type="http://schemas.openxmlformats.org/officeDocument/2006/relationships/hyperlink" Target="https://mailchi.mp/8c3f02cabccd/alignment-newsletter-41" TargetMode="External"/><Relationship Id="rId1821" Type="http://schemas.openxmlformats.org/officeDocument/2006/relationships/hyperlink" Target="http://arxiv.org/abs/1810.00821" TargetMode="External"/><Relationship Id="rId1822" Type="http://schemas.openxmlformats.org/officeDocument/2006/relationships/hyperlink" Target="https://mailchi.mp/588354e4b91d/alignment-newsletter-38" TargetMode="External"/><Relationship Id="rId1823" Type="http://schemas.openxmlformats.org/officeDocument/2006/relationships/hyperlink" Target="http://arxiv.org/abs/1811.07882" TargetMode="External"/><Relationship Id="rId1824" Type="http://schemas.openxmlformats.org/officeDocument/2006/relationships/hyperlink" Target="https://mailchi.mp/bbd47ba94e84/alignment-newsletter-35" TargetMode="External"/><Relationship Id="rId1825" Type="http://schemas.openxmlformats.org/officeDocument/2006/relationships/hyperlink" Target="https://arxiv.org/abs/1810.08272" TargetMode="External"/><Relationship Id="rId1826" Type="http://schemas.openxmlformats.org/officeDocument/2006/relationships/hyperlink" Target="https://mailchi.mp/7d0e3916e3d9/alignment-newsletter-31" TargetMode="External"/><Relationship Id="rId1827" Type="http://schemas.openxmlformats.org/officeDocument/2006/relationships/hyperlink" Target="https://arxiv.org/abs/1810.05157" TargetMode="External"/><Relationship Id="rId1828" Type="http://schemas.openxmlformats.org/officeDocument/2006/relationships/hyperlink" Target="https://mailchi.mp/df2e472140b6/alignment-newsletter-28" TargetMode="External"/><Relationship Id="rId1829" Type="http://schemas.openxmlformats.org/officeDocument/2006/relationships/hyperlink" Target="https://arxiv.org/abs/1710.03875" TargetMode="External"/><Relationship Id="rId2302" Type="http://schemas.openxmlformats.org/officeDocument/2006/relationships/hyperlink" Target="https://mailchi.mp/df2e472140b6/alignment-newsletter-28" TargetMode="External"/><Relationship Id="rId3634" Type="http://schemas.openxmlformats.org/officeDocument/2006/relationships/hyperlink" Target="https://mailchi.mp/1ecd1b775703/alignment-newsletter-26" TargetMode="External"/><Relationship Id="rId2303" Type="http://schemas.openxmlformats.org/officeDocument/2006/relationships/hyperlink" Target="https://www.blog.google/products/search/making-it-easier-discover-datasets/" TargetMode="External"/><Relationship Id="rId3633" Type="http://schemas.openxmlformats.org/officeDocument/2006/relationships/hyperlink" Target="http://arxiv.org/abs/1809.07480" TargetMode="External"/><Relationship Id="rId2304" Type="http://schemas.openxmlformats.org/officeDocument/2006/relationships/hyperlink" Target="https://mailchi.mp/9295c961b39b/alignment-newsletter-23" TargetMode="External"/><Relationship Id="rId3636" Type="http://schemas.openxmlformats.org/officeDocument/2006/relationships/hyperlink" Target="https://mailchi.mp/0c5eeec28f75/alignment-newsletter-25" TargetMode="External"/><Relationship Id="rId2305" Type="http://schemas.openxmlformats.org/officeDocument/2006/relationships/hyperlink" Target="https://www.stateof.ai/2021-report-launch.html" TargetMode="External"/><Relationship Id="rId3635" Type="http://schemas.openxmlformats.org/officeDocument/2006/relationships/hyperlink" Target="http://arxiv.org/abs/1809.02206" TargetMode="External"/><Relationship Id="rId2306" Type="http://schemas.openxmlformats.org/officeDocument/2006/relationships/hyperlink" Target="https://mailchi.mp/08a639ffa2ba/an-167concrete-ml-safety-problems-and-their-relevance-to-x-risk" TargetMode="External"/><Relationship Id="rId3638" Type="http://schemas.openxmlformats.org/officeDocument/2006/relationships/hyperlink" Target="https://mailchi.mp/0c5eeec28f75/alignment-newsletter-25" TargetMode="External"/><Relationship Id="rId2307" Type="http://schemas.openxmlformats.org/officeDocument/2006/relationships/hyperlink" Target="https://arxiv.org/abs/2012.05876" TargetMode="External"/><Relationship Id="rId3637" Type="http://schemas.openxmlformats.org/officeDocument/2006/relationships/hyperlink" Target="http://arxiv.org/abs/1809.06305" TargetMode="External"/><Relationship Id="rId2308" Type="http://schemas.openxmlformats.org/officeDocument/2006/relationships/hyperlink" Target="https://mailchi.mp/35524c8e5e8d/an-134underspecification-as-a-cause-of-fragility-to-distribution-shift" TargetMode="External"/><Relationship Id="rId2309" Type="http://schemas.openxmlformats.org/officeDocument/2006/relationships/hyperlink" Target="https://www.stateof.ai/" TargetMode="External"/><Relationship Id="rId3639" Type="http://schemas.openxmlformats.org/officeDocument/2006/relationships/hyperlink" Target="http://arxiv.org/abs/1809.04720" TargetMode="External"/><Relationship Id="rId3630" Type="http://schemas.openxmlformats.org/officeDocument/2006/relationships/hyperlink" Target="https://mailchi.mp/1ecd1b775703/alignment-newsletter-26" TargetMode="External"/><Relationship Id="rId2300" Type="http://schemas.openxmlformats.org/officeDocument/2006/relationships/hyperlink" Target="https://mailchi.mp/2abdf19aa813/an-61ai-policy-and-governance-from-two-people-in-the-field" TargetMode="External"/><Relationship Id="rId3632" Type="http://schemas.openxmlformats.org/officeDocument/2006/relationships/hyperlink" Target="https://mailchi.mp/1ecd1b775703/alignment-newsletter-26" TargetMode="External"/><Relationship Id="rId2301" Type="http://schemas.openxmlformats.org/officeDocument/2006/relationships/hyperlink" Target="https://arxiv.org/abs/1810.04805" TargetMode="External"/><Relationship Id="rId3631" Type="http://schemas.openxmlformats.org/officeDocument/2006/relationships/hyperlink" Target="http://arxiv.org/abs/1809.09095" TargetMode="External"/><Relationship Id="rId3623" Type="http://schemas.openxmlformats.org/officeDocument/2006/relationships/hyperlink" Target="http://arxiv.org/abs/1809.10842" TargetMode="External"/><Relationship Id="rId3622" Type="http://schemas.openxmlformats.org/officeDocument/2006/relationships/hyperlink" Target="https://arxiv.org/abs/1810.03779" TargetMode="External"/><Relationship Id="rId3625" Type="http://schemas.openxmlformats.org/officeDocument/2006/relationships/hyperlink" Target="https://pcc.cs.byu.edu/2018/10/04/introducing-holodeck/" TargetMode="External"/><Relationship Id="rId3624" Type="http://schemas.openxmlformats.org/officeDocument/2006/relationships/hyperlink" Target="https://mailchi.mp/0212425e5544/alignment-newsletter-27" TargetMode="External"/><Relationship Id="rId3627" Type="http://schemas.openxmlformats.org/officeDocument/2006/relationships/hyperlink" Target="http://arxiv.org/abs/1809.07193" TargetMode="External"/><Relationship Id="rId3626" Type="http://schemas.openxmlformats.org/officeDocument/2006/relationships/hyperlink" Target="https://mailchi.mp/0212425e5544/alignment-newsletter-27" TargetMode="External"/><Relationship Id="rId3629" Type="http://schemas.openxmlformats.org/officeDocument/2006/relationships/hyperlink" Target="http://arxiv.org/abs/1809.09332" TargetMode="External"/><Relationship Id="rId3628" Type="http://schemas.openxmlformats.org/officeDocument/2006/relationships/hyperlink" Target="https://mailchi.mp/1ecd1b775703/alignment-newsletter-26" TargetMode="External"/><Relationship Id="rId3621" Type="http://schemas.openxmlformats.org/officeDocument/2006/relationships/hyperlink" Target="https://mailchi.mp/df2e472140b6/alignment-newsletter-28" TargetMode="External"/><Relationship Id="rId3620" Type="http://schemas.openxmlformats.org/officeDocument/2006/relationships/hyperlink" Target="https://designrl.github.io/" TargetMode="External"/><Relationship Id="rId2324" Type="http://schemas.openxmlformats.org/officeDocument/2006/relationships/hyperlink" Target="https://forum.effectivealtruism.org/posts/tDk57GhrdK54TWzPY/i-m-buck-shlegeris-i-do-research-and-outreach-at-miri-ama" TargetMode="External"/><Relationship Id="rId3656" Type="http://schemas.openxmlformats.org/officeDocument/2006/relationships/hyperlink" Target="https://mailchi.mp/15397ab6f65c/alignment-newsletter-8" TargetMode="External"/><Relationship Id="rId2325" Type="http://schemas.openxmlformats.org/officeDocument/2006/relationships/hyperlink" Target="https://mailchi.mp/3e34fa1f299a/an-75-solving-atari-and-go-with-learned-game-models-and-thoughts-from-a-miri-employee" TargetMode="External"/><Relationship Id="rId3655" Type="http://schemas.openxmlformats.org/officeDocument/2006/relationships/hyperlink" Target="http://arxiv.org/abs/1805.07603" TargetMode="External"/><Relationship Id="rId2326" Type="http://schemas.openxmlformats.org/officeDocument/2006/relationships/hyperlink" Target="https://www.amazon.com/Human-Compatible-Artificial-Intelligence-Problem-ebook/dp/B07N5J5FTS" TargetMode="External"/><Relationship Id="rId3658" Type="http://schemas.openxmlformats.org/officeDocument/2006/relationships/hyperlink" Target="https://mailchi.mp/15397ab6f65c/alignment-newsletter-8" TargetMode="External"/><Relationship Id="rId2327" Type="http://schemas.openxmlformats.org/officeDocument/2006/relationships/hyperlink" Target="https://mailchi.mp/59ddebcb3b9a/an-69-stuart-russells-new-book-on-why-we-need-to-replace-the-standard-model-of-ai" TargetMode="External"/><Relationship Id="rId3657" Type="http://schemas.openxmlformats.org/officeDocument/2006/relationships/hyperlink" Target="https://arxiv.org/abs/1805.07813" TargetMode="External"/><Relationship Id="rId2328" Type="http://schemas.openxmlformats.org/officeDocument/2006/relationships/hyperlink" Target="https://futureoflife.org/2019/10/08/ai-alignment-podcast-human-compatible-artificial-intelligence-and-the-problem-of-control-with-stuart-russell/" TargetMode="External"/><Relationship Id="rId2329" Type="http://schemas.openxmlformats.org/officeDocument/2006/relationships/hyperlink" Target="https://mailchi.mp/59ddebcb3b9a/an-69-stuart-russells-new-book-on-why-we-need-to-replace-the-standard-model-of-ai" TargetMode="External"/><Relationship Id="rId3659" Type="http://schemas.openxmlformats.org/officeDocument/2006/relationships/hyperlink" Target="https://arxiv.org/abs/1804.06459" TargetMode="External"/><Relationship Id="rId3650" Type="http://schemas.openxmlformats.org/officeDocument/2006/relationships/hyperlink" Target="https://mailchi.mp/e402599bfb1f/reconnaissance-4" TargetMode="External"/><Relationship Id="rId2320" Type="http://schemas.openxmlformats.org/officeDocument/2006/relationships/hyperlink" Target="https://arxiv.org/abs/2001.09768" TargetMode="External"/><Relationship Id="rId3652" Type="http://schemas.openxmlformats.org/officeDocument/2006/relationships/hyperlink" Target="https://mailchi.mp/e402599bfb1f/reconnaissance-4" TargetMode="External"/><Relationship Id="rId2321" Type="http://schemas.openxmlformats.org/officeDocument/2006/relationships/hyperlink" Target="https://mailchi.mp/84b4235cfa34/an-85-the-normative-questions-we-should-be-asking-for-ai-alignment-and-a-surprisingly-good-chatbot" TargetMode="External"/><Relationship Id="rId3651" Type="http://schemas.openxmlformats.org/officeDocument/2006/relationships/hyperlink" Target="https://arxiv.org/abs/1803.02329" TargetMode="External"/><Relationship Id="rId2322" Type="http://schemas.openxmlformats.org/officeDocument/2006/relationships/hyperlink" Target="https://www.alignmentforum.org/posts/SmDziGM9hBjW9DKmf/2019-ai-alignment-literature-review-and-charity-comparison" TargetMode="External"/><Relationship Id="rId3654" Type="http://schemas.openxmlformats.org/officeDocument/2006/relationships/hyperlink" Target="https://mailchi.mp/15397ab6f65c/alignment-newsletter-8" TargetMode="External"/><Relationship Id="rId2323" Type="http://schemas.openxmlformats.org/officeDocument/2006/relationships/hyperlink" Target="https://mailchi.mp/eef1d6c95d7c/an-78formalizing-power-and-instrumental-convergence-and-the-end-of-year-ai-safety-charity-comparison" TargetMode="External"/><Relationship Id="rId3653" Type="http://schemas.openxmlformats.org/officeDocument/2006/relationships/hyperlink" Target="https://arxiv.org/abs/1805.05935" TargetMode="External"/><Relationship Id="rId2313" Type="http://schemas.openxmlformats.org/officeDocument/2006/relationships/hyperlink" Target="http://arxiv.org/abs/1810.02541" TargetMode="External"/><Relationship Id="rId3645" Type="http://schemas.openxmlformats.org/officeDocument/2006/relationships/hyperlink" Target="https://arxiv.org/abs/1803.10122" TargetMode="External"/><Relationship Id="rId2314" Type="http://schemas.openxmlformats.org/officeDocument/2006/relationships/hyperlink" Target="https://mailchi.mp/df2e472140b6/alignment-newsletter-28" TargetMode="External"/><Relationship Id="rId3644" Type="http://schemas.openxmlformats.org/officeDocument/2006/relationships/hyperlink" Target="https://mailchi.mp/d7b5059d64ed/alignment-newsletter-24" TargetMode="External"/><Relationship Id="rId2315" Type="http://schemas.openxmlformats.org/officeDocument/2006/relationships/hyperlink" Target="https://ought.org/projects/judgments" TargetMode="External"/><Relationship Id="rId3647" Type="http://schemas.openxmlformats.org/officeDocument/2006/relationships/hyperlink" Target="https://arxiv.org/abs/1803.04926" TargetMode="External"/><Relationship Id="rId2316" Type="http://schemas.openxmlformats.org/officeDocument/2006/relationships/hyperlink" Target="https://mailchi.mp/e402599bfb1f/reconnaissance-4" TargetMode="External"/><Relationship Id="rId3646" Type="http://schemas.openxmlformats.org/officeDocument/2006/relationships/hyperlink" Target="https://mailchi.mp/33af21f908b5/reconnaissance-5" TargetMode="External"/><Relationship Id="rId2317" Type="http://schemas.openxmlformats.org/officeDocument/2006/relationships/hyperlink" Target="https://www.amazon.com/Precipice-Existential-Risk-Future-Humanity/dp/0316484911" TargetMode="External"/><Relationship Id="rId3649" Type="http://schemas.openxmlformats.org/officeDocument/2006/relationships/hyperlink" Target="https://arxiv.org/abs/1803.04674" TargetMode="External"/><Relationship Id="rId2318" Type="http://schemas.openxmlformats.org/officeDocument/2006/relationships/hyperlink" Target="https://mailchi.mp/976b1f69179c/an-93the-precipice-were-standing-at-and-how-we-can-back-away-from-it" TargetMode="External"/><Relationship Id="rId3648" Type="http://schemas.openxmlformats.org/officeDocument/2006/relationships/hyperlink" Target="https://mailchi.mp/e402599bfb1f/reconnaissance-4" TargetMode="External"/><Relationship Id="rId2319" Type="http://schemas.openxmlformats.org/officeDocument/2006/relationships/hyperlink" Target="https://futureoflife.org/2020/03/31/he-precipice-existential-risk-and-the-future-of-humanity-with-toby-ord/" TargetMode="External"/><Relationship Id="rId3641" Type="http://schemas.openxmlformats.org/officeDocument/2006/relationships/hyperlink" Target="http://arxiv.org/abs/1809.03406" TargetMode="External"/><Relationship Id="rId2310" Type="http://schemas.openxmlformats.org/officeDocument/2006/relationships/hyperlink" Target="https://mailchi.mp/42ec72ef7e11/an-120tracing-the-intellectual-roots-of-ai-and-ai-alignment" TargetMode="External"/><Relationship Id="rId3640" Type="http://schemas.openxmlformats.org/officeDocument/2006/relationships/hyperlink" Target="https://mailchi.mp/0c5eeec28f75/alignment-newsletter-25" TargetMode="External"/><Relationship Id="rId2311" Type="http://schemas.openxmlformats.org/officeDocument/2006/relationships/hyperlink" Target="https://arxiv.org/abs/2004.09044" TargetMode="External"/><Relationship Id="rId3643" Type="http://schemas.openxmlformats.org/officeDocument/2006/relationships/hyperlink" Target="http://arxiv.org/abs/1809.02121" TargetMode="External"/><Relationship Id="rId2312" Type="http://schemas.openxmlformats.org/officeDocument/2006/relationships/hyperlink" Target="https://mailchi.mp/30b144930924/an-119ai-safety-when-agents-are-shaped-by-environments-not-rewards" TargetMode="External"/><Relationship Id="rId3642" Type="http://schemas.openxmlformats.org/officeDocument/2006/relationships/hyperlink" Target="https://mailchi.mp/d7b5059d64ed/alignment-newsletter-24" TargetMode="External"/><Relationship Id="rId1895" Type="http://schemas.openxmlformats.org/officeDocument/2006/relationships/hyperlink" Target="http://arxiv.org/abs/1805.08313" TargetMode="External"/><Relationship Id="rId1896" Type="http://schemas.openxmlformats.org/officeDocument/2006/relationships/hyperlink" Target="https://mailchi.mp/a1ae6b62df21/alignment-newsletter-9" TargetMode="External"/><Relationship Id="rId1897" Type="http://schemas.openxmlformats.org/officeDocument/2006/relationships/hyperlink" Target="https://arxiv.org/abs/1906.05838" TargetMode="External"/><Relationship Id="rId1898" Type="http://schemas.openxmlformats.org/officeDocument/2006/relationships/hyperlink" Target="https://mailchi.mp/76ad355daab7/an-89-a-unifying-formalism-for-preference-learning-algorithms" TargetMode="External"/><Relationship Id="rId1899" Type="http://schemas.openxmlformats.org/officeDocument/2006/relationships/hyperlink" Target="https://www.lesswrong.com/posts/2yLn8iTrvHoEgqXcJ/the-two-layer-model-of-human-values-and-problems-with" TargetMode="External"/><Relationship Id="rId1890" Type="http://schemas.openxmlformats.org/officeDocument/2006/relationships/hyperlink" Target="https://mailchi.mp/0f80d83f9c44/an-94ai-alignment-as-translation-between-humans-and-machines" TargetMode="External"/><Relationship Id="rId1891" Type="http://schemas.openxmlformats.org/officeDocument/2006/relationships/hyperlink" Target="https://arxiv.org/abs/1701.07875" TargetMode="External"/><Relationship Id="rId1892" Type="http://schemas.openxmlformats.org/officeDocument/2006/relationships/hyperlink" Target="https://arxiv.org/pdf/1710.11248.pdf" TargetMode="External"/><Relationship Id="rId1893" Type="http://schemas.openxmlformats.org/officeDocument/2006/relationships/hyperlink" Target="http://arxiv.org/abs/2003.05012" TargetMode="External"/><Relationship Id="rId1894" Type="http://schemas.openxmlformats.org/officeDocument/2006/relationships/hyperlink" Target="https://mailchi.mp/0f80d83f9c44/an-94ai-alignment-as-translation-between-humans-and-machines" TargetMode="External"/><Relationship Id="rId1884" Type="http://schemas.openxmlformats.org/officeDocument/2006/relationships/hyperlink" Target="https://papers.nips.cc/paper/5187-policy-shaping-integrating-human-feedback-with-reinforcement-learning" TargetMode="External"/><Relationship Id="rId1885" Type="http://schemas.openxmlformats.org/officeDocument/2006/relationships/hyperlink" Target="https://openreview.net/forum?id=Hyg-JC4FDr" TargetMode="External"/><Relationship Id="rId1886" Type="http://schemas.openxmlformats.org/officeDocument/2006/relationships/hyperlink" Target="https://mailchi.mp/2fbece2a4915/an-98understanding-neural-net-training-by-seeing-which-gradients-were-helpful" TargetMode="External"/><Relationship Id="rId1887" Type="http://schemas.openxmlformats.org/officeDocument/2006/relationships/hyperlink" Target="https://arxiv.org/abs/1906.04733" TargetMode="External"/><Relationship Id="rId1888" Type="http://schemas.openxmlformats.org/officeDocument/2006/relationships/hyperlink" Target="https://arxiv.org/abs/1606.03476" TargetMode="External"/><Relationship Id="rId1889" Type="http://schemas.openxmlformats.org/officeDocument/2006/relationships/hyperlink" Target="http://arxiv.org/abs/2002.11879" TargetMode="External"/><Relationship Id="rId1880" Type="http://schemas.openxmlformats.org/officeDocument/2006/relationships/hyperlink" Target="https://mailchi.mp/33af21f908b5/reconnaissance-5" TargetMode="External"/><Relationship Id="rId1881" Type="http://schemas.openxmlformats.org/officeDocument/2006/relationships/hyperlink" Target="https://deepmind.com/blog/learning-through-human-feedback/" TargetMode="External"/><Relationship Id="rId1882" Type="http://schemas.openxmlformats.org/officeDocument/2006/relationships/hyperlink" Target="https://arxiv.org/abs/1802.07740" TargetMode="External"/><Relationship Id="rId1883" Type="http://schemas.openxmlformats.org/officeDocument/2006/relationships/hyperlink" Target="https://mailchi.mp/e402599bfb1f/reconnaissance-4" TargetMode="External"/><Relationship Id="rId3612" Type="http://schemas.openxmlformats.org/officeDocument/2006/relationships/hyperlink" Target="http://arxiv.org/abs/1811.02553" TargetMode="External"/><Relationship Id="rId3611" Type="http://schemas.openxmlformats.org/officeDocument/2006/relationships/hyperlink" Target="https://mailchi.mp/b6dc636f6a1b/alignment-newsletter-33" TargetMode="External"/><Relationship Id="rId3614" Type="http://schemas.openxmlformats.org/officeDocument/2006/relationships/hyperlink" Target="http://arxiv.org/abs/1811.01741" TargetMode="External"/><Relationship Id="rId3613" Type="http://schemas.openxmlformats.org/officeDocument/2006/relationships/hyperlink" Target="https://mailchi.mp/8f5d302499be/alignment-newsletter-32" TargetMode="External"/><Relationship Id="rId3616" Type="http://schemas.openxmlformats.org/officeDocument/2006/relationships/hyperlink" Target="http://arxiv.org/abs/1810.12282" TargetMode="External"/><Relationship Id="rId3615" Type="http://schemas.openxmlformats.org/officeDocument/2006/relationships/hyperlink" Target="https://mailchi.mp/8f5d302499be/alignment-newsletter-32" TargetMode="External"/><Relationship Id="rId3618" Type="http://schemas.openxmlformats.org/officeDocument/2006/relationships/hyperlink" Target="http://arxiv.org/abs/1810.06284" TargetMode="External"/><Relationship Id="rId3617" Type="http://schemas.openxmlformats.org/officeDocument/2006/relationships/hyperlink" Target="https://mailchi.mp/7d0e3916e3d9/alignment-newsletter-31" TargetMode="External"/><Relationship Id="rId3619" Type="http://schemas.openxmlformats.org/officeDocument/2006/relationships/hyperlink" Target="https://mailchi.mp/cfec6a0f6e73/alignment-newsletter-29" TargetMode="External"/><Relationship Id="rId3610" Type="http://schemas.openxmlformats.org/officeDocument/2006/relationships/hyperlink" Target="http://arxiv.org/abs/1811.03555" TargetMode="External"/><Relationship Id="rId3601" Type="http://schemas.openxmlformats.org/officeDocument/2006/relationships/hyperlink" Target="https://mailchi.mp/76ad355daab7/an-89-a-unifying-formalism-for-preference-learning-algorithms" TargetMode="External"/><Relationship Id="rId3600" Type="http://schemas.openxmlformats.org/officeDocument/2006/relationships/hyperlink" Target="http://arxiv.org/abs/1912.05500" TargetMode="External"/><Relationship Id="rId3603" Type="http://schemas.openxmlformats.org/officeDocument/2006/relationships/hyperlink" Target="https://mailchi.mp/ef55eb52b0fd/an-73-detecting-catastrophic-failures-by-learning-how-agents-tend-to-break" TargetMode="External"/><Relationship Id="rId3602" Type="http://schemas.openxmlformats.org/officeDocument/2006/relationships/hyperlink" Target="http://arxiv.org/abs/1910.04281" TargetMode="External"/><Relationship Id="rId3605" Type="http://schemas.openxmlformats.org/officeDocument/2006/relationships/hyperlink" Target="https://mailchi.mp/0b74c28413c0/an-64-using-deep-rl-and-reward-uncertainty-to-incentivize-preference-learning" TargetMode="External"/><Relationship Id="rId3604" Type="http://schemas.openxmlformats.org/officeDocument/2006/relationships/hyperlink" Target="http://arxiv.org/abs/1907.02908" TargetMode="External"/><Relationship Id="rId3607" Type="http://schemas.openxmlformats.org/officeDocument/2006/relationships/hyperlink" Target="https://mailchi.mp/260cd31d5f03/alignment-newsletter-47" TargetMode="External"/><Relationship Id="rId3606" Type="http://schemas.openxmlformats.org/officeDocument/2006/relationships/hyperlink" Target="http://arxiv.org/abs/1902.07015" TargetMode="External"/><Relationship Id="rId3609" Type="http://schemas.openxmlformats.org/officeDocument/2006/relationships/hyperlink" Target="https://mailchi.mp/6751e45fbb48/alignment-newsletter-36" TargetMode="External"/><Relationship Id="rId3608" Type="http://schemas.openxmlformats.org/officeDocument/2006/relationships/hyperlink" Target="https://blog.openai.com/quantifying-generalization-in-reinforcement-learning/" TargetMode="External"/><Relationship Id="rId1059" Type="http://schemas.openxmlformats.org/officeDocument/2006/relationships/hyperlink" Target="https://mailchi.mp/e402599bfb1f/reconnaissance-4" TargetMode="External"/><Relationship Id="rId228" Type="http://schemas.openxmlformats.org/officeDocument/2006/relationships/hyperlink" Target="https://www.alignmentforum.org/posts/WmNeCipNwg9CmGy3T/markets-are-universal-for-logical-induction" TargetMode="External"/><Relationship Id="rId227" Type="http://schemas.openxmlformats.org/officeDocument/2006/relationships/hyperlink" Target="https://mailchi.mp/0180cf9ba264/an-90how-search-landscapes-can-contain-self-reinforcing-feedback-loops" TargetMode="External"/><Relationship Id="rId226" Type="http://schemas.openxmlformats.org/officeDocument/2006/relationships/hyperlink" Target="https://www.alignmentforum.org/posts/dvaCebTNc2tfMDcxS/a-critical-agential-account-of-free-will-causation-and" TargetMode="External"/><Relationship Id="rId225" Type="http://schemas.openxmlformats.org/officeDocument/2006/relationships/hyperlink" Target="https://mailchi.mp/8a9d080d5ce3/an-95-a-framework-for-thinking-about-how-to-make-ai-go-well" TargetMode="External"/><Relationship Id="rId2380" Type="http://schemas.openxmlformats.org/officeDocument/2006/relationships/hyperlink" Target="https://mailchi.mp/8f5d302499be/alignment-newsletter-32" TargetMode="External"/><Relationship Id="rId229" Type="http://schemas.openxmlformats.org/officeDocument/2006/relationships/hyperlink" Target="https://mailchi.mp/c8ea4a5e842f/an-66-decomposing-robustness-into-capability-robustness-and-alignment-robustness" TargetMode="External"/><Relationship Id="rId1050" Type="http://schemas.openxmlformats.org/officeDocument/2006/relationships/hyperlink" Target="https://mailchi.mp/c1f376f3a12e/alignment-newsletter-30" TargetMode="External"/><Relationship Id="rId2381" Type="http://schemas.openxmlformats.org/officeDocument/2006/relationships/hyperlink" Target="https://www.alignmentforum.org/posts/hJaJw6LK39zpyCKW6/standard-ml-oracles-vs-counterfactual-ones" TargetMode="External"/><Relationship Id="rId220" Type="http://schemas.openxmlformats.org/officeDocument/2006/relationships/hyperlink" Target="https://www.lesswrong.com/posts/XjMkPyaPYTf7LrKiT/prisoners-dilemma-with-costs-to-modeling" TargetMode="External"/><Relationship Id="rId1051" Type="http://schemas.openxmlformats.org/officeDocument/2006/relationships/hyperlink" Target="http://arxiv.org/abs/1904.09605" TargetMode="External"/><Relationship Id="rId2382" Type="http://schemas.openxmlformats.org/officeDocument/2006/relationships/hyperlink" Target="https://mailchi.mp/df2e472140b6/alignment-newsletter-28" TargetMode="External"/><Relationship Id="rId1052" Type="http://schemas.openxmlformats.org/officeDocument/2006/relationships/hyperlink" Target="http://arxiv.org/abs/1903.06151" TargetMode="External"/><Relationship Id="rId2383" Type="http://schemas.openxmlformats.org/officeDocument/2006/relationships/hyperlink" Target="https://www.youtube.com/watch?v=_5xkh-Rh6Ec" TargetMode="External"/><Relationship Id="rId1053" Type="http://schemas.openxmlformats.org/officeDocument/2006/relationships/hyperlink" Target="https://mailchi.mp/a90a547f06f2/alignment-newsletter-51" TargetMode="External"/><Relationship Id="rId2384" Type="http://schemas.openxmlformats.org/officeDocument/2006/relationships/hyperlink" Target="https://mailchi.mp/a08565612790/an-169collaborating-with-humans-without-human-data" TargetMode="External"/><Relationship Id="rId1054" Type="http://schemas.openxmlformats.org/officeDocument/2006/relationships/hyperlink" Target="https://arxiv.org/abs/2001.09773" TargetMode="External"/><Relationship Id="rId2385" Type="http://schemas.openxmlformats.org/officeDocument/2006/relationships/hyperlink" Target="https://futureoflife.org/2021/11/01/rohin-shah-on-the-state-of-agi-safety-research-in-2021/" TargetMode="External"/><Relationship Id="rId224" Type="http://schemas.openxmlformats.org/officeDocument/2006/relationships/hyperlink" Target="https://www.alignmentforum.org/posts/A8iGaZ3uHNNGgJeaD/an-orthodox-case-against-utility-functions" TargetMode="External"/><Relationship Id="rId1055" Type="http://schemas.openxmlformats.org/officeDocument/2006/relationships/hyperlink" Target="https://mailchi.mp/2fbece2a4915/an-98understanding-neural-net-training-by-seeing-which-gradients-were-helpful" TargetMode="External"/><Relationship Id="rId2386" Type="http://schemas.openxmlformats.org/officeDocument/2006/relationships/hyperlink" Target="https://aiimpacts.org/beyond-fire-alarms-freeing-the-groupstruck/" TargetMode="External"/><Relationship Id="rId223" Type="http://schemas.openxmlformats.org/officeDocument/2006/relationships/hyperlink" Target="https://mailchi.mp/ff6340049bd0/alignment-newsletter-1" TargetMode="External"/><Relationship Id="rId1056" Type="http://schemas.openxmlformats.org/officeDocument/2006/relationships/hyperlink" Target="http://arxiv.org/abs/1901.04966" TargetMode="External"/><Relationship Id="rId2387" Type="http://schemas.openxmlformats.org/officeDocument/2006/relationships/hyperlink" Target="https://mailchi.mp/5fb91dfd758a/an-166-is-it-crazy-to-claim-were-in-the-most-important-century" TargetMode="External"/><Relationship Id="rId222" Type="http://schemas.openxmlformats.org/officeDocument/2006/relationships/hyperlink" Target="https://intelligence.org/2018/03/31/2018-research-plans/" TargetMode="External"/><Relationship Id="rId1057" Type="http://schemas.openxmlformats.org/officeDocument/2006/relationships/hyperlink" Target="https://mailchi.mp/768a8130013f/alignment-newsletter-43" TargetMode="External"/><Relationship Id="rId2388" Type="http://schemas.openxmlformats.org/officeDocument/2006/relationships/hyperlink" Target="https://www.alignmentforum.org/posts/QvwSr5LsxyDeaPK5s/existential-risk-from-ai-survey-results" TargetMode="External"/><Relationship Id="rId221" Type="http://schemas.openxmlformats.org/officeDocument/2006/relationships/hyperlink" Target="https://mailchi.mp/d1a19c140226/alignment-newsletter-10" TargetMode="External"/><Relationship Id="rId1058" Type="http://schemas.openxmlformats.org/officeDocument/2006/relationships/hyperlink" Target="https://arxiv.org/abs/1802.08139" TargetMode="External"/><Relationship Id="rId2389" Type="http://schemas.openxmlformats.org/officeDocument/2006/relationships/hyperlink" Target="https://mailchi.mp/459b1e4f860d/an-152how-weve-overestimated-few-shot-learning-capabilities" TargetMode="External"/><Relationship Id="rId1048" Type="http://schemas.openxmlformats.org/officeDocument/2006/relationships/hyperlink" Target="https://mailchi.mp/bbd47ba94e84/alignment-newsletter-35" TargetMode="External"/><Relationship Id="rId2379" Type="http://schemas.openxmlformats.org/officeDocument/2006/relationships/hyperlink" Target="https://www.alignmentforum.org/posts/BGcXEijZ6HLnASNit/when-does-rationality-as-search-have-nontrivial-implications" TargetMode="External"/><Relationship Id="rId1049" Type="http://schemas.openxmlformats.org/officeDocument/2006/relationships/hyperlink" Target="http://arxiv.org/abs/1810.06530" TargetMode="External"/><Relationship Id="rId217" Type="http://schemas.openxmlformats.org/officeDocument/2006/relationships/hyperlink" Target="https://www.alignmentforum.org/posts/vDGvHBDuMtcPd8Lks/public-static-what-is-abstraction" TargetMode="External"/><Relationship Id="rId216" Type="http://schemas.openxmlformats.org/officeDocument/2006/relationships/hyperlink" Target="https://ordinaryideas.wordpress.com/2016/11/30/what-does-the-universal-prior-actually-look-like/" TargetMode="External"/><Relationship Id="rId215" Type="http://schemas.openxmlformats.org/officeDocument/2006/relationships/hyperlink" Target="https://mailchi.mp/7ad36e25be22/alignment-newsletter-11" TargetMode="External"/><Relationship Id="rId214" Type="http://schemas.openxmlformats.org/officeDocument/2006/relationships/hyperlink" Target="https://www.lesswrong.com/posts/Ecxevhvx85Y4eyFcu/weak-arguments-against-the-universal-prior-being-malign" TargetMode="External"/><Relationship Id="rId219" Type="http://schemas.openxmlformats.org/officeDocument/2006/relationships/hyperlink" Target="https://www.alignmentforum.org/s/ehnG4mseKF6xALmQy" TargetMode="External"/><Relationship Id="rId218" Type="http://schemas.openxmlformats.org/officeDocument/2006/relationships/hyperlink" Target="https://mailchi.mp/be2a0d160fa2/an-105-the-economic-trajectory-of-humanity-and-what-we-might-mean-by-optimization" TargetMode="External"/><Relationship Id="rId2370" Type="http://schemas.openxmlformats.org/officeDocument/2006/relationships/hyperlink" Target="https://mailchi.mp/0f80d83f9c44/an-94ai-alignment-as-translation-between-humans-and-machines" TargetMode="External"/><Relationship Id="rId1040" Type="http://schemas.openxmlformats.org/officeDocument/2006/relationships/hyperlink" Target="http://arxiv.org/abs/1903.01959" TargetMode="External"/><Relationship Id="rId2371" Type="http://schemas.openxmlformats.org/officeDocument/2006/relationships/hyperlink" Target="https://forum.effectivealtruism.org/posts/Ayu5im98u8FeMWoBZ/my-personal-cruxes-for-working-on-ai-safety" TargetMode="External"/><Relationship Id="rId1041" Type="http://schemas.openxmlformats.org/officeDocument/2006/relationships/hyperlink" Target="https://mailchi.mp/a90a547f06f2/alignment-newsletter-51" TargetMode="External"/><Relationship Id="rId2372" Type="http://schemas.openxmlformats.org/officeDocument/2006/relationships/hyperlink" Target="https://mailchi.mp/9d279b575b1a/an-88-how-the-principal-agent-literature-relates-to-ai-risk" TargetMode="External"/><Relationship Id="rId1042" Type="http://schemas.openxmlformats.org/officeDocument/2006/relationships/hyperlink" Target="http://arxiv.org/abs/1902.07685" TargetMode="External"/><Relationship Id="rId2373" Type="http://schemas.openxmlformats.org/officeDocument/2006/relationships/hyperlink" Target="https://www.alignmentforum.org/posts/bd2K3Jdz82csjCFob/a-list-of-good-heuristics-that-the-case-for-ai-x-risk-fails" TargetMode="External"/><Relationship Id="rId1043" Type="http://schemas.openxmlformats.org/officeDocument/2006/relationships/hyperlink" Target="https://mailchi.mp/efed27be268a/alignment-newsletter-49" TargetMode="External"/><Relationship Id="rId2374" Type="http://schemas.openxmlformats.org/officeDocument/2006/relationships/hyperlink" Target="https://mailchi.mp/8d9e3703fbde/an-79-recursive-reward-modeling-as-an-alignment-technique-integrated-with-deep-rl" TargetMode="External"/><Relationship Id="rId213" Type="http://schemas.openxmlformats.org/officeDocument/2006/relationships/hyperlink" Target="https://mailchi.mp/7ad36e25be22/alignment-newsletter-11" TargetMode="External"/><Relationship Id="rId1044" Type="http://schemas.openxmlformats.org/officeDocument/2006/relationships/hyperlink" Target="http://eng.uber.com/go-explore/" TargetMode="External"/><Relationship Id="rId2375" Type="http://schemas.openxmlformats.org/officeDocument/2006/relationships/hyperlink" Target="https://www.alignmentforum.org/posts/X2i9dQQK3gETCyqh2/chris-olah-s-views-on-agi-safety" TargetMode="External"/><Relationship Id="rId212" Type="http://schemas.openxmlformats.org/officeDocument/2006/relationships/hyperlink" Target="https://www.lesswrong.com/posts/g3PwPgcdcWiP33pYn/counterfactual-mugging-poker-game" TargetMode="External"/><Relationship Id="rId1045" Type="http://schemas.openxmlformats.org/officeDocument/2006/relationships/hyperlink" Target="https://mailchi.mp/bbd47ba94e84/alignment-newsletter-35" TargetMode="External"/><Relationship Id="rId2376" Type="http://schemas.openxmlformats.org/officeDocument/2006/relationships/hyperlink" Target="https://mailchi.mp/cac125522aa3/an-72-alignment-robustness-methodology-and-system-building-as-research-priorities-for-ai-safety" TargetMode="External"/><Relationship Id="rId211" Type="http://schemas.openxmlformats.org/officeDocument/2006/relationships/hyperlink" Target="https://www.lesswrong.com/posts/4tke3ibK9zfnvh9sE/the-bayesian-tyrant" TargetMode="External"/><Relationship Id="rId1046" Type="http://schemas.openxmlformats.org/officeDocument/2006/relationships/hyperlink" Target="https://www.alexirpan.com/2018/11/27/go-explore.html" TargetMode="External"/><Relationship Id="rId2377" Type="http://schemas.openxmlformats.org/officeDocument/2006/relationships/hyperlink" Target="https://alignmentforum.org/posts/mJ5oNYnkYrd4sD5uE/clarifying-some-key-hypotheses-in-ai-alignment" TargetMode="External"/><Relationship Id="rId210" Type="http://schemas.openxmlformats.org/officeDocument/2006/relationships/hyperlink" Target="https://www.alignmentforum.org/posts/xJyY5QkQvNJpZLJRo/radical-probabilism-1" TargetMode="External"/><Relationship Id="rId1047" Type="http://schemas.openxmlformats.org/officeDocument/2006/relationships/hyperlink" Target="http://arxiv.org/abs/1811.11298" TargetMode="External"/><Relationship Id="rId2378" Type="http://schemas.openxmlformats.org/officeDocument/2006/relationships/hyperlink" Target="https://mailchi.mp/4a1b3c4249ae/an-62are-adversarial-examples-caused-by-real-but-imperceptible-features" TargetMode="External"/><Relationship Id="rId249" Type="http://schemas.openxmlformats.org/officeDocument/2006/relationships/hyperlink" Target="https://mailchi.mp/60475c277263/an-103-arches-an-agenda-for-existential-safety-and-combining-natural-language-with-deep-rl" TargetMode="External"/><Relationship Id="rId248" Type="http://schemas.openxmlformats.org/officeDocument/2006/relationships/hyperlink" Target="https://www.alignmentforum.org/posts/X5WTgfX5Ly4ZNHWZD/focus-you-are-allowed-to-be-bad-at-accomplishing-your-goals" TargetMode="External"/><Relationship Id="rId247" Type="http://schemas.openxmlformats.org/officeDocument/2006/relationships/hyperlink" Target="https://mailchi.mp/0212425e5544/alignment-newsletter-27" TargetMode="External"/><Relationship Id="rId1070" Type="http://schemas.openxmlformats.org/officeDocument/2006/relationships/hyperlink" Target="https://ai.googleblog.com/2018/09/introducing-inclusive-images-competition.html" TargetMode="External"/><Relationship Id="rId1071" Type="http://schemas.openxmlformats.org/officeDocument/2006/relationships/hyperlink" Target="https://mailchi.mp/9295c961b39b/alignment-newsletter-23" TargetMode="External"/><Relationship Id="rId1072" Type="http://schemas.openxmlformats.org/officeDocument/2006/relationships/hyperlink" Target="https://80000hours.org/articles/us-ai-policy/" TargetMode="External"/><Relationship Id="rId242" Type="http://schemas.openxmlformats.org/officeDocument/2006/relationships/hyperlink" Target="https://www.alignmentforum.org/posts/FnH2G832sWMySptp5/what-are-universal-inductors-again" TargetMode="External"/><Relationship Id="rId1073" Type="http://schemas.openxmlformats.org/officeDocument/2006/relationships/hyperlink" Target="https://mailchi.mp/6bfac400a0c3/alignment-newsletter-44" TargetMode="External"/><Relationship Id="rId241" Type="http://schemas.openxmlformats.org/officeDocument/2006/relationships/hyperlink" Target="https://mailchi.mp/b6dc636f6a1b/alignment-newsletter-33" TargetMode="External"/><Relationship Id="rId1074" Type="http://schemas.openxmlformats.org/officeDocument/2006/relationships/hyperlink" Target="https://www.vox.com/future-perfect/2018/12/21/18126576/ai-artificial-intelligence-machine-learning-safety-alignment" TargetMode="External"/><Relationship Id="rId240" Type="http://schemas.openxmlformats.org/officeDocument/2006/relationships/hyperlink" Target="https://www.alignmentforum.org/posts/Qa5jG9z9dC6E4s9JH/dimensional-regret-without-resets" TargetMode="External"/><Relationship Id="rId1075" Type="http://schemas.openxmlformats.org/officeDocument/2006/relationships/hyperlink" Target="https://mailchi.mp/588354e4b91d/alignment-newsletter-38" TargetMode="External"/><Relationship Id="rId1076" Type="http://schemas.openxmlformats.org/officeDocument/2006/relationships/hyperlink" Target="https://80000hours.org/podcast/episodes/olsson-and-ziegler-ml-engineering-and-safety/" TargetMode="External"/><Relationship Id="rId246" Type="http://schemas.openxmlformats.org/officeDocument/2006/relationships/hyperlink" Target="https://www.cser.ac.uk/resources/ramsey-joyce-deliberation-prediction/" TargetMode="External"/><Relationship Id="rId1077" Type="http://schemas.openxmlformats.org/officeDocument/2006/relationships/hyperlink" Target="https://mailchi.mp/7d0e3916e3d9/alignment-newsletter-31" TargetMode="External"/><Relationship Id="rId245" Type="http://schemas.openxmlformats.org/officeDocument/2006/relationships/hyperlink" Target="https://mailchi.mp/c1f376f3a12e/alignment-newsletter-30" TargetMode="External"/><Relationship Id="rId1078" Type="http://schemas.openxmlformats.org/officeDocument/2006/relationships/hyperlink" Target="https://80000hours.org/articles/ml-engineering-career-transition-guide/" TargetMode="External"/><Relationship Id="rId244" Type="http://schemas.openxmlformats.org/officeDocument/2006/relationships/hyperlink" Target="https://www.alignmentforum.org/posts/pgJbaXvYWBx3Mrg5T/when-edt-cdt-adt-does-well" TargetMode="External"/><Relationship Id="rId1079" Type="http://schemas.openxmlformats.org/officeDocument/2006/relationships/hyperlink" Target="https://forum.effectivealtruism.org/posts/7WXPkpqKGKewAymJf/how-to-pursue-a-career-in-technical-ai-alignment" TargetMode="External"/><Relationship Id="rId243" Type="http://schemas.openxmlformats.org/officeDocument/2006/relationships/hyperlink" Target="https://mailchi.mp/8f5d302499be/alignment-newsletter-32" TargetMode="External"/><Relationship Id="rId239" Type="http://schemas.openxmlformats.org/officeDocument/2006/relationships/hyperlink" Target="https://mailchi.mp/bbd47ba94e84/alignment-newsletter-35" TargetMode="External"/><Relationship Id="rId238" Type="http://schemas.openxmlformats.org/officeDocument/2006/relationships/hyperlink" Target="https://www.alignmentforum.org/posts/QjYnuGTFcWCQudLsh/oracle-induction-proofs" TargetMode="External"/><Relationship Id="rId237" Type="http://schemas.openxmlformats.org/officeDocument/2006/relationships/hyperlink" Target="https://mailchi.mp/036ba834bcaf/alignment-newsletter-39" TargetMode="External"/><Relationship Id="rId236" Type="http://schemas.openxmlformats.org/officeDocument/2006/relationships/hyperlink" Target="https://foundational-research.org/robust-program-equilibrium/" TargetMode="External"/><Relationship Id="rId2390" Type="http://schemas.openxmlformats.org/officeDocument/2006/relationships/hyperlink" Target="https://www.alignmentforum.org/posts/cy3BhHrGinZCp3LXE/testing-the-natural-abstraction-hypothesis-project-intro" TargetMode="External"/><Relationship Id="rId1060" Type="http://schemas.openxmlformats.org/officeDocument/2006/relationships/hyperlink" Target="http://arxiv.org/abs/1812.10352" TargetMode="External"/><Relationship Id="rId2391" Type="http://schemas.openxmlformats.org/officeDocument/2006/relationships/hyperlink" Target="https://mailchi.mp/3f3842c04eb3/an-148analyzing-generalization-across-more-axes-than-just-accuracy-or-loss" TargetMode="External"/><Relationship Id="rId1061" Type="http://schemas.openxmlformats.org/officeDocument/2006/relationships/hyperlink" Target="https://mailchi.mp/036ba834bcaf/alignment-newsletter-39" TargetMode="External"/><Relationship Id="rId2392" Type="http://schemas.openxmlformats.org/officeDocument/2006/relationships/hyperlink" Target="https://www.alignmentforum.org/posts/EF5M6CmKRd6qZk27Z/my-research-methodology" TargetMode="External"/><Relationship Id="rId231" Type="http://schemas.openxmlformats.org/officeDocument/2006/relationships/hyperlink" Target="https://mailchi.mp/1e757d9b05cb/alignment-newsletter-52" TargetMode="External"/><Relationship Id="rId1062" Type="http://schemas.openxmlformats.org/officeDocument/2006/relationships/hyperlink" Target="http://arxiv.org/abs/1811.10104" TargetMode="External"/><Relationship Id="rId2393" Type="http://schemas.openxmlformats.org/officeDocument/2006/relationships/hyperlink" Target="https://mailchi.mp/7131b053140f/an-145-our-three-year-anniversary" TargetMode="External"/><Relationship Id="rId230" Type="http://schemas.openxmlformats.org/officeDocument/2006/relationships/hyperlink" Target="https://foundational-research.org/approval-directed-agency-and-the-decision-theory-of-newcomb-like-problems/" TargetMode="External"/><Relationship Id="rId1063" Type="http://schemas.openxmlformats.org/officeDocument/2006/relationships/hyperlink" Target="https://mailchi.mp/bbd47ba94e84/alignment-newsletter-35" TargetMode="External"/><Relationship Id="rId2394" Type="http://schemas.openxmlformats.org/officeDocument/2006/relationships/hyperlink" Target="https://80000hours.org/podcast/episodes/brian-christian-the-alignment-problem/?utm_campaign=Feed%3A+80000HoursPodcast+%2880%2C000+Hours+Podcast+with+Rob+Wiblin%29&amp;utm_source=feedburner&amp;utm_medium=feed" TargetMode="External"/><Relationship Id="rId1064" Type="http://schemas.openxmlformats.org/officeDocument/2006/relationships/hyperlink" Target="https://www.blog.google/technology/ai/new-course-teach-people-about-fairness-machine-learning/" TargetMode="External"/><Relationship Id="rId2395" Type="http://schemas.openxmlformats.org/officeDocument/2006/relationships/hyperlink" Target="https://mailchi.mp/93d2051b7d70/an-141the-case-for-practicing-alignment-work-on-gpt-3-and-other-large-models" TargetMode="External"/><Relationship Id="rId1065" Type="http://schemas.openxmlformats.org/officeDocument/2006/relationships/hyperlink" Target="https://mailchi.mp/cfec6a0f6e73/alignment-newsletter-29" TargetMode="External"/><Relationship Id="rId2396" Type="http://schemas.openxmlformats.org/officeDocument/2006/relationships/hyperlink" Target="https://www.alignmentforum.org/posts/Xts5wm3akbemk4pDa/non-obstruction-a-simple-concept-motivating-corrigibility" TargetMode="External"/><Relationship Id="rId235" Type="http://schemas.openxmlformats.org/officeDocument/2006/relationships/hyperlink" Target="https://mailchi.mp/b649f32b07da/alignment-newsletter-40" TargetMode="External"/><Relationship Id="rId1066" Type="http://schemas.openxmlformats.org/officeDocument/2006/relationships/hyperlink" Target="http://bair.berkeley.edu/blog/2018/05/17/delayed-impact/" TargetMode="External"/><Relationship Id="rId2397" Type="http://schemas.openxmlformats.org/officeDocument/2006/relationships/hyperlink" Target="https://mailchi.mp/945690ef08b7/an-131-formalizing-the-argument-of-ignored-attributes-in-a-utility-function" TargetMode="External"/><Relationship Id="rId234" Type="http://schemas.openxmlformats.org/officeDocument/2006/relationships/hyperlink" Target="https://www.alignmentforum.org/posts/mrZp6qC7DDXKQZeeC/failures-of-udt-aixi-part-1-improper-randomizing" TargetMode="External"/><Relationship Id="rId1067" Type="http://schemas.openxmlformats.org/officeDocument/2006/relationships/hyperlink" Target="https://mailchi.mp/3e550712419a/alignment-newsletter-7" TargetMode="External"/><Relationship Id="rId2398" Type="http://schemas.openxmlformats.org/officeDocument/2006/relationships/hyperlink" Target="https://arxiv.org/abs/2009.09071" TargetMode="External"/><Relationship Id="rId233" Type="http://schemas.openxmlformats.org/officeDocument/2006/relationships/hyperlink" Target="https://mailchi.mp/8c3f02cabccd/alignment-newsletter-41" TargetMode="External"/><Relationship Id="rId1068" Type="http://schemas.openxmlformats.org/officeDocument/2006/relationships/hyperlink" Target="https://ai.googleblog.com/2018/12/providing-gender-specific-translations.html" TargetMode="External"/><Relationship Id="rId2399" Type="http://schemas.openxmlformats.org/officeDocument/2006/relationships/hyperlink" Target="https://mailchi.mp/051273eb96eb/an-122arguing-for-agi-driven-existential-risk-from-first-principles" TargetMode="External"/><Relationship Id="rId232" Type="http://schemas.openxmlformats.org/officeDocument/2006/relationships/hyperlink" Target="https://www.alignmentforum.org/posts/eqi83c2nNSX7TFSfW/no-surjection-onto-function-space-for-manifold-x" TargetMode="External"/><Relationship Id="rId1069" Type="http://schemas.openxmlformats.org/officeDocument/2006/relationships/hyperlink" Target="https://mailchi.mp/6eb8190e723f/alignment-newsletter-37" TargetMode="External"/><Relationship Id="rId1015" Type="http://schemas.openxmlformats.org/officeDocument/2006/relationships/hyperlink" Target="https://mailchi.mp/7d0e3916e3d9/alignment-newsletter-31" TargetMode="External"/><Relationship Id="rId2346" Type="http://schemas.openxmlformats.org/officeDocument/2006/relationships/hyperlink" Target="https://mailchi.mp/7131b053140f/an-145-our-three-year-anniversary" TargetMode="External"/><Relationship Id="rId3678" Type="http://schemas.openxmlformats.org/officeDocument/2006/relationships/hyperlink" Target="https://neuro.cs.ut.ee/the-use-of-embeddings-in-openai-five/" TargetMode="External"/><Relationship Id="rId1016" Type="http://schemas.openxmlformats.org/officeDocument/2006/relationships/hyperlink" Target="https://deepmind.com/research/publications/Making-Efficient-Use-of-Demonstrations-to-Solve-Hard-Exploration-Problems" TargetMode="External"/><Relationship Id="rId2347" Type="http://schemas.openxmlformats.org/officeDocument/2006/relationships/hyperlink" Target="https://www.alignmentforum.org/posts/cfXwr6NC9AqZ9kr8g/literature-review-on-goal-directedness" TargetMode="External"/><Relationship Id="rId3677" Type="http://schemas.openxmlformats.org/officeDocument/2006/relationships/hyperlink" Target="http://arxiv.org/abs/1809.02591" TargetMode="External"/><Relationship Id="rId1017" Type="http://schemas.openxmlformats.org/officeDocument/2006/relationships/hyperlink" Target="https://mailchi.mp/3d4e6c2c206f/an-65learning-useful-skills-by-watching-humans-play" TargetMode="External"/><Relationship Id="rId2348" Type="http://schemas.openxmlformats.org/officeDocument/2006/relationships/hyperlink" Target="https://mailchi.mp/b8b755c3f8f5/an-135five-properties-of-goal-directed-systems" TargetMode="External"/><Relationship Id="rId1018" Type="http://schemas.openxmlformats.org/officeDocument/2006/relationships/hyperlink" Target="https://lilianweng.github.io/lil-log/2020/06/07/exploration-strategies-in-deep-reinforcement-learning.html" TargetMode="External"/><Relationship Id="rId2349" Type="http://schemas.openxmlformats.org/officeDocument/2006/relationships/hyperlink" Target="https://www.alignmentforum.org/posts/NWi8ztKCbguBEAwdG/announcing-axrp-the-ai-x-risk-research-podcast-1" TargetMode="External"/><Relationship Id="rId3679" Type="http://schemas.openxmlformats.org/officeDocument/2006/relationships/hyperlink" Target="https://mailchi.mp/33af21f908b5/reconnaissance-5" TargetMode="External"/><Relationship Id="rId1019" Type="http://schemas.openxmlformats.org/officeDocument/2006/relationships/hyperlink" Target="http://people.idsia.ch/~juergen/ieeecreative.pdf" TargetMode="External"/><Relationship Id="rId3670" Type="http://schemas.openxmlformats.org/officeDocument/2006/relationships/hyperlink" Target="https://mailchi.mp/8234356e4b7f/alignment-newsletter-13" TargetMode="External"/><Relationship Id="rId2340" Type="http://schemas.openxmlformats.org/officeDocument/2006/relationships/hyperlink" Target="https://mailchi.mp/5fb91dfd758a/an-166-is-it-crazy-to-claim-were-in-the-most-important-century" TargetMode="External"/><Relationship Id="rId3672" Type="http://schemas.openxmlformats.org/officeDocument/2006/relationships/hyperlink" Target="https://mailchi.mp/8234356e4b7f/alignment-newsletter-13" TargetMode="External"/><Relationship Id="rId1010" Type="http://schemas.openxmlformats.org/officeDocument/2006/relationships/hyperlink" Target="https://www.alignmentforum.org/posts/efWfvrWLgJmbBAs3m/embedded-world-models" TargetMode="External"/><Relationship Id="rId2341" Type="http://schemas.openxmlformats.org/officeDocument/2006/relationships/hyperlink" Target="https://80000hours.org/podcast/episodes/holden-karnofsky-most-important-century/" TargetMode="External"/><Relationship Id="rId3671" Type="http://schemas.openxmlformats.org/officeDocument/2006/relationships/hyperlink" Target="http://arxiv.org/abs/1806.10019" TargetMode="External"/><Relationship Id="rId1011" Type="http://schemas.openxmlformats.org/officeDocument/2006/relationships/hyperlink" Target="https://mailchi.mp/7d0e3916e3d9/alignment-newsletter-31" TargetMode="External"/><Relationship Id="rId2342" Type="http://schemas.openxmlformats.org/officeDocument/2006/relationships/hyperlink" Target="https://arxiv.org/abs/1807.03341" TargetMode="External"/><Relationship Id="rId3674" Type="http://schemas.openxmlformats.org/officeDocument/2006/relationships/hyperlink" Target="https://mailchi.mp/7ad36e25be22/alignment-newsletter-11" TargetMode="External"/><Relationship Id="rId1012" Type="http://schemas.openxmlformats.org/officeDocument/2006/relationships/hyperlink" Target="https://www.alignmentforum.org/posts/iTpLAaPamcKyjmbFC/robust-delegation" TargetMode="External"/><Relationship Id="rId2343" Type="http://schemas.openxmlformats.org/officeDocument/2006/relationships/hyperlink" Target="https://mailchi.mp/4920e52dd61b/alignment-newsletter-15" TargetMode="External"/><Relationship Id="rId3673" Type="http://schemas.openxmlformats.org/officeDocument/2006/relationships/hyperlink" Target="http://arxiv.org/abs/1806.05635" TargetMode="External"/><Relationship Id="rId1013" Type="http://schemas.openxmlformats.org/officeDocument/2006/relationships/hyperlink" Target="https://mailchi.mp/7d0e3916e3d9/alignment-newsletter-31" TargetMode="External"/><Relationship Id="rId2344" Type="http://schemas.openxmlformats.org/officeDocument/2006/relationships/hyperlink" Target="https://mailchi.mp/dba8371e9221/an-149-the-newsletters-editorial-policy" TargetMode="External"/><Relationship Id="rId3676" Type="http://schemas.openxmlformats.org/officeDocument/2006/relationships/hyperlink" Target="https://mailchi.mp/ff6340049bd0/alignment-newsletter-1" TargetMode="External"/><Relationship Id="rId1014" Type="http://schemas.openxmlformats.org/officeDocument/2006/relationships/hyperlink" Target="https://blog.openai.com/reinforcement-learning-with-prediction-based-rewards/" TargetMode="External"/><Relationship Id="rId2345" Type="http://schemas.openxmlformats.org/officeDocument/2006/relationships/hyperlink" Target="https://www.alignmentforum.org/posts/L7yHdqRiHKd3FhQ7B/alignment-newsletter-three-year-retrospective" TargetMode="External"/><Relationship Id="rId3675" Type="http://schemas.openxmlformats.org/officeDocument/2006/relationships/hyperlink" Target="https://deepmind.com/blog/learning-to-navigate-cities-without-a-map/" TargetMode="External"/><Relationship Id="rId1004" Type="http://schemas.openxmlformats.org/officeDocument/2006/relationships/hyperlink" Target="https://www.alignmentforum.org/posts/ChierESmenTtCQqZy/subsystem-alignment" TargetMode="External"/><Relationship Id="rId2335" Type="http://schemas.openxmlformats.org/officeDocument/2006/relationships/hyperlink" Target="https://www.alignmentforum.org/posts/pcomQ4Fwi7FnfBZBR/how-does-gradient-descent-interact-with-goodhart" TargetMode="External"/><Relationship Id="rId3667" Type="http://schemas.openxmlformats.org/officeDocument/2006/relationships/hyperlink" Target="http://arxiv.org/abs/1807.05827" TargetMode="External"/><Relationship Id="rId1005" Type="http://schemas.openxmlformats.org/officeDocument/2006/relationships/hyperlink" Target="https://mailchi.mp/8f5d302499be/alignment-newsletter-32" TargetMode="External"/><Relationship Id="rId2336" Type="http://schemas.openxmlformats.org/officeDocument/2006/relationships/hyperlink" Target="https://mailchi.mp/6bfac400a0c3/alignment-newsletter-44" TargetMode="External"/><Relationship Id="rId3666" Type="http://schemas.openxmlformats.org/officeDocument/2006/relationships/hyperlink" Target="https://mailchi.mp/9295c961b39b/alignment-newsletter-23" TargetMode="External"/><Relationship Id="rId1006" Type="http://schemas.openxmlformats.org/officeDocument/2006/relationships/hyperlink" Target="https://www.alignmentforum.org/posts/zcPLNNw4wgBX5k8kQ/decision-theory" TargetMode="External"/><Relationship Id="rId2337" Type="http://schemas.openxmlformats.org/officeDocument/2006/relationships/hyperlink" Target="https://80000hours.org/podcast/episodes/katja-grace-forecasting-technology/" TargetMode="External"/><Relationship Id="rId3669" Type="http://schemas.openxmlformats.org/officeDocument/2006/relationships/hyperlink" Target="http://arxiv.org/abs/1806.09614" TargetMode="External"/><Relationship Id="rId1007" Type="http://schemas.openxmlformats.org/officeDocument/2006/relationships/hyperlink" Target="https://mailchi.mp/7d0e3916e3d9/alignment-newsletter-31" TargetMode="External"/><Relationship Id="rId2338" Type="http://schemas.openxmlformats.org/officeDocument/2006/relationships/hyperlink" Target="https://mailchi.mp/5ad3a9643b6b/alignment-newsletter-21" TargetMode="External"/><Relationship Id="rId3668" Type="http://schemas.openxmlformats.org/officeDocument/2006/relationships/hyperlink" Target="https://mailchi.mp/f2950ed2ac4b/alignment-newsletter-16" TargetMode="External"/><Relationship Id="rId1008" Type="http://schemas.openxmlformats.org/officeDocument/2006/relationships/hyperlink" Target="https://www.alignmentforum.org/posts/p7x32SEt43ZMC9r7r/embedded-agents" TargetMode="External"/><Relationship Id="rId2339" Type="http://schemas.openxmlformats.org/officeDocument/2006/relationships/hyperlink" Target="https://www.cold-takes.com/most-important-century/" TargetMode="External"/><Relationship Id="rId1009" Type="http://schemas.openxmlformats.org/officeDocument/2006/relationships/hyperlink" Target="https://mailchi.mp/7d0e3916e3d9/alignment-newsletter-31" TargetMode="External"/><Relationship Id="rId3661" Type="http://schemas.openxmlformats.org/officeDocument/2006/relationships/hyperlink" Target="http://arxiv.org/abs/1809.02387" TargetMode="External"/><Relationship Id="rId2330" Type="http://schemas.openxmlformats.org/officeDocument/2006/relationships/hyperlink" Target="https://www.alignmentforum.org/posts/3onCb5ph3ywLQZMX2/alignment-newsletter-one-year-retrospective" TargetMode="External"/><Relationship Id="rId3660" Type="http://schemas.openxmlformats.org/officeDocument/2006/relationships/hyperlink" Target="https://mailchi.mp/e6a23da2760e/alignment-newsletter-3?e=f665c7b50a" TargetMode="External"/><Relationship Id="rId1000" Type="http://schemas.openxmlformats.org/officeDocument/2006/relationships/hyperlink" Target="https://www.alignmentforum.org/posts/j9CbmSsnprxB2uFY9/embedded-curiosities" TargetMode="External"/><Relationship Id="rId2331" Type="http://schemas.openxmlformats.org/officeDocument/2006/relationships/hyperlink" Target="https://mailchi.mp/534f448d6c8b/alignment-newsletter-53" TargetMode="External"/><Relationship Id="rId3663" Type="http://schemas.openxmlformats.org/officeDocument/2006/relationships/hyperlink" Target="http://arxiv.org/abs/1809.03470" TargetMode="External"/><Relationship Id="rId1001" Type="http://schemas.openxmlformats.org/officeDocument/2006/relationships/hyperlink" Target="https://mailchi.mp/8f5d302499be/alignment-newsletter-32" TargetMode="External"/><Relationship Id="rId2332" Type="http://schemas.openxmlformats.org/officeDocument/2006/relationships/hyperlink" Target="https://mailchi.mp/3091c6e9405c/alignment-newsletter-48" TargetMode="External"/><Relationship Id="rId3662" Type="http://schemas.openxmlformats.org/officeDocument/2006/relationships/hyperlink" Target="https://mailchi.mp/d7b5059d64ed/alignment-newsletter-24" TargetMode="External"/><Relationship Id="rId1002" Type="http://schemas.openxmlformats.org/officeDocument/2006/relationships/hyperlink" Target="https://www.alignmentforum.org/posts/efWfvrWLgJmbBAs3m/embedded-world-models" TargetMode="External"/><Relationship Id="rId2333" Type="http://schemas.openxmlformats.org/officeDocument/2006/relationships/hyperlink" Target="https://blog.openai.com/ai-safety-needs-social-scientists/" TargetMode="External"/><Relationship Id="rId3665" Type="http://schemas.openxmlformats.org/officeDocument/2006/relationships/hyperlink" Target="http://arxiv.org/abs/1808.10120" TargetMode="External"/><Relationship Id="rId1003" Type="http://schemas.openxmlformats.org/officeDocument/2006/relationships/hyperlink" Target="https://mailchi.mp/8f5d302499be/alignment-newsletter-32" TargetMode="External"/><Relationship Id="rId2334" Type="http://schemas.openxmlformats.org/officeDocument/2006/relationships/hyperlink" Target="https://mailchi.mp/260cd31d5f03/alignment-newsletter-47" TargetMode="External"/><Relationship Id="rId3664" Type="http://schemas.openxmlformats.org/officeDocument/2006/relationships/hyperlink" Target="https://mailchi.mp/d7b5059d64ed/alignment-newsletter-24" TargetMode="External"/><Relationship Id="rId1037" Type="http://schemas.openxmlformats.org/officeDocument/2006/relationships/hyperlink" Target="https://mailchi.mp/7131b053140f/an-145-our-three-year-anniversary" TargetMode="External"/><Relationship Id="rId2368" Type="http://schemas.openxmlformats.org/officeDocument/2006/relationships/hyperlink" Target="https://mailchi.mp/2485e6b42012/an-102-meta-learning-by-gpt-3-and-a-list-of-full-proposals-for-ai-alignment" TargetMode="External"/><Relationship Id="rId1038" Type="http://schemas.openxmlformats.org/officeDocument/2006/relationships/hyperlink" Target="http://arxiv.org/abs/2005.05960" TargetMode="External"/><Relationship Id="rId2369" Type="http://schemas.openxmlformats.org/officeDocument/2006/relationships/hyperlink" Target="https://aiimpacts.org/takeaways-from-safety-by-default-interviews/" TargetMode="External"/><Relationship Id="rId3699" Type="http://schemas.openxmlformats.org/officeDocument/2006/relationships/hyperlink" Target="https://www.lesswrong.com/posts/b8HauRWrjBdnKEwM5/rigging-is-a-form-of-wireheading" TargetMode="External"/><Relationship Id="rId1039" Type="http://schemas.openxmlformats.org/officeDocument/2006/relationships/hyperlink" Target="https://mailchi.mp/dd7dd9157abe/an-106-evaluating-generalization-ability-of-learned-reward-models" TargetMode="External"/><Relationship Id="rId206" Type="http://schemas.openxmlformats.org/officeDocument/2006/relationships/hyperlink" Target="https://www.lesswrong.com/posts/sZuw6SGfmZHvcAAEP/complete-class-consequentialist-foundations" TargetMode="External"/><Relationship Id="rId205" Type="http://schemas.openxmlformats.org/officeDocument/2006/relationships/hyperlink" Target="https://mailchi.mp/4920e52dd61b/alignment-newsletter-15" TargetMode="External"/><Relationship Id="rId204" Type="http://schemas.openxmlformats.org/officeDocument/2006/relationships/hyperlink" Target="https://www.lesswrong.com/posts/FvcyMMaJKhYibtFDD/bayesian-probability-is-for-things-that-are-space-like" TargetMode="External"/><Relationship Id="rId203" Type="http://schemas.openxmlformats.org/officeDocument/2006/relationships/hyperlink" Target="https://mailchi.mp/921dbde2ffac/an-151how-sparsity-in-the-final-layer-makes-a-neural-net-debuggable" TargetMode="External"/><Relationship Id="rId209" Type="http://schemas.openxmlformats.org/officeDocument/2006/relationships/hyperlink" Target="https://mailchi.mp/3f3842c04eb3/an-148analyzing-generalization-across-more-axes-than-just-accuracy-or-loss" TargetMode="External"/><Relationship Id="rId208" Type="http://schemas.openxmlformats.org/officeDocument/2006/relationships/hyperlink" Target="https://www.alignmentforum.org/posts/GS5P7LLLbSSExb3Sk/the-many-faces-of-infra-beliefs" TargetMode="External"/><Relationship Id="rId3690" Type="http://schemas.openxmlformats.org/officeDocument/2006/relationships/hyperlink" Target="https://mailchi.mp/6eb8190e723f/alignment-newsletter-37" TargetMode="External"/><Relationship Id="rId207" Type="http://schemas.openxmlformats.org/officeDocument/2006/relationships/hyperlink" Target="https://mailchi.mp/4920e52dd61b/alignment-newsletter-15" TargetMode="External"/><Relationship Id="rId2360" Type="http://schemas.openxmlformats.org/officeDocument/2006/relationships/hyperlink" Target="https://mailchi.mp/b39cb50e2cea/an-112-engineering-a-safer-world" TargetMode="External"/><Relationship Id="rId3692" Type="http://schemas.openxmlformats.org/officeDocument/2006/relationships/hyperlink" Target="https://mailchi.mp/392d2043e782/an-57why-we-should-focus-on-robustness-in-ai-safety-and-the-analogous-problems-in-programming" TargetMode="External"/><Relationship Id="rId1030" Type="http://schemas.openxmlformats.org/officeDocument/2006/relationships/hyperlink" Target="http://arxiv.org/abs/1810.02274" TargetMode="External"/><Relationship Id="rId2361" Type="http://schemas.openxmlformats.org/officeDocument/2006/relationships/hyperlink" Target="https://www.lesswrong.com/posts/idb5Ppp9zghcichJ5/a-general-model-of-safety-oriented-ai-development" TargetMode="External"/><Relationship Id="rId3691" Type="http://schemas.openxmlformats.org/officeDocument/2006/relationships/hyperlink" Target="https://www.alignmentforum.org/posts/PX8BB7Rqw7HedrSJd/by-default-avoid-ambiguous-distant-situations" TargetMode="External"/><Relationship Id="rId1031" Type="http://schemas.openxmlformats.org/officeDocument/2006/relationships/hyperlink" Target="https://mailchi.mp/df2e472140b6/alignment-newsletter-28" TargetMode="External"/><Relationship Id="rId2362" Type="http://schemas.openxmlformats.org/officeDocument/2006/relationships/hyperlink" Target="https://mailchi.mp/7ad36e25be22/alignment-newsletter-11" TargetMode="External"/><Relationship Id="rId3694" Type="http://schemas.openxmlformats.org/officeDocument/2006/relationships/hyperlink" Target="https://mailchi.mp/6bfac400a0c3/alignment-newsletter-44" TargetMode="External"/><Relationship Id="rId1032" Type="http://schemas.openxmlformats.org/officeDocument/2006/relationships/hyperlink" Target="http://arxiv.org/abs/1810.01176" TargetMode="External"/><Relationship Id="rId2363" Type="http://schemas.openxmlformats.org/officeDocument/2006/relationships/hyperlink" Target="https://selfawaresystems.files.wordpress.com/2008/01/ai_drives_final.pdf" TargetMode="External"/><Relationship Id="rId3693" Type="http://schemas.openxmlformats.org/officeDocument/2006/relationships/hyperlink" Target="https://mailchi.mp/c48f996a5db5/alignment-newsletter-46" TargetMode="External"/><Relationship Id="rId202" Type="http://schemas.openxmlformats.org/officeDocument/2006/relationships/hyperlink" Target="https://www.alignmentforum.org/posts/3SG4WbNPoP8fsuZgs/agency-in-conway-s-game-of-life" TargetMode="External"/><Relationship Id="rId1033" Type="http://schemas.openxmlformats.org/officeDocument/2006/relationships/hyperlink" Target="https://mailchi.mp/0212425e5544/alignment-newsletter-27" TargetMode="External"/><Relationship Id="rId2364" Type="http://schemas.openxmlformats.org/officeDocument/2006/relationships/hyperlink" Target="https://mailchi.mp/df363224d0e4/an-107-the-convergent-instrumental-subgoals-of-goal-directed-agents" TargetMode="External"/><Relationship Id="rId3696" Type="http://schemas.openxmlformats.org/officeDocument/2006/relationships/hyperlink" Target="https://mailchi.mp/62ef1fe8c13a/an-123inferring-what-is-valuable-in-order-to-align-recommender-systems" TargetMode="External"/><Relationship Id="rId201" Type="http://schemas.openxmlformats.org/officeDocument/2006/relationships/hyperlink" Target="https://www.lesswrong.com/posts/kYgWmKJnqq8QkbjFj/bayesian-utility-representing-preference-by-probability" TargetMode="External"/><Relationship Id="rId1034" Type="http://schemas.openxmlformats.org/officeDocument/2006/relationships/hyperlink" Target="http://arxiv.org/abs/1810.01112" TargetMode="External"/><Relationship Id="rId2365" Type="http://schemas.openxmlformats.org/officeDocument/2006/relationships/hyperlink" Target="https://www.alignmentforum.org/posts/wTKjRFeSjKLDSWyww/possible-takeaways-from-the-coronavirus-pandemic-for-slow-ai" TargetMode="External"/><Relationship Id="rId3695" Type="http://schemas.openxmlformats.org/officeDocument/2006/relationships/hyperlink" Target="https://psyarxiv.com/7hgup/" TargetMode="External"/><Relationship Id="rId200" Type="http://schemas.openxmlformats.org/officeDocument/2006/relationships/hyperlink" Target="https://mailchi.mp/f2950ed2ac4b/alignment-newsletter-16" TargetMode="External"/><Relationship Id="rId1035" Type="http://schemas.openxmlformats.org/officeDocument/2006/relationships/hyperlink" Target="https://mailchi.mp/0212425e5544/alignment-newsletter-27" TargetMode="External"/><Relationship Id="rId2366" Type="http://schemas.openxmlformats.org/officeDocument/2006/relationships/hyperlink" Target="https://mailchi.mp/ba4d1765368f/an-104-the-perils-of-inaccessible-information-and-what-we-can-learn-about-ai-alignment-from-covid" TargetMode="External"/><Relationship Id="rId3698" Type="http://schemas.openxmlformats.org/officeDocument/2006/relationships/hyperlink" Target="https://mailchi.mp/3e2f43012b07/an-54-boxing-a-finite-horizon-ai-system-to-keep-it-unambitious" TargetMode="External"/><Relationship Id="rId1036" Type="http://schemas.openxmlformats.org/officeDocument/2006/relationships/hyperlink" Target="https://arxiv.org/abs/2012.11538" TargetMode="External"/><Relationship Id="rId2367" Type="http://schemas.openxmlformats.org/officeDocument/2006/relationships/hyperlink" Target="https://www.alignmentforum.org/posts/fRsjBseRuvRhMPPE5/an-overview-of-11-proposals-for-building-safe-advanced-ai" TargetMode="External"/><Relationship Id="rId3697" Type="http://schemas.openxmlformats.org/officeDocument/2006/relationships/hyperlink" Target="https://www.lesswrong.com/posts/ngqvnWGsvTEiTASih/ai-alignment-problem-human-values-don-t-actually-exist" TargetMode="External"/><Relationship Id="rId1026" Type="http://schemas.openxmlformats.org/officeDocument/2006/relationships/hyperlink" Target="http://arxiv.org/abs/1811.01483" TargetMode="External"/><Relationship Id="rId2357" Type="http://schemas.openxmlformats.org/officeDocument/2006/relationships/hyperlink" Target="https://www.amazon.com/Alignment-Problem-Machine-Learning-Values/dp/153669519X" TargetMode="External"/><Relationship Id="rId3689" Type="http://schemas.openxmlformats.org/officeDocument/2006/relationships/hyperlink" Target="https://www.alignmentforum.org/posts/YfQGZderiaGv3kBJ8/figuring-out-what-alice-wants-non-human-alice" TargetMode="External"/><Relationship Id="rId1027" Type="http://schemas.openxmlformats.org/officeDocument/2006/relationships/hyperlink" Target="https://mailchi.mp/8f5d302499be/alignment-newsletter-32" TargetMode="External"/><Relationship Id="rId2358" Type="http://schemas.openxmlformats.org/officeDocument/2006/relationships/hyperlink" Target="https://mailchi.mp/42ec72ef7e11/an-120tracing-the-intellectual-roots-of-ai-and-ai-alignment" TargetMode="External"/><Relationship Id="rId3688" Type="http://schemas.openxmlformats.org/officeDocument/2006/relationships/hyperlink" Target="https://mailchi.mp/32f89a74a7b6/alignment-newsletter-4" TargetMode="External"/><Relationship Id="rId1028" Type="http://schemas.openxmlformats.org/officeDocument/2006/relationships/hyperlink" Target="https://ai.googleblog.com/2018/10/curiosity-and-procrastination-in.html" TargetMode="External"/><Relationship Id="rId2359" Type="http://schemas.openxmlformats.org/officeDocument/2006/relationships/hyperlink" Target="https://static1.squarespace.com/static/53b78765e4b0949940758017/t/57d87eb6d2b8571af3501b26/1473898764674/Engineering_a_Safer_World+Nancy+Leveson.pdf" TargetMode="External"/><Relationship Id="rId1029" Type="http://schemas.openxmlformats.org/officeDocument/2006/relationships/hyperlink" Target="https://mailchi.mp/c1f376f3a12e/alignment-newsletter-30" TargetMode="External"/><Relationship Id="rId3681" Type="http://schemas.openxmlformats.org/officeDocument/2006/relationships/hyperlink" Target="https://mailchi.mp/33af21f908b5/reconnaissance-5" TargetMode="External"/><Relationship Id="rId2350" Type="http://schemas.openxmlformats.org/officeDocument/2006/relationships/hyperlink" Target="https://mailchi.mp/073921bbc4b8/an-130-a-new-ai-x-risk-podcast-and-reviews-of-the-field" TargetMode="External"/><Relationship Id="rId3680" Type="http://schemas.openxmlformats.org/officeDocument/2006/relationships/hyperlink" Target="https://www.lesswrong.com/posts/Y2LhX3925RodndwpC/resolving-human-values-completely-and-adequately" TargetMode="External"/><Relationship Id="rId1020" Type="http://schemas.openxmlformats.org/officeDocument/2006/relationships/hyperlink" Target="http://arxiv.org/abs/1906.04161" TargetMode="External"/><Relationship Id="rId2351" Type="http://schemas.openxmlformats.org/officeDocument/2006/relationships/hyperlink" Target="https://www.alignmentforum.org/posts/pTYDdcag9pTzFQ7vw/2020-ai-alignment-literature-review-and-charity-comparison" TargetMode="External"/><Relationship Id="rId3683" Type="http://schemas.openxmlformats.org/officeDocument/2006/relationships/hyperlink" Target="https://mailchi.mp/33af21f908b5/reconnaissance-5" TargetMode="External"/><Relationship Id="rId1021" Type="http://schemas.openxmlformats.org/officeDocument/2006/relationships/hyperlink" Target="https://mailchi.mp/2abdf19aa813/an-61ai-policy-and-governance-from-two-people-in-the-field" TargetMode="External"/><Relationship Id="rId2352" Type="http://schemas.openxmlformats.org/officeDocument/2006/relationships/hyperlink" Target="https://mailchi.mp/073921bbc4b8/an-130-a-new-ai-x-risk-podcast-and-reviews-of-the-field" TargetMode="External"/><Relationship Id="rId3682" Type="http://schemas.openxmlformats.org/officeDocument/2006/relationships/hyperlink" Target="https://www.lesserwrong.com/posts/KT4Nau2XhuNejkXQR/why-we-want-unbiased-learning-processes" TargetMode="External"/><Relationship Id="rId1022" Type="http://schemas.openxmlformats.org/officeDocument/2006/relationships/hyperlink" Target="http://arxiv.org/abs/1901.10902" TargetMode="External"/><Relationship Id="rId2353" Type="http://schemas.openxmlformats.org/officeDocument/2006/relationships/hyperlink" Target="https://www.alignmentforum.org/posts/4DegbDJJiMX2b3EKm/tai-safety-bibliographic-database" TargetMode="External"/><Relationship Id="rId3685" Type="http://schemas.openxmlformats.org/officeDocument/2006/relationships/hyperlink" Target="https://mailchi.mp/efed27be268a/alignment-newsletter-49" TargetMode="External"/><Relationship Id="rId1023" Type="http://schemas.openxmlformats.org/officeDocument/2006/relationships/hyperlink" Target="https://mailchi.mp/260cd31d5f03/alignment-newsletter-47" TargetMode="External"/><Relationship Id="rId2354" Type="http://schemas.openxmlformats.org/officeDocument/2006/relationships/hyperlink" Target="https://mailchi.mp/073921bbc4b8/an-130-a-new-ai-x-risk-podcast-and-reviews-of-the-field" TargetMode="External"/><Relationship Id="rId3684" Type="http://schemas.openxmlformats.org/officeDocument/2006/relationships/hyperlink" Target="https://www.alignmentforum.org/posts/qezBTig6p6p5xtL6G/a-theory-of-human-values" TargetMode="External"/><Relationship Id="rId1024" Type="http://schemas.openxmlformats.org/officeDocument/2006/relationships/hyperlink" Target="http://arxiv.org/abs/1901.05856" TargetMode="External"/><Relationship Id="rId2355" Type="http://schemas.openxmlformats.org/officeDocument/2006/relationships/hyperlink" Target="https://www.alignmentforum.org/s/mzgtmmTKKn5MuCzFJ" TargetMode="External"/><Relationship Id="rId3687" Type="http://schemas.openxmlformats.org/officeDocument/2006/relationships/hyperlink" Target="https://mailchi.mp/8c3f02cabccd/alignment-newsletter-41" TargetMode="External"/><Relationship Id="rId1025" Type="http://schemas.openxmlformats.org/officeDocument/2006/relationships/hyperlink" Target="https://mailchi.mp/768a8130013f/alignment-newsletter-43" TargetMode="External"/><Relationship Id="rId2356" Type="http://schemas.openxmlformats.org/officeDocument/2006/relationships/hyperlink" Target="https://mailchi.mp/051273eb96eb/an-122arguing-for-agi-driven-existential-risk-from-first-principles" TargetMode="External"/><Relationship Id="rId3686" Type="http://schemas.openxmlformats.org/officeDocument/2006/relationships/hyperlink" Target="https://www.alignmentforum.org/posts/iutXWSDd56ieAiyTi/hierarchical-system-preferences-and-subagent-preferences" TargetMode="External"/><Relationship Id="rId1910" Type="http://schemas.openxmlformats.org/officeDocument/2006/relationships/hyperlink" Target="http://arxiv.org/abs/1805.08336" TargetMode="External"/><Relationship Id="rId1911" Type="http://schemas.openxmlformats.org/officeDocument/2006/relationships/hyperlink" Target="https://mailchi.mp/15397ab6f65c/alignment-newsletter-8" TargetMode="External"/><Relationship Id="rId1912" Type="http://schemas.openxmlformats.org/officeDocument/2006/relationships/hyperlink" Target="http://arxiv.org/abs/1805.08263" TargetMode="External"/><Relationship Id="rId1913" Type="http://schemas.openxmlformats.org/officeDocument/2006/relationships/hyperlink" Target="https://mailchi.mp/15397ab6f65c/alignment-newsletter-8" TargetMode="External"/><Relationship Id="rId1914" Type="http://schemas.openxmlformats.org/officeDocument/2006/relationships/hyperlink" Target="https://www.alignmentforum.org/posts/WJzsTmsDctYCCyMfy/humans-are-embedded-agents-too" TargetMode="External"/><Relationship Id="rId1915" Type="http://schemas.openxmlformats.org/officeDocument/2006/relationships/hyperlink" Target="https://mailchi.mp/8d9e3703fbde/an-79-recursive-reward-modeling-as-an-alignment-technique-integrated-with-deep-rl" TargetMode="External"/><Relationship Id="rId1916" Type="http://schemas.openxmlformats.org/officeDocument/2006/relationships/hyperlink" Target="https://futureoflife.org/2019/09/17/synthesizing-a-humans-preferences-into-a-utility-function-with-stuart-armstrong/" TargetMode="External"/><Relationship Id="rId1917" Type="http://schemas.openxmlformats.org/officeDocument/2006/relationships/hyperlink" Target="https://mailchi.mp/ef55eb52b0fd/an-73-detecting-catastrophic-failures-by-learning-how-agents-tend-to-break" TargetMode="External"/><Relationship Id="rId1918" Type="http://schemas.openxmlformats.org/officeDocument/2006/relationships/hyperlink" Target="https://www.youtube.com/watch?v=1M9CvESSeVc" TargetMode="External"/><Relationship Id="rId1919" Type="http://schemas.openxmlformats.org/officeDocument/2006/relationships/hyperlink" Target="http://arxiv.org/abs/1909.13392" TargetMode="External"/><Relationship Id="rId1900" Type="http://schemas.openxmlformats.org/officeDocument/2006/relationships/hyperlink" Target="https://mailchi.mp/76ad355daab7/an-89-a-unifying-formalism-for-preference-learning-algorithms" TargetMode="External"/><Relationship Id="rId1901" Type="http://schemas.openxmlformats.org/officeDocument/2006/relationships/hyperlink" Target="https://www.lesswrong.com/posts/ky988ePJvCRhmCwGo/using-vector-fields-to-visualise-preferences-and-make-them" TargetMode="External"/><Relationship Id="rId1902" Type="http://schemas.openxmlformats.org/officeDocument/2006/relationships/hyperlink" Target="https://mailchi.mp/76ad355daab7/an-89-a-unifying-formalism-for-preference-learning-algorithms" TargetMode="External"/><Relationship Id="rId1903" Type="http://schemas.openxmlformats.org/officeDocument/2006/relationships/hyperlink" Target="https://arxiv.org/abs/1909.12200" TargetMode="External"/><Relationship Id="rId1904" Type="http://schemas.openxmlformats.org/officeDocument/2006/relationships/hyperlink" Target="https://mailchi.mp/84b4235cfa34/an-85-the-normative-questions-we-should-be-asking-for-ai-alignment-and-a-surprisingly-good-chatbot" TargetMode="External"/><Relationship Id="rId1905" Type="http://schemas.openxmlformats.org/officeDocument/2006/relationships/hyperlink" Target="https://bair.berkeley.edu/blog/2019/12/13/humans-cyclegan/" TargetMode="External"/><Relationship Id="rId1906" Type="http://schemas.openxmlformats.org/officeDocument/2006/relationships/hyperlink" Target="https://mailchi.mp/7ba40faa7eed/an-82-how-openai-five-distributed-their-training-computation" TargetMode="External"/><Relationship Id="rId1907" Type="http://schemas.openxmlformats.org/officeDocument/2006/relationships/hyperlink" Target="https://arxiv.org/abs/1912.04443" TargetMode="External"/><Relationship Id="rId1908" Type="http://schemas.openxmlformats.org/officeDocument/2006/relationships/hyperlink" Target="http://arxiv.org/abs/1805.07687" TargetMode="External"/><Relationship Id="rId1909" Type="http://schemas.openxmlformats.org/officeDocument/2006/relationships/hyperlink" Target="https://mailchi.mp/15397ab6f65c/alignment-newsletter-8" TargetMode="External"/><Relationship Id="rId1090" Type="http://schemas.openxmlformats.org/officeDocument/2006/relationships/hyperlink" Target="https://www.alignmentforum.org/posts/Zmwkz2BMvuFFR8bi3/agi-safety-fundamentals-curriculum-and-application" TargetMode="External"/><Relationship Id="rId1091" Type="http://schemas.openxmlformats.org/officeDocument/2006/relationships/hyperlink" Target="https://mailchi.mp/083a96caafb4/an-171-disagreements-between-alignment-optimists-and-pessimists" TargetMode="External"/><Relationship Id="rId1092" Type="http://schemas.openxmlformats.org/officeDocument/2006/relationships/hyperlink" Target="https://forum.effectivealtruism.org/posts/XvWWfq9iqFj8x7Eu8/list-of-ai-safety-courses-and-resources" TargetMode="External"/><Relationship Id="rId1093" Type="http://schemas.openxmlformats.org/officeDocument/2006/relationships/hyperlink" Target="https://mailchi.mp/dcab1b7edaa3/an-164-how-well-can-language-models-write-code" TargetMode="External"/><Relationship Id="rId1094" Type="http://schemas.openxmlformats.org/officeDocument/2006/relationships/hyperlink" Target="https://forum.effectivealtruism.org/posts/2pxGXYX2JrptvLpzZ/ai-safety-career-bottlenecks-survey-responses-responses" TargetMode="External"/><Relationship Id="rId1095" Type="http://schemas.openxmlformats.org/officeDocument/2006/relationships/hyperlink" Target="https://mailchi.mp/459b1e4f860d/an-152how-weve-overestimated-few-shot-learning-capabilities" TargetMode="External"/><Relationship Id="rId1096" Type="http://schemas.openxmlformats.org/officeDocument/2006/relationships/hyperlink" Target="https://www.alignmentforum.org/posts/4jFnquoHuoaTqdphu/ai-x-risk-reduction-why-i-chose-academia-over-industry" TargetMode="External"/><Relationship Id="rId1097" Type="http://schemas.openxmlformats.org/officeDocument/2006/relationships/hyperlink" Target="https://mailchi.mp/8aae224669a8/an-143how-to-make-embedded-agents-that-reason-probabilistically-about-their-environments" TargetMode="External"/><Relationship Id="rId1098" Type="http://schemas.openxmlformats.org/officeDocument/2006/relationships/hyperlink" Target="https://forum.effectivealtruism.org/posts/WqQaPYhzDYJwLC6gW/ai-governance-career-paths-for-europeans" TargetMode="External"/><Relationship Id="rId1099" Type="http://schemas.openxmlformats.org/officeDocument/2006/relationships/hyperlink" Target="https://mailchi.mp/d9e1db727875/an-100what-might-go-wrong-if-you-learn-a-reward-function-while-acting" TargetMode="External"/><Relationship Id="rId1080" Type="http://schemas.openxmlformats.org/officeDocument/2006/relationships/hyperlink" Target="https://rohinshah.com/faq-career-advice-for-ai-alignment-researchers/" TargetMode="External"/><Relationship Id="rId1081" Type="http://schemas.openxmlformats.org/officeDocument/2006/relationships/hyperlink" Target="https://mailchi.mp/3f3842c04eb3/an-148analyzing-generalization-across-more-axes-than-just-accuracy-or-loss" TargetMode="External"/><Relationship Id="rId1082" Type="http://schemas.openxmlformats.org/officeDocument/2006/relationships/hyperlink" Target="https://www.lesswrong.com/posts/7uJnA3XDpTgemRH2c/critch-on-career-advice-for-junior-ai-x-risk-concerned" TargetMode="External"/><Relationship Id="rId1083" Type="http://schemas.openxmlformats.org/officeDocument/2006/relationships/hyperlink" Target="https://mailchi.mp/3e550712419a/alignment-newsletter-7" TargetMode="External"/><Relationship Id="rId1084" Type="http://schemas.openxmlformats.org/officeDocument/2006/relationships/hyperlink" Target="https://medium.com/machine-learning-for-humans/ai-reading-list-c4753afd97a" TargetMode="External"/><Relationship Id="rId1085" Type="http://schemas.openxmlformats.org/officeDocument/2006/relationships/hyperlink" Target="https://mailchi.mp/0b74c28413c0/an-64-using-deep-rl-and-reward-uncertainty-to-incentivize-preference-learning" TargetMode="External"/><Relationship Id="rId1086" Type="http://schemas.openxmlformats.org/officeDocument/2006/relationships/hyperlink" Target="https://www.alignmentforum.org/posts/PqMT9zGrNsGJNfiFR/alignment-research-field-guide" TargetMode="External"/><Relationship Id="rId1087" Type="http://schemas.openxmlformats.org/officeDocument/2006/relationships/hyperlink" Target="https://mailchi.mp/efed27be268a/alignment-newsletter-49" TargetMode="External"/><Relationship Id="rId1088" Type="http://schemas.openxmlformats.org/officeDocument/2006/relationships/hyperlink" Target="https://www.lesswrong.com/posts/3u8oZEEayqqjjZ7Nw/current-ai-safety-roles-for-software-engineers" TargetMode="External"/><Relationship Id="rId1089" Type="http://schemas.openxmlformats.org/officeDocument/2006/relationships/hyperlink" Target="https://mailchi.mp/8f5d302499be/alignment-newsletter-32" TargetMode="External"/><Relationship Id="rId1972" Type="http://schemas.openxmlformats.org/officeDocument/2006/relationships/hyperlink" Target="https://mailchi.mp/d7b5059d64ed/alignment-newsletter-24" TargetMode="External"/><Relationship Id="rId1973" Type="http://schemas.openxmlformats.org/officeDocument/2006/relationships/hyperlink" Target="https://arxiv.org/abs/1711.02827" TargetMode="External"/><Relationship Id="rId1974" Type="http://schemas.openxmlformats.org/officeDocument/2006/relationships/hyperlink" Target="http://arxiv.org/abs/1809.02064" TargetMode="External"/><Relationship Id="rId1975" Type="http://schemas.openxmlformats.org/officeDocument/2006/relationships/hyperlink" Target="https://mailchi.mp/9295c961b39b/alignment-newsletter-23" TargetMode="External"/><Relationship Id="rId1976" Type="http://schemas.openxmlformats.org/officeDocument/2006/relationships/hyperlink" Target="http://arxiv.org/abs/1808.04468" TargetMode="External"/><Relationship Id="rId1977" Type="http://schemas.openxmlformats.org/officeDocument/2006/relationships/hyperlink" Target="https://mailchi.mp/d92bd0fefc83/alignment-newsletter-20" TargetMode="External"/><Relationship Id="rId1978" Type="http://schemas.openxmlformats.org/officeDocument/2006/relationships/hyperlink" Target="https://www.alignmentforum.org/posts/zTf946PQwN2AN3X3Y/entropic-regret-i-deterministic-mdps" TargetMode="External"/><Relationship Id="rId1979" Type="http://schemas.openxmlformats.org/officeDocument/2006/relationships/hyperlink" Target="https://mailchi.mp/d92bd0fefc83/alignment-newsletter-20" TargetMode="External"/><Relationship Id="rId1970" Type="http://schemas.openxmlformats.org/officeDocument/2006/relationships/hyperlink" Target="https://mailchi.mp/0c5eeec28f75/alignment-newsletter-25" TargetMode="External"/><Relationship Id="rId1971" Type="http://schemas.openxmlformats.org/officeDocument/2006/relationships/hyperlink" Target="https://arxiv.org/abs/1809.03060" TargetMode="External"/><Relationship Id="rId1961" Type="http://schemas.openxmlformats.org/officeDocument/2006/relationships/hyperlink" Target="http://arxiv.org/abs/1809.02925" TargetMode="External"/><Relationship Id="rId1962" Type="http://schemas.openxmlformats.org/officeDocument/2006/relationships/hyperlink" Target="https://mailchi.mp/cfec6a0f6e73/alignment-newsletter-29" TargetMode="External"/><Relationship Id="rId1963" Type="http://schemas.openxmlformats.org/officeDocument/2006/relationships/hyperlink" Target="http://arxiv.org/abs/1810.03237" TargetMode="External"/><Relationship Id="rId1964" Type="http://schemas.openxmlformats.org/officeDocument/2006/relationships/hyperlink" Target="https://mailchi.mp/df2e472140b6/alignment-newsletter-28" TargetMode="External"/><Relationship Id="rId1965" Type="http://schemas.openxmlformats.org/officeDocument/2006/relationships/hyperlink" Target="https://arxiv.org/abs/1810.00482" TargetMode="External"/><Relationship Id="rId1966" Type="http://schemas.openxmlformats.org/officeDocument/2006/relationships/hyperlink" Target="https://mailchi.mp/0212425e5544/alignment-newsletter-27" TargetMode="External"/><Relationship Id="rId1967" Type="http://schemas.openxmlformats.org/officeDocument/2006/relationships/hyperlink" Target="http://arxiv.org/abs/1810.01108" TargetMode="External"/><Relationship Id="rId1968" Type="http://schemas.openxmlformats.org/officeDocument/2006/relationships/hyperlink" Target="https://mailchi.mp/0212425e5544/alignment-newsletter-27" TargetMode="External"/><Relationship Id="rId1969" Type="http://schemas.openxmlformats.org/officeDocument/2006/relationships/hyperlink" Target="https://arxiv.org/abs/1809.05872" TargetMode="External"/><Relationship Id="rId1960" Type="http://schemas.openxmlformats.org/officeDocument/2006/relationships/hyperlink" Target="https://mailchi.mp/e6a23da2760e/alignment-newsletter-3?e=f665c7b50a" TargetMode="External"/><Relationship Id="rId1994" Type="http://schemas.openxmlformats.org/officeDocument/2006/relationships/hyperlink" Target="http://arxiv.org/abs/1807.05037" TargetMode="External"/><Relationship Id="rId1995" Type="http://schemas.openxmlformats.org/officeDocument/2006/relationships/hyperlink" Target="https://mailchi.mp/f2950ed2ac4b/alignment-newsletter-16" TargetMode="External"/><Relationship Id="rId1996" Type="http://schemas.openxmlformats.org/officeDocument/2006/relationships/hyperlink" Target="https://venturebeat.com/2018/07/16/ibm-researchers-train-ai-to-follow-code-of-ethics/" TargetMode="External"/><Relationship Id="rId1997" Type="http://schemas.openxmlformats.org/officeDocument/2006/relationships/hyperlink" Target="https://mailchi.mp/f2950ed2ac4b/alignment-newsletter-16" TargetMode="External"/><Relationship Id="rId1998" Type="http://schemas.openxmlformats.org/officeDocument/2006/relationships/hyperlink" Target="https://www.ijcai.org/proceedings/2018/0843.pdf" TargetMode="External"/><Relationship Id="rId1999" Type="http://schemas.openxmlformats.org/officeDocument/2006/relationships/hyperlink" Target="http://arxiv.org/abs/1807.06158" TargetMode="External"/><Relationship Id="rId1990" Type="http://schemas.openxmlformats.org/officeDocument/2006/relationships/hyperlink" Target="https://arxiv.org/abs/2106.10394" TargetMode="External"/><Relationship Id="rId1991" Type="http://schemas.openxmlformats.org/officeDocument/2006/relationships/hyperlink" Target="https://mailchi.mp/24cc937b2489/an-161creating-generalizable-reward-functions-for-multiple-tasks-by-learning-a-model-of-functional-similarity" TargetMode="External"/><Relationship Id="rId1992" Type="http://schemas.openxmlformats.org/officeDocument/2006/relationships/hyperlink" Target="http://proceedings.mlr.press/v139/kim21c/kim21c.pdf" TargetMode="External"/><Relationship Id="rId1993" Type="http://schemas.openxmlformats.org/officeDocument/2006/relationships/hyperlink" Target="https://mailchi.mp/24cc937b2489/an-161creating-generalizable-reward-functions-for-multiple-tasks-by-learning-a-model-of-functional-similarity" TargetMode="External"/><Relationship Id="rId1983" Type="http://schemas.openxmlformats.org/officeDocument/2006/relationships/hyperlink" Target="https://mailchi.mp/a08565612790/an-169collaborating-with-humans-without-human-data" TargetMode="External"/><Relationship Id="rId1984" Type="http://schemas.openxmlformats.org/officeDocument/2006/relationships/hyperlink" Target="https://openreview.net/forum?id=ps95-mkHF_" TargetMode="External"/><Relationship Id="rId1985" Type="http://schemas.openxmlformats.org/officeDocument/2006/relationships/hyperlink" Target="https://mailchi.mp/5fb91dfd758a/an-166-is-it-crazy-to-claim-were-in-the-most-important-century" TargetMode="External"/><Relationship Id="rId1986" Type="http://schemas.openxmlformats.org/officeDocument/2006/relationships/hyperlink" Target="http://arxiv.org/abs/1909.06769" TargetMode="External"/><Relationship Id="rId1987" Type="http://schemas.openxmlformats.org/officeDocument/2006/relationships/hyperlink" Target="https://mailchi.mp/24cc937b2489/an-161creating-generalizable-reward-functions-for-multiple-tasks-by-learning-a-model-of-functional-similarity" TargetMode="External"/><Relationship Id="rId1988" Type="http://schemas.openxmlformats.org/officeDocument/2006/relationships/hyperlink" Target="https://arxiv.org/abs/2106.12142" TargetMode="External"/><Relationship Id="rId1989" Type="http://schemas.openxmlformats.org/officeDocument/2006/relationships/hyperlink" Target="https://mailchi.mp/24cc937b2489/an-161creating-generalizable-reward-functions-for-multiple-tasks-by-learning-a-model-of-functional-similarity" TargetMode="External"/><Relationship Id="rId1980" Type="http://schemas.openxmlformats.org/officeDocument/2006/relationships/hyperlink" Target="http://proceedings.mlr.press/v139/jarrett21a/jarrett21a.pdf" TargetMode="External"/><Relationship Id="rId1981" Type="http://schemas.openxmlformats.org/officeDocument/2006/relationships/hyperlink" Target="https://mailchi.mp/a08565612790/an-169collaborating-with-humans-without-human-data" TargetMode="External"/><Relationship Id="rId1982" Type="http://schemas.openxmlformats.org/officeDocument/2006/relationships/hyperlink" Target="https://arxiv.org/abs/2111.06956" TargetMode="External"/><Relationship Id="rId1930" Type="http://schemas.openxmlformats.org/officeDocument/2006/relationships/hyperlink" Target="https://mailchi.mp/0dd8eb63fe2d/an-60a-new-ai-challenge-minecraft-agents-that-assist-human-players-in-creative-mode" TargetMode="External"/><Relationship Id="rId1931" Type="http://schemas.openxmlformats.org/officeDocument/2006/relationships/hyperlink" Target="https://intelligence.org/2019/04/24/delegative-reinforcement-learning/" TargetMode="External"/><Relationship Id="rId1932" Type="http://schemas.openxmlformats.org/officeDocument/2006/relationships/hyperlink" Target="https://mailchi.mp/392d2043e782/an-57why-we-should-focus-on-robustness-in-ai-safety-and-the-analogous-problems-in-programming" TargetMode="External"/><Relationship Id="rId1933" Type="http://schemas.openxmlformats.org/officeDocument/2006/relationships/hyperlink" Target="http://iliad.stanford.edu/blog/2018/10/06/batch-active-preference-based-learning-of-reward-functions/" TargetMode="External"/><Relationship Id="rId1934" Type="http://schemas.openxmlformats.org/officeDocument/2006/relationships/hyperlink" Target="https://mailchi.mp/894417149126/an-56-should-ml-researchers-stop-running-experiments-before-making-hypotheses" TargetMode="External"/><Relationship Id="rId1935" Type="http://schemas.openxmlformats.org/officeDocument/2006/relationships/hyperlink" Target="https://sites.google.com/view/reward-learning-rl/home" TargetMode="External"/><Relationship Id="rId1936" Type="http://schemas.openxmlformats.org/officeDocument/2006/relationships/hyperlink" Target="https://mailchi.mp/3e2f43012b07/an-54-boxing-a-finite-horizon-ai-system-to-keep-it-unambitious" TargetMode="External"/><Relationship Id="rId1937" Type="http://schemas.openxmlformats.org/officeDocument/2006/relationships/hyperlink" Target="https://bair.berkeley.edu/blog/2019/05/28/end-to-end/" TargetMode="External"/><Relationship Id="rId1938" Type="http://schemas.openxmlformats.org/officeDocument/2006/relationships/hyperlink" Target="https://unstableontology.com/2019/04/04/conditional-revealed-preference/" TargetMode="External"/><Relationship Id="rId1939" Type="http://schemas.openxmlformats.org/officeDocument/2006/relationships/hyperlink" Target="https://mailchi.mp/534f448d6c8b/alignment-newsletter-53" TargetMode="External"/><Relationship Id="rId1920" Type="http://schemas.openxmlformats.org/officeDocument/2006/relationships/hyperlink" Target="https://mailchi.mp/732eaa192df0/an-70-agents-that-help-humans-who-are-still-learning-about-their-own-preferences" TargetMode="External"/><Relationship Id="rId1921" Type="http://schemas.openxmlformats.org/officeDocument/2006/relationships/hyperlink" Target="http://arxiv.org/abs/1709.06275" TargetMode="External"/><Relationship Id="rId1922" Type="http://schemas.openxmlformats.org/officeDocument/2006/relationships/hyperlink" Target="https://mailchi.mp/59ddebcb3b9a/an-69-stuart-russells-new-book-on-why-we-need-to-replace-the-standard-model-of-ai" TargetMode="External"/><Relationship Id="rId1923" Type="http://schemas.openxmlformats.org/officeDocument/2006/relationships/hyperlink" Target="https://arbital.com/p/updated_deference/" TargetMode="External"/><Relationship Id="rId1924" Type="http://schemas.openxmlformats.org/officeDocument/2006/relationships/hyperlink" Target="https://mailchi.mp/59ddebcb3b9a/an-69-stuart-russells-new-book-on-why-we-need-to-replace-the-standard-model-of-ai" TargetMode="External"/><Relationship Id="rId1925" Type="http://schemas.openxmlformats.org/officeDocument/2006/relationships/hyperlink" Target="https://arxiv.org/abs/1905.11108" TargetMode="External"/><Relationship Id="rId1926" Type="http://schemas.openxmlformats.org/officeDocument/2006/relationships/hyperlink" Target="https://mailchi.mp/0dd8eb63fe2d/an-60a-new-ai-challenge-minecraft-agents-that-assist-human-players-in-creative-mode" TargetMode="External"/><Relationship Id="rId1927" Type="http://schemas.openxmlformats.org/officeDocument/2006/relationships/hyperlink" Target="https://www.alignmentforum.org/posts/CSEdLLEkap2pubjof/research-agenda-v0-9-synthesising-a-human-s-preferences-into" TargetMode="External"/><Relationship Id="rId1928" Type="http://schemas.openxmlformats.org/officeDocument/2006/relationships/hyperlink" Target="https://mailchi.mp/0dd8eb63fe2d/an-60a-new-ai-challenge-minecraft-agents-that-assist-human-players-in-creative-mode" TargetMode="External"/><Relationship Id="rId1929" Type="http://schemas.openxmlformats.org/officeDocument/2006/relationships/hyperlink" Target="https://alignmentforum.org/posts/GHNokcgERpLJwJnLW/some-comments-on-stuart-armstrong-s-research-agenda-v0-9?_ga=2.216737811.48011077.1562349688-943761554.1470242885" TargetMode="External"/><Relationship Id="rId1950" Type="http://schemas.openxmlformats.org/officeDocument/2006/relationships/hyperlink" Target="https://mailchi.mp/260cd31d5f03/alignment-newsletter-47" TargetMode="External"/><Relationship Id="rId1951" Type="http://schemas.openxmlformats.org/officeDocument/2006/relationships/hyperlink" Target="https://www.lesswrong.com/posts/GermiEmcS6xuZ2gBh/what-ai-safety-researchers-have-written-about-the-nature-of" TargetMode="External"/><Relationship Id="rId1952" Type="http://schemas.openxmlformats.org/officeDocument/2006/relationships/hyperlink" Target="https://mailchi.mp/f6488137d76c/alignment-newsletter-42" TargetMode="External"/><Relationship Id="rId1953" Type="http://schemas.openxmlformats.org/officeDocument/2006/relationships/hyperlink" Target="https://arxiv.org/abs/1901.01291" TargetMode="External"/><Relationship Id="rId1954" Type="http://schemas.openxmlformats.org/officeDocument/2006/relationships/hyperlink" Target="https://mailchi.mp/8c3f02cabccd/alignment-newsletter-41" TargetMode="External"/><Relationship Id="rId1955" Type="http://schemas.openxmlformats.org/officeDocument/2006/relationships/hyperlink" Target="http://arxiv.org/abs/1811.03516" TargetMode="External"/><Relationship Id="rId1956" Type="http://schemas.openxmlformats.org/officeDocument/2006/relationships/hyperlink" Target="https://mailchi.mp/8f5d302499be/alignment-newsletter-32" TargetMode="External"/><Relationship Id="rId1957" Type="http://schemas.openxmlformats.org/officeDocument/2006/relationships/hyperlink" Target="http://arxiv.org/abs/1810.11043" TargetMode="External"/><Relationship Id="rId1958" Type="http://schemas.openxmlformats.org/officeDocument/2006/relationships/hyperlink" Target="https://mailchi.mp/7d0e3916e3d9/alignment-newsletter-31" TargetMode="External"/><Relationship Id="rId1959" Type="http://schemas.openxmlformats.org/officeDocument/2006/relationships/hyperlink" Target="http://bair.berkeley.edu/blog/2018/04/18/shared-autonomy/" TargetMode="External"/><Relationship Id="rId1940" Type="http://schemas.openxmlformats.org/officeDocument/2006/relationships/hyperlink" Target="https://arxiv.org/abs/1804.05917" TargetMode="External"/><Relationship Id="rId1941" Type="http://schemas.openxmlformats.org/officeDocument/2006/relationships/hyperlink" Target="https://mailchi.mp/0ae5d69de63b/alignment-newsletter-5" TargetMode="External"/><Relationship Id="rId1942" Type="http://schemas.openxmlformats.org/officeDocument/2006/relationships/hyperlink" Target="https://github.com/pucrs-automated-planning/goal-plan-recognition-dataset" TargetMode="External"/><Relationship Id="rId1943" Type="http://schemas.openxmlformats.org/officeDocument/2006/relationships/hyperlink" Target="https://arxiv.org/abs/1804.10692" TargetMode="External"/><Relationship Id="rId1944" Type="http://schemas.openxmlformats.org/officeDocument/2006/relationships/hyperlink" Target="https://mailchi.mp/0ae5d69de63b/alignment-newsletter-5" TargetMode="External"/><Relationship Id="rId1945" Type="http://schemas.openxmlformats.org/officeDocument/2006/relationships/hyperlink" Target="https://futureoflife.org/2019/02/21/human-cognition-and-the-nature-of-intelligence-with-joshua-greene/" TargetMode="External"/><Relationship Id="rId1946" Type="http://schemas.openxmlformats.org/officeDocument/2006/relationships/hyperlink" Target="https://mailchi.mp/260cd31d5f03/alignment-newsletter-47" TargetMode="External"/><Relationship Id="rId1947" Type="http://schemas.openxmlformats.org/officeDocument/2006/relationships/hyperlink" Target="http://arxiv.org/abs/1901.09387" TargetMode="External"/><Relationship Id="rId1948" Type="http://schemas.openxmlformats.org/officeDocument/2006/relationships/hyperlink" Target="https://mailchi.mp/260cd31d5f03/alignment-newsletter-47" TargetMode="External"/><Relationship Id="rId1949" Type="http://schemas.openxmlformats.org/officeDocument/2006/relationships/hyperlink" Target="http://arxiv.org/abs/1902.00719" TargetMode="External"/><Relationship Id="rId2423" Type="http://schemas.openxmlformats.org/officeDocument/2006/relationships/hyperlink" Target="https://mailchi.mp/eef1d6c95d7c/an-78formalizing-power-and-instrumental-convergence-and-the-end-of-year-ai-safety-charity-comparison" TargetMode="External"/><Relationship Id="rId3755" Type="http://schemas.openxmlformats.org/officeDocument/2006/relationships/hyperlink" Target="https://mailchi.mp/0212425e5544/alignment-newsletter-27" TargetMode="External"/><Relationship Id="rId2424" Type="http://schemas.openxmlformats.org/officeDocument/2006/relationships/hyperlink" Target="https://www.alignmentforum.org/posts/gYaKZeBbSL4y2RLP3/strategic-implications-of-ais-ability-to-coordinate-at-low" TargetMode="External"/><Relationship Id="rId3754" Type="http://schemas.openxmlformats.org/officeDocument/2006/relationships/hyperlink" Target="http://arxiv.org/abs/1810.01032" TargetMode="External"/><Relationship Id="rId2425" Type="http://schemas.openxmlformats.org/officeDocument/2006/relationships/hyperlink" Target="https://mailchi.mp/1106d0ce6766/an-76how-dataset-size-affects-robustness-and-benchmarking-safe-exploration-by-measuring-constraint-violations" TargetMode="External"/><Relationship Id="rId3757" Type="http://schemas.openxmlformats.org/officeDocument/2006/relationships/hyperlink" Target="https://mailchi.mp/7f4d6ceb2ac4/an-158-should-we-be-optimistic-about-generalization" TargetMode="External"/><Relationship Id="rId2426" Type="http://schemas.openxmlformats.org/officeDocument/2006/relationships/hyperlink" Target="https://www.alignmentforum.org/posts/3qXE6fK47JhSfkpnB/do-sufficiently-advanced-agents-use-logic" TargetMode="External"/><Relationship Id="rId3756" Type="http://schemas.openxmlformats.org/officeDocument/2006/relationships/hyperlink" Target="https://www.alignmentforum.org/posts/QqwZ7cwEA2cxFEAun/teaching-ml-to-answer-questions-honestly-instead-of" TargetMode="External"/><Relationship Id="rId2427" Type="http://schemas.openxmlformats.org/officeDocument/2006/relationships/hyperlink" Target="https://mailchi.mp/1106d0ce6766/an-76how-dataset-size-affects-robustness-and-benchmarking-safe-exploration-by-measuring-constraint-violations" TargetMode="External"/><Relationship Id="rId3759" Type="http://schemas.openxmlformats.org/officeDocument/2006/relationships/hyperlink" Target="https://mailchi.mp/7ba40faa7eed/an-82-how-openai-five-distributed-their-training-computation" TargetMode="External"/><Relationship Id="rId2428" Type="http://schemas.openxmlformats.org/officeDocument/2006/relationships/hyperlink" Target="https://www.alignmentforum.org/posts/CjW4axQDqLd2oDCGG/misconceptions-about-continuous-takeoff" TargetMode="External"/><Relationship Id="rId3758" Type="http://schemas.openxmlformats.org/officeDocument/2006/relationships/hyperlink" Target="https://arxiv.org/abs/1912.02781" TargetMode="External"/><Relationship Id="rId2429" Type="http://schemas.openxmlformats.org/officeDocument/2006/relationships/hyperlink" Target="https://www.vox.com/future-perfect/2019/10/26/20932289/ai-stuart-russell-human-compatible" TargetMode="External"/><Relationship Id="rId509" Type="http://schemas.openxmlformats.org/officeDocument/2006/relationships/hyperlink" Target="https://medium.com/partnership-on-ai/lessons-for-the-ai-community-from-the-h5n1-controversy-32432438a82e" TargetMode="External"/><Relationship Id="rId508" Type="http://schemas.openxmlformats.org/officeDocument/2006/relationships/hyperlink" Target="https://mailchi.mp/51717855ea27/alignment-newsletter-18" TargetMode="External"/><Relationship Id="rId503" Type="http://schemas.openxmlformats.org/officeDocument/2006/relationships/hyperlink" Target="https://www.bloomberg.com/news/articles/2018-04-09/sensetime-snags-alibaba-funding-at-a-record-3-billion-valuation" TargetMode="External"/><Relationship Id="rId502" Type="http://schemas.openxmlformats.org/officeDocument/2006/relationships/hyperlink" Target="https://mailchi.mp/14782876a85d/alignment-newsletter-2" TargetMode="External"/><Relationship Id="rId501" Type="http://schemas.openxmlformats.org/officeDocument/2006/relationships/hyperlink" Target="http://rbharath.github.io/the-advent-of-huangs-law/" TargetMode="External"/><Relationship Id="rId500" Type="http://schemas.openxmlformats.org/officeDocument/2006/relationships/hyperlink" Target="https://mailchi.mp/469203093ca3/alignment-newsletter-22" TargetMode="External"/><Relationship Id="rId507" Type="http://schemas.openxmlformats.org/officeDocument/2006/relationships/hyperlink" Target="https://www.ijcai.org/proceedings/2018/0718.pdf" TargetMode="External"/><Relationship Id="rId506" Type="http://schemas.openxmlformats.org/officeDocument/2006/relationships/hyperlink" Target="https://mailchi.mp/14782876a85d/alignment-newsletter-2" TargetMode="External"/><Relationship Id="rId505" Type="http://schemas.openxmlformats.org/officeDocument/2006/relationships/hyperlink" Target="https://macropolo.org/deep-roots-long-branches-chinese-technonationalism/" TargetMode="External"/><Relationship Id="rId504" Type="http://schemas.openxmlformats.org/officeDocument/2006/relationships/hyperlink" Target="https://mailchi.mp/14782876a85d/alignment-newsletter-2" TargetMode="External"/><Relationship Id="rId3751" Type="http://schemas.openxmlformats.org/officeDocument/2006/relationships/hyperlink" Target="https://mailchi.mp/df2e472140b6/alignment-newsletter-28" TargetMode="External"/><Relationship Id="rId2420" Type="http://schemas.openxmlformats.org/officeDocument/2006/relationships/hyperlink" Target="https://www.lesswrong.com/posts/3kN79EuT27trGexsq/when-is-unaligned-ai-morally-valuable" TargetMode="External"/><Relationship Id="rId3750" Type="http://schemas.openxmlformats.org/officeDocument/2006/relationships/hyperlink" Target="https://arxiv.org/abs/1804.00092" TargetMode="External"/><Relationship Id="rId2421" Type="http://schemas.openxmlformats.org/officeDocument/2006/relationships/hyperlink" Target="https://mailchi.mp/15397ab6f65c/alignment-newsletter-8" TargetMode="External"/><Relationship Id="rId3753" Type="http://schemas.openxmlformats.org/officeDocument/2006/relationships/hyperlink" Target="https://mailchi.mp/0212425e5544/alignment-newsletter-27" TargetMode="External"/><Relationship Id="rId2422" Type="http://schemas.openxmlformats.org/officeDocument/2006/relationships/hyperlink" Target="https://www.alignmentforum.org/posts/Ca3sCRGfWvXvYC5YC/what-are-some-non-purely-sampling-ways-to-do-deep-rl" TargetMode="External"/><Relationship Id="rId3752" Type="http://schemas.openxmlformats.org/officeDocument/2006/relationships/hyperlink" Target="http://arxiv.org/abs/1810.01014" TargetMode="External"/><Relationship Id="rId2412" Type="http://schemas.openxmlformats.org/officeDocument/2006/relationships/hyperlink" Target="https://mailchi.mp/0180cf9ba264/an-90how-search-landscapes-can-contain-self-reinforcing-feedback-loops" TargetMode="External"/><Relationship Id="rId3744" Type="http://schemas.openxmlformats.org/officeDocument/2006/relationships/hyperlink" Target="https://berkeley-deep-learning.github.io/cs294-131-s19/" TargetMode="External"/><Relationship Id="rId2413" Type="http://schemas.openxmlformats.org/officeDocument/2006/relationships/hyperlink" Target="http://arxiv.org/abs/1805.08347" TargetMode="External"/><Relationship Id="rId3743" Type="http://schemas.openxmlformats.org/officeDocument/2006/relationships/hyperlink" Target="https://mailchi.mp/260cd31d5f03/alignment-newsletter-47" TargetMode="External"/><Relationship Id="rId2414" Type="http://schemas.openxmlformats.org/officeDocument/2006/relationships/hyperlink" Target="https://mailchi.mp/a1ae6b62df21/alignment-newsletter-9" TargetMode="External"/><Relationship Id="rId3746" Type="http://schemas.openxmlformats.org/officeDocument/2006/relationships/hyperlink" Target="https://futureoflife.org/2019/01/30/ai-alignment-podcast-the-byzantine-problem-poisoning-and-distributed-machine-learning-with-el-mahdi-el-mahmdi-beneficial-agi-2019/" TargetMode="External"/><Relationship Id="rId2415" Type="http://schemas.openxmlformats.org/officeDocument/2006/relationships/hyperlink" Target="https://medium.com/@RyanCarey/new-paper-the-incentives-that-shape-behaviour-d6d8bb77d2e4" TargetMode="External"/><Relationship Id="rId3745" Type="http://schemas.openxmlformats.org/officeDocument/2006/relationships/hyperlink" Target="https://mailchi.mp/35b451cb4d70/alignment-newsletter-45" TargetMode="External"/><Relationship Id="rId2416" Type="http://schemas.openxmlformats.org/officeDocument/2006/relationships/hyperlink" Target="https://mailchi.mp/c29b3247da6f/4da2bu7tjd" TargetMode="External"/><Relationship Id="rId3748" Type="http://schemas.openxmlformats.org/officeDocument/2006/relationships/hyperlink" Target="https://arxiv.org/abs/1811.12231" TargetMode="External"/><Relationship Id="rId2417" Type="http://schemas.openxmlformats.org/officeDocument/2006/relationships/hyperlink" Target="https://arxiv.org/abs/2001.07118" TargetMode="External"/><Relationship Id="rId3747" Type="http://schemas.openxmlformats.org/officeDocument/2006/relationships/hyperlink" Target="https://mailchi.mp/35b451cb4d70/alignment-newsletter-45" TargetMode="External"/><Relationship Id="rId2418" Type="http://schemas.openxmlformats.org/officeDocument/2006/relationships/hyperlink" Target="https://www.alignmentforum.org/posts/YJq6R9Wgk5Atjx54D/does-bayes-beat-goodhart" TargetMode="External"/><Relationship Id="rId2419" Type="http://schemas.openxmlformats.org/officeDocument/2006/relationships/hyperlink" Target="https://mailchi.mp/84b4235cfa34/an-85-the-normative-questions-we-should-be-asking-for-ai-alignment-and-a-surprisingly-good-chatbot" TargetMode="External"/><Relationship Id="rId3749" Type="http://schemas.openxmlformats.org/officeDocument/2006/relationships/hyperlink" Target="https://mailchi.mp/b6dc636f6a1b/alignment-newsletter-33" TargetMode="External"/><Relationship Id="rId3740" Type="http://schemas.openxmlformats.org/officeDocument/2006/relationships/hyperlink" Target="https://medium.com/@deepmindsafetyresearch/towards-robust-and-verified-ai-specification-testing-robust-training-and-formal-verification-69bd1bc48bda" TargetMode="External"/><Relationship Id="rId2410" Type="http://schemas.openxmlformats.org/officeDocument/2006/relationships/hyperlink" Target="https://mailchi.mp/976b1f69179c/an-93the-precipice-were-standing-at-and-how-we-can-back-away-from-it" TargetMode="External"/><Relationship Id="rId3742" Type="http://schemas.openxmlformats.org/officeDocument/2006/relationships/hyperlink" Target="https://arxiv.org/abs/1901.10513" TargetMode="External"/><Relationship Id="rId2411" Type="http://schemas.openxmlformats.org/officeDocument/2006/relationships/hyperlink" Target="https://aiimpacts.org/cortes-pizarro-and-afonso-as-precedents-for-ai-takeover/" TargetMode="External"/><Relationship Id="rId3741" Type="http://schemas.openxmlformats.org/officeDocument/2006/relationships/hyperlink" Target="https://mailchi.mp/1e757d9b05cb/alignment-newsletter-52" TargetMode="External"/><Relationship Id="rId1114" Type="http://schemas.openxmlformats.org/officeDocument/2006/relationships/hyperlink" Target="https://aiimpacts.org/reinterpreting-ai-and-compute/" TargetMode="External"/><Relationship Id="rId2445" Type="http://schemas.openxmlformats.org/officeDocument/2006/relationships/hyperlink" Target="https://mailchi.mp/c48f996a5db5/alignment-newsletter-46" TargetMode="External"/><Relationship Id="rId3777" Type="http://schemas.openxmlformats.org/officeDocument/2006/relationships/hyperlink" Target="https://mailchi.mp/e6a23da2760e/alignment-newsletter-3?e=f665c7b50a" TargetMode="External"/><Relationship Id="rId1115" Type="http://schemas.openxmlformats.org/officeDocument/2006/relationships/hyperlink" Target="https://mailchi.mp/588354e4b91d/alignment-newsletter-38" TargetMode="External"/><Relationship Id="rId2446" Type="http://schemas.openxmlformats.org/officeDocument/2006/relationships/hyperlink" Target="https://futureoflife.org/valuealignmentmap/" TargetMode="External"/><Relationship Id="rId3776" Type="http://schemas.openxmlformats.org/officeDocument/2006/relationships/hyperlink" Target="https://arxiv.org/abs/1804.05296" TargetMode="External"/><Relationship Id="rId1116" Type="http://schemas.openxmlformats.org/officeDocument/2006/relationships/hyperlink" Target="https://blog.openai.com/ai-and-compute/" TargetMode="External"/><Relationship Id="rId2447" Type="http://schemas.openxmlformats.org/officeDocument/2006/relationships/hyperlink" Target="https://mailchi.mp/32f89a74a7b6/alignment-newsletter-4" TargetMode="External"/><Relationship Id="rId3779" Type="http://schemas.openxmlformats.org/officeDocument/2006/relationships/hyperlink" Target="https://mailchi.mp/ff6340049bd0/alignment-newsletter-1" TargetMode="External"/><Relationship Id="rId1117" Type="http://schemas.openxmlformats.org/officeDocument/2006/relationships/hyperlink" Target="https://www.alignmentforum.org/posts/vwLxd6hhFvPbvKmBH/yudkowsky-and-christiano-discuss-takeoff-speeds" TargetMode="External"/><Relationship Id="rId2448" Type="http://schemas.openxmlformats.org/officeDocument/2006/relationships/hyperlink" Target="https://www.cser.ac.uk/resources/xrisk-creativity/" TargetMode="External"/><Relationship Id="rId3778" Type="http://schemas.openxmlformats.org/officeDocument/2006/relationships/hyperlink" Target="https://arxiv.org/abs/1804.00308" TargetMode="External"/><Relationship Id="rId1118" Type="http://schemas.openxmlformats.org/officeDocument/2006/relationships/hyperlink" Target="https://mailchi.mp/083a96caafb4/an-171-disagreements-between-alignment-optimists-and-pessimists" TargetMode="External"/><Relationship Id="rId2449" Type="http://schemas.openxmlformats.org/officeDocument/2006/relationships/hyperlink" Target="https://mailchi.mp/0212425e5544/alignment-newsletter-27" TargetMode="External"/><Relationship Id="rId1119" Type="http://schemas.openxmlformats.org/officeDocument/2006/relationships/hyperlink" Target="https://arxiv.org/abs/2105.09938" TargetMode="External"/><Relationship Id="rId525" Type="http://schemas.openxmlformats.org/officeDocument/2006/relationships/hyperlink" Target="https://jack-clark.net/2021/02/01/import-ai-234-pre-training-with-fractals-computecountries-gans-for-good/" TargetMode="External"/><Relationship Id="rId524" Type="http://schemas.openxmlformats.org/officeDocument/2006/relationships/hyperlink" Target="https://mailchi.mp/2d838dcbd3b0/an-146plausible-stories-of-how-we-might-fail-to-avert-an-existential-catastrophe" TargetMode="External"/><Relationship Id="rId523" Type="http://schemas.openxmlformats.org/officeDocument/2006/relationships/hyperlink" Target="https://www.cnas.org/publications/reports/ai-and-international-stability-risks-and-confidence-building-measures" TargetMode="External"/><Relationship Id="rId522" Type="http://schemas.openxmlformats.org/officeDocument/2006/relationships/hyperlink" Target="https://mailchi.mp/4920e52dd61b/alignment-newsletter-15" TargetMode="External"/><Relationship Id="rId529" Type="http://schemas.openxmlformats.org/officeDocument/2006/relationships/hyperlink" Target="https://mailchi.mp/4a4bc2286f53/alignment-newsletter-14" TargetMode="External"/><Relationship Id="rId528" Type="http://schemas.openxmlformats.org/officeDocument/2006/relationships/hyperlink" Target="https://medium.com/politics-ai/an-overview-of-national-ai-strategies-2a70ec6edfd" TargetMode="External"/><Relationship Id="rId527" Type="http://schemas.openxmlformats.org/officeDocument/2006/relationships/hyperlink" Target="https://mailchi.mp/4a4bc2286f53/alignment-newsletter-14" TargetMode="External"/><Relationship Id="rId526" Type="http://schemas.openxmlformats.org/officeDocument/2006/relationships/hyperlink" Target="https://www.lesswrong.com/posts/FkZCM4DMprtEp568s/shaping-economic-incentives-for-collaborative-agi" TargetMode="External"/><Relationship Id="rId3771" Type="http://schemas.openxmlformats.org/officeDocument/2006/relationships/hyperlink" Target="https://mailchi.mp/5fb91dfd758a/an-166-is-it-crazy-to-claim-were-in-the-most-important-century" TargetMode="External"/><Relationship Id="rId2440" Type="http://schemas.openxmlformats.org/officeDocument/2006/relationships/hyperlink" Target="https://www.alignmentforum.org/posts/vphFJzK3mWA4PJKAg/coherent-behaviour-in-the-real-world-is-an-incoherent" TargetMode="External"/><Relationship Id="rId3770" Type="http://schemas.openxmlformats.org/officeDocument/2006/relationships/hyperlink" Target="https://www.alignmentforum.org/posts/k7oxdbNaGATZbtEg3/redwood-research-s-current-project" TargetMode="External"/><Relationship Id="rId521" Type="http://schemas.openxmlformats.org/officeDocument/2006/relationships/hyperlink" Target="https://www.stateof.ai/" TargetMode="External"/><Relationship Id="rId1110" Type="http://schemas.openxmlformats.org/officeDocument/2006/relationships/hyperlink" Target="https://aiimpacts.org/description-vs-simulated-prediction/" TargetMode="External"/><Relationship Id="rId2441" Type="http://schemas.openxmlformats.org/officeDocument/2006/relationships/hyperlink" Target="https://mailchi.mp/1e757d9b05cb/alignment-newsletter-52" TargetMode="External"/><Relationship Id="rId3773" Type="http://schemas.openxmlformats.org/officeDocument/2006/relationships/hyperlink" Target="https://mailchi.mp/ff6340049bd0/alignment-newsletter-1" TargetMode="External"/><Relationship Id="rId520" Type="http://schemas.openxmlformats.org/officeDocument/2006/relationships/hyperlink" Target="https://mailchi.mp/459b1e4f860d/an-152how-weve-overestimated-few-shot-learning-capabilities" TargetMode="External"/><Relationship Id="rId1111" Type="http://schemas.openxmlformats.org/officeDocument/2006/relationships/hyperlink" Target="https://mailchi.mp/a2b5efbcd3a7/an-97-are-there-historical-examples-of-large-robust-discontinuities" TargetMode="External"/><Relationship Id="rId2442" Type="http://schemas.openxmlformats.org/officeDocument/2006/relationships/hyperlink" Target="https://www.alignmentforum.org/posts/sEqu6jMgnHG2fvaoQ/partial-preferences-needed-partial-preferences-sufficient" TargetMode="External"/><Relationship Id="rId3772" Type="http://schemas.openxmlformats.org/officeDocument/2006/relationships/hyperlink" Target="https://arxiv.org/abs/1804.00792" TargetMode="External"/><Relationship Id="rId1112" Type="http://schemas.openxmlformats.org/officeDocument/2006/relationships/hyperlink" Target="https://blog.openai.com/ai-and-compute/" TargetMode="External"/><Relationship Id="rId2443" Type="http://schemas.openxmlformats.org/officeDocument/2006/relationships/hyperlink" Target="https://mailchi.mp/efed27be268a/alignment-newsletter-49" TargetMode="External"/><Relationship Id="rId3775" Type="http://schemas.openxmlformats.org/officeDocument/2006/relationships/hyperlink" Target="https://mailchi.mp/33af21f908b5/reconnaissance-5" TargetMode="External"/><Relationship Id="rId1113" Type="http://schemas.openxmlformats.org/officeDocument/2006/relationships/hyperlink" Target="https://mailchi.mp/3e550712419a/alignment-newsletter-7" TargetMode="External"/><Relationship Id="rId2444" Type="http://schemas.openxmlformats.org/officeDocument/2006/relationships/hyperlink" Target="https://forum.effectivealtruism.org/posts/Yseu9oG3gnb6ERc7n/three-biases-that-made-me-believe-in-ai-risk" TargetMode="External"/><Relationship Id="rId3774" Type="http://schemas.openxmlformats.org/officeDocument/2006/relationships/hyperlink" Target="https://arxiv.org/abs/1803.06975" TargetMode="External"/><Relationship Id="rId1103" Type="http://schemas.openxmlformats.org/officeDocument/2006/relationships/hyperlink" Target="https://mailchi.mp/f1947668b183/alignment-newsletter-34" TargetMode="External"/><Relationship Id="rId2434" Type="http://schemas.openxmlformats.org/officeDocument/2006/relationships/hyperlink" Target="https://mailchi.mp/3d4e6c2c206f/an-65learning-useful-skills-by-watching-humans-play" TargetMode="External"/><Relationship Id="rId3766" Type="http://schemas.openxmlformats.org/officeDocument/2006/relationships/hyperlink" Target="https://arxiv.org/abs/1903.06256" TargetMode="External"/><Relationship Id="rId1104" Type="http://schemas.openxmlformats.org/officeDocument/2006/relationships/hyperlink" Target="https://www.alignmentforum.org/posts/mojJ6Hpri8rfzY78b/fixed-point-exercises" TargetMode="External"/><Relationship Id="rId2435" Type="http://schemas.openxmlformats.org/officeDocument/2006/relationships/hyperlink" Target="https://arxiv.org/abs/1906.08663" TargetMode="External"/><Relationship Id="rId3765" Type="http://schemas.openxmlformats.org/officeDocument/2006/relationships/hyperlink" Target="https://mailchi.mp/260cd31d5f03/alignment-newsletter-47" TargetMode="External"/><Relationship Id="rId1105" Type="http://schemas.openxmlformats.org/officeDocument/2006/relationships/hyperlink" Target="https://mailchi.mp/b6dc636f6a1b/alignment-newsletter-33" TargetMode="External"/><Relationship Id="rId2436" Type="http://schemas.openxmlformats.org/officeDocument/2006/relationships/hyperlink" Target="https://mailchi.mp/2abdf19aa813/an-61ai-policy-and-governance-from-two-people-in-the-field" TargetMode="External"/><Relationship Id="rId3768" Type="http://schemas.openxmlformats.org/officeDocument/2006/relationships/hyperlink" Target="https://futureoflife.org/2018/09/17/making-ai-safe-in-an-unpredictable-world-an-interview-with-thomas-g-dietterich/" TargetMode="External"/><Relationship Id="rId1106" Type="http://schemas.openxmlformats.org/officeDocument/2006/relationships/hyperlink" Target="https://openai.com/blog/ai-and-efficiency/" TargetMode="External"/><Relationship Id="rId2437" Type="http://schemas.openxmlformats.org/officeDocument/2006/relationships/hyperlink" Target="https://www.lesswrong.com/posts/nyCHnY7T5PHPLjxmN/open-question-are-minimal-circuits-daemon-free" TargetMode="External"/><Relationship Id="rId3767" Type="http://schemas.openxmlformats.org/officeDocument/2006/relationships/hyperlink" Target="https://mailchi.mp/b6dc636f6a1b/alignment-newsletter-33" TargetMode="External"/><Relationship Id="rId1107" Type="http://schemas.openxmlformats.org/officeDocument/2006/relationships/hyperlink" Target="https://mailchi.mp/4f7ffc5cbe53/an-99-doubling-times-for-the-efficiency-of-ai-algorithms" TargetMode="External"/><Relationship Id="rId2438" Type="http://schemas.openxmlformats.org/officeDocument/2006/relationships/hyperlink" Target="https://mailchi.mp/d11bfd2ca5eb/alignment-newsletter-6" TargetMode="External"/><Relationship Id="rId1108" Type="http://schemas.openxmlformats.org/officeDocument/2006/relationships/hyperlink" Target="https://aiimpacts.org/discontinuous-progress-in-history-an-update/" TargetMode="External"/><Relationship Id="rId2439" Type="http://schemas.openxmlformats.org/officeDocument/2006/relationships/hyperlink" Target="https://arbital.com/p/daemons/" TargetMode="External"/><Relationship Id="rId3769" Type="http://schemas.openxmlformats.org/officeDocument/2006/relationships/hyperlink" Target="https://mailchi.mp/df2e472140b6/alignment-newsletter-28" TargetMode="External"/><Relationship Id="rId1109" Type="http://schemas.openxmlformats.org/officeDocument/2006/relationships/hyperlink" Target="https://mailchi.mp/a2b5efbcd3a7/an-97-are-there-historical-examples-of-large-robust-discontinuities" TargetMode="External"/><Relationship Id="rId519" Type="http://schemas.openxmlformats.org/officeDocument/2006/relationships/hyperlink" Target="https://www.alignmentforum.org/posts/RBsTG5F2LqsMaqdzP/some-ai-governance-research-ideas" TargetMode="External"/><Relationship Id="rId514" Type="http://schemas.openxmlformats.org/officeDocument/2006/relationships/hyperlink" Target="https://mailchi.mp/9dd2c875c362/an-159building-agents-that-know-how-to-experiment-by-training-on-procedurally-generated-games" TargetMode="External"/><Relationship Id="rId513" Type="http://schemas.openxmlformats.org/officeDocument/2006/relationships/hyperlink" Target="http://gcrinstitute.org/collective-action-on-artificial-intelligence-a-primer-and-review/" TargetMode="External"/><Relationship Id="rId512" Type="http://schemas.openxmlformats.org/officeDocument/2006/relationships/hyperlink" Target="https://mailchi.mp/f2950ed2ac4b/alignment-newsletter-16" TargetMode="External"/><Relationship Id="rId511" Type="http://schemas.openxmlformats.org/officeDocument/2006/relationships/hyperlink" Target="https://futureoflife.org/ai-policy-challenges-and-recommendations" TargetMode="External"/><Relationship Id="rId518" Type="http://schemas.openxmlformats.org/officeDocument/2006/relationships/hyperlink" Target="https://mailchi.mp/da3c3152e561/an-156the-scaling-hypothesis-a-plan-for-building-agi" TargetMode="External"/><Relationship Id="rId517" Type="http://schemas.openxmlformats.org/officeDocument/2006/relationships/hyperlink" Target="https://forum.effectivealtruism.org/posts/Xf6QE6txgvfCGvZpk/case-studies-of-self-governance-to-reduce-technology-risk" TargetMode="External"/><Relationship Id="rId516" Type="http://schemas.openxmlformats.org/officeDocument/2006/relationships/hyperlink" Target="https://mailchi.mp/da3c3152e561/an-156the-scaling-hypothesis-a-plan-for-building-agi" TargetMode="External"/><Relationship Id="rId515" Type="http://schemas.openxmlformats.org/officeDocument/2006/relationships/hyperlink" Target="http://gcrinstitute.org/ai-certification-advancing-ethical-practice-by-reducing-information-asymmetries/" TargetMode="External"/><Relationship Id="rId3760" Type="http://schemas.openxmlformats.org/officeDocument/2006/relationships/hyperlink" Target="http://www.gatsby.ucl.ac.uk/~balaji/udl2019/accepted-papers/UDL2019-paper-21.pdf" TargetMode="External"/><Relationship Id="rId510" Type="http://schemas.openxmlformats.org/officeDocument/2006/relationships/hyperlink" Target="https://mailchi.mp/15ed28377c48/an-162-foundation-models-a-paradigm-shift-within-ai" TargetMode="External"/><Relationship Id="rId2430" Type="http://schemas.openxmlformats.org/officeDocument/2006/relationships/hyperlink" Target="https://mailchi.mp/938a7eed18c3/an-71avoiding-reward-tampering-through-current-rf-optimization" TargetMode="External"/><Relationship Id="rId3762" Type="http://schemas.openxmlformats.org/officeDocument/2006/relationships/hyperlink" Target="https://arxiv.org/abs/1902.09508" TargetMode="External"/><Relationship Id="rId1100" Type="http://schemas.openxmlformats.org/officeDocument/2006/relationships/hyperlink" Target="https://www.alignmentforum.org/posts/bJdaB2Mz4mBvwFBeb/what-i-talk-about-when-i-talk-about-ai-x-risk-3-core-claims-1" TargetMode="External"/><Relationship Id="rId2431" Type="http://schemas.openxmlformats.org/officeDocument/2006/relationships/hyperlink" Target="https://www.alignmentforum.org/posts/AeHtdxHheMjHredaq/what-you-see-isn-t-always-what-you-want" TargetMode="External"/><Relationship Id="rId3761" Type="http://schemas.openxmlformats.org/officeDocument/2006/relationships/hyperlink" Target="https://mailchi.mp/533c646a4b21/an-63how-architecture-search-meta-learning-and-environment-design-could-lead-to-general-intelligence" TargetMode="External"/><Relationship Id="rId1101" Type="http://schemas.openxmlformats.org/officeDocument/2006/relationships/hyperlink" Target="https://mailchi.mp/8d9e3703fbde/an-79-recursive-reward-modeling-as-an-alignment-technique-integrated-with-deep-rl" TargetMode="External"/><Relationship Id="rId2432" Type="http://schemas.openxmlformats.org/officeDocument/2006/relationships/hyperlink" Target="https://mailchi.mp/87c0d944c461/an-68-the-attainable-utility-theory-of-impact" TargetMode="External"/><Relationship Id="rId3764" Type="http://schemas.openxmlformats.org/officeDocument/2006/relationships/hyperlink" Target="https://arxiv.org/abs/1902.07379" TargetMode="External"/><Relationship Id="rId1102" Type="http://schemas.openxmlformats.org/officeDocument/2006/relationships/hyperlink" Target="https://www.alignmentforum.org/posts/mvqmY9MQ3qf88xRuM/fixed-point-discussion" TargetMode="External"/><Relationship Id="rId2433" Type="http://schemas.openxmlformats.org/officeDocument/2006/relationships/hyperlink" Target="https://www.alignmentforum.org/posts/nRAMpjnb6Z4Qv3imF/the-strategy-stealing-assumption" TargetMode="External"/><Relationship Id="rId3763" Type="http://schemas.openxmlformats.org/officeDocument/2006/relationships/hyperlink" Target="https://mailchi.mp/260cd31d5f03/alignment-newsletter-47" TargetMode="External"/><Relationship Id="rId3711" Type="http://schemas.openxmlformats.org/officeDocument/2006/relationships/hyperlink" Target="https://mailchi.mp/392d2043e782/an-57why-we-should-focus-on-robustness-in-ai-safety-and-the-analogous-problems-in-programming" TargetMode="External"/><Relationship Id="rId3710" Type="http://schemas.openxmlformats.org/officeDocument/2006/relationships/hyperlink" Target="https://80000hours.org/podcast/episodes/pushmeet-kohli-deepmind-safety-research/" TargetMode="External"/><Relationship Id="rId3713" Type="http://schemas.openxmlformats.org/officeDocument/2006/relationships/hyperlink" Target="https://mailchi.mp/7f4d6ceb2ac4/an-158-should-we-be-optimistic-about-generalization" TargetMode="External"/><Relationship Id="rId3712" Type="http://schemas.openxmlformats.org/officeDocument/2006/relationships/hyperlink" Target="https://www.alignmentforum.org/posts/QvtHSsZLFCAHmzes7/a-naive-alignment-strategy-and-optimism-about-generalization" TargetMode="External"/><Relationship Id="rId3715" Type="http://schemas.openxmlformats.org/officeDocument/2006/relationships/hyperlink" Target="https://mailchi.mp/3f3842c04eb3/an-148analyzing-generalization-across-more-axes-than-just-accuracy-or-loss" TargetMode="External"/><Relationship Id="rId3714" Type="http://schemas.openxmlformats.org/officeDocument/2006/relationships/hyperlink" Target="https://arxiv.org/abs/2009.08092" TargetMode="External"/><Relationship Id="rId3717" Type="http://schemas.openxmlformats.org/officeDocument/2006/relationships/hyperlink" Target="https://mailchi.mp/35524c8e5e8d/an-134underspecification-as-a-cause-of-fragility-to-distribution-shift" TargetMode="External"/><Relationship Id="rId3716" Type="http://schemas.openxmlformats.org/officeDocument/2006/relationships/hyperlink" Target="https://arxiv.org/abs/2011.03395" TargetMode="External"/><Relationship Id="rId3719" Type="http://schemas.openxmlformats.org/officeDocument/2006/relationships/hyperlink" Target="https://mailchi.mp/c85a95604c5c/an-117how-neural-nets-would-fare-under-the-tevv-framework" TargetMode="External"/><Relationship Id="rId3718" Type="http://schemas.openxmlformats.org/officeDocument/2006/relationships/hyperlink" Target="https://arxiv.org/abs/2009.00802" TargetMode="External"/><Relationship Id="rId3700" Type="http://schemas.openxmlformats.org/officeDocument/2006/relationships/hyperlink" Target="https://mailchi.mp/0ae5d69de63b/alignment-newsletter-5" TargetMode="External"/><Relationship Id="rId3702" Type="http://schemas.openxmlformats.org/officeDocument/2006/relationships/hyperlink" Target="https://mailchi.mp/14782876a85d/alignment-newsletter-2" TargetMode="External"/><Relationship Id="rId3701" Type="http://schemas.openxmlformats.org/officeDocument/2006/relationships/hyperlink" Target="https://www.lesswrong.com/posts/JewWDfLoxgFtJhNct/utility-versus-reward-function-partial-equivalence" TargetMode="External"/><Relationship Id="rId3704" Type="http://schemas.openxmlformats.org/officeDocument/2006/relationships/hyperlink" Target="https://www.lesswrong.com/posts/weHuX2qkTxgAXBw8t/defining-the-ways-human-values-are-messy" TargetMode="External"/><Relationship Id="rId3703" Type="http://schemas.openxmlformats.org/officeDocument/2006/relationships/hyperlink" Target="https://mailchi.mp/f2950ed2ac4b/alignment-newsletter-16" TargetMode="External"/><Relationship Id="rId3706" Type="http://schemas.openxmlformats.org/officeDocument/2006/relationships/hyperlink" Target="https://arxiv.org/abs/1911.04252" TargetMode="External"/><Relationship Id="rId3705" Type="http://schemas.openxmlformats.org/officeDocument/2006/relationships/hyperlink" Target="https://mailchi.mp/33af21f908b5/reconnaissance-5" TargetMode="External"/><Relationship Id="rId3708" Type="http://schemas.openxmlformats.org/officeDocument/2006/relationships/hyperlink" Target="https://arxiv.org/abs/1812.01647" TargetMode="External"/><Relationship Id="rId3707" Type="http://schemas.openxmlformats.org/officeDocument/2006/relationships/hyperlink" Target="https://mailchi.mp/1106d0ce6766/an-76how-dataset-size-affects-robustness-and-benchmarking-safe-exploration-by-measuring-constraint-violations" TargetMode="External"/><Relationship Id="rId3709" Type="http://schemas.openxmlformats.org/officeDocument/2006/relationships/hyperlink" Target="https://mailchi.mp/ef55eb52b0fd/an-73-detecting-catastrophic-failures-by-learning-how-agents-tend-to-break" TargetMode="External"/><Relationship Id="rId2401" Type="http://schemas.openxmlformats.org/officeDocument/2006/relationships/hyperlink" Target="https://www.alignmentforum.org/posts/GqxuDtZvfgL2bEQ5v/arguments-against-myopic-training" TargetMode="External"/><Relationship Id="rId3733" Type="http://schemas.openxmlformats.org/officeDocument/2006/relationships/hyperlink" Target="https://mailchi.mp/b8b755c3f8f5/an-135five-properties-of-goal-directed-systems" TargetMode="External"/><Relationship Id="rId2402" Type="http://schemas.openxmlformats.org/officeDocument/2006/relationships/hyperlink" Target="https://mailchi.mp/05518aad6baf/an-108why-we-should-scrutinize-arguments-for-ai-risk" TargetMode="External"/><Relationship Id="rId3732" Type="http://schemas.openxmlformats.org/officeDocument/2006/relationships/hyperlink" Target="http://arxiv.org/abs/2101.05507" TargetMode="External"/><Relationship Id="rId2403" Type="http://schemas.openxmlformats.org/officeDocument/2006/relationships/hyperlink" Target="https://www.aaai.org/Papers/Symposia/Spring/2002/SS-02-07/SS02-07-002.pdf" TargetMode="External"/><Relationship Id="rId3735" Type="http://schemas.openxmlformats.org/officeDocument/2006/relationships/hyperlink" Target="https://mailchi.mp/bc9b18b1f0be/an-129explaining-double-descent-by-measuring-bias-and-variance" TargetMode="External"/><Relationship Id="rId2404" Type="http://schemas.openxmlformats.org/officeDocument/2006/relationships/hyperlink" Target="https://mailchi.mp/e4e430660ded/an-101-why-we-should-rigorously-measure-and-forecast-ai-progress" TargetMode="External"/><Relationship Id="rId3734" Type="http://schemas.openxmlformats.org/officeDocument/2006/relationships/hyperlink" Target="https://cset.georgetown.edu/wp-content/uploads/Building-Trust-Through-Testing.pdf" TargetMode="External"/><Relationship Id="rId2405" Type="http://schemas.openxmlformats.org/officeDocument/2006/relationships/hyperlink" Target="https://aiimpacts.org/survey-of-prescient-actions/" TargetMode="External"/><Relationship Id="rId3737" Type="http://schemas.openxmlformats.org/officeDocument/2006/relationships/hyperlink" Target="https://mailchi.mp/4f7ffc5cbe53/an-99-doubling-times-for-the-efficiency-of-ai-algorithms" TargetMode="External"/><Relationship Id="rId2406" Type="http://schemas.openxmlformats.org/officeDocument/2006/relationships/hyperlink" Target="https://mailchi.mp/a2b5efbcd3a7/an-97-are-there-historical-examples-of-large-robust-discontinuities" TargetMode="External"/><Relationship Id="rId3736" Type="http://schemas.openxmlformats.org/officeDocument/2006/relationships/hyperlink" Target="https://arxiv.org/abs/1907.11932" TargetMode="External"/><Relationship Id="rId2407" Type="http://schemas.openxmlformats.org/officeDocument/2006/relationships/hyperlink" Target="https://www.alignmentforum.org/posts/u9Azdu6Z7zFAhd4rK/bayesian-evolving-to-extinction" TargetMode="External"/><Relationship Id="rId3739" Type="http://schemas.openxmlformats.org/officeDocument/2006/relationships/hyperlink" Target="https://mailchi.mp/534f448d6c8b/alignment-newsletter-53" TargetMode="External"/><Relationship Id="rId2408" Type="http://schemas.openxmlformats.org/officeDocument/2006/relationships/hyperlink" Target="https://mailchi.mp/f534bdc85c58/an-96-buck-and-i-discussargue-about-ai-alignment" TargetMode="External"/><Relationship Id="rId3738" Type="http://schemas.openxmlformats.org/officeDocument/2006/relationships/hyperlink" Target="https://arxiv.org/pdf/1903.11680.pdf" TargetMode="External"/><Relationship Id="rId2409" Type="http://schemas.openxmlformats.org/officeDocument/2006/relationships/hyperlink" Target="https://www.alignmentforum.org/s/knbhjv252HshMSwpt/p/gzWb5kWwzhdaqmyTt" TargetMode="External"/><Relationship Id="rId3731" Type="http://schemas.openxmlformats.org/officeDocument/2006/relationships/hyperlink" Target="https://mailchi.mp/7f4d6ceb2ac4/an-158-should-we-be-optimistic-about-generalization" TargetMode="External"/><Relationship Id="rId2400" Type="http://schemas.openxmlformats.org/officeDocument/2006/relationships/hyperlink" Target="https://www.alignmentforum.org/posts/Nwgdq6kHke5LY692J/alignment-by-default" TargetMode="External"/><Relationship Id="rId3730" Type="http://schemas.openxmlformats.org/officeDocument/2006/relationships/hyperlink" Target="https://www.alignmentforum.org/posts/BxersHYN2qcFoonwg/experimentally-evaluating-whether-honesty-generalizes" TargetMode="External"/><Relationship Id="rId3722" Type="http://schemas.openxmlformats.org/officeDocument/2006/relationships/hyperlink" Target="http://arxiv.org/abs/2002.05379" TargetMode="External"/><Relationship Id="rId3721" Type="http://schemas.openxmlformats.org/officeDocument/2006/relationships/hyperlink" Target="https://mailchi.mp/4f7ffc5cbe53/an-99-doubling-times-for-the-efficiency-of-ai-algorithms" TargetMode="External"/><Relationship Id="rId3724" Type="http://schemas.openxmlformats.org/officeDocument/2006/relationships/hyperlink" Target="http://arxiv.org/abs/2002.05380" TargetMode="External"/><Relationship Id="rId3723" Type="http://schemas.openxmlformats.org/officeDocument/2006/relationships/hyperlink" Target="https://mailchi.mp/d7e950bc8dbd/an-92learning-good-representations-with-contrastive-predictive-coding?e=0e92156a6c" TargetMode="External"/><Relationship Id="rId3726" Type="http://schemas.openxmlformats.org/officeDocument/2006/relationships/hyperlink" Target="https://sites.google.com/view/udlworkshop2019/" TargetMode="External"/><Relationship Id="rId3725" Type="http://schemas.openxmlformats.org/officeDocument/2006/relationships/hyperlink" Target="https://mailchi.mp/d7e950bc8dbd/an-92learning-good-representations-with-contrastive-predictive-coding?e=0e92156a6c" TargetMode="External"/><Relationship Id="rId3728" Type="http://schemas.openxmlformats.org/officeDocument/2006/relationships/hyperlink" Target="https://arxiv.org/abs/1611.02315" TargetMode="External"/><Relationship Id="rId3727" Type="http://schemas.openxmlformats.org/officeDocument/2006/relationships/hyperlink" Target="https://mailchi.mp/93fe1a0a92da/alignment-newsletter-50" TargetMode="External"/><Relationship Id="rId3729" Type="http://schemas.openxmlformats.org/officeDocument/2006/relationships/hyperlink" Target="https://mailchi.mp/c1f376f3a12e/alignment-newsletter-30" TargetMode="External"/><Relationship Id="rId3720" Type="http://schemas.openxmlformats.org/officeDocument/2006/relationships/hyperlink" Target="https://arxiv.org/abs/2004.06100" TargetMode="External"/><Relationship Id="rId590" Type="http://schemas.openxmlformats.org/officeDocument/2006/relationships/hyperlink" Target="https://mailchi.mp/d11bfd2ca5eb/alignment-newsletter-6" TargetMode="External"/><Relationship Id="rId589" Type="http://schemas.openxmlformats.org/officeDocument/2006/relationships/hyperlink" Target="https://www.defensenews.com/congress/2018/05/09/to-stay-ahead-of-chinese-ai-senators-want-new-commission/?utm_source=twitter.com&amp;utm_medium=social&amp;utm_campaign=Socialflow" TargetMode="External"/><Relationship Id="rId588" Type="http://schemas.openxmlformats.org/officeDocument/2006/relationships/hyperlink" Target="https://mailchi.mp/0dd8eb63fe2d/an-60a-new-ai-challenge-minecraft-agents-that-assist-human-players-in-creative-mode" TargetMode="External"/><Relationship Id="rId1170" Type="http://schemas.openxmlformats.org/officeDocument/2006/relationships/hyperlink" Target="https://www.openphilanthropy.org/blog/new-report-brain-computation" TargetMode="External"/><Relationship Id="rId1171" Type="http://schemas.openxmlformats.org/officeDocument/2006/relationships/hyperlink" Target="https://mailchi.mp/d0b668319344/an-118risks-solutions-and-prioritization-in-a-world-with-many-ai-systems" TargetMode="External"/><Relationship Id="rId583" Type="http://schemas.openxmlformats.org/officeDocument/2006/relationships/hyperlink" Target="https://www.mdpi.com/2078-2489/11/6/290/htm" TargetMode="External"/><Relationship Id="rId1172" Type="http://schemas.openxmlformats.org/officeDocument/2006/relationships/hyperlink" Target="https://www.openphilanthropy.org/brain-computation-report" TargetMode="External"/><Relationship Id="rId582" Type="http://schemas.openxmlformats.org/officeDocument/2006/relationships/hyperlink" Target="https://mailchi.mp/a5a5ec01e25b/an-111the-circuits-hypotheses-for-deep-learning" TargetMode="External"/><Relationship Id="rId1173" Type="http://schemas.openxmlformats.org/officeDocument/2006/relationships/hyperlink" Target="https://forum.effectivealtruism.org/posts/CWFn9qAKsRibpCGq8/does-economic-history-point-toward-a-singularity" TargetMode="External"/><Relationship Id="rId581" Type="http://schemas.openxmlformats.org/officeDocument/2006/relationships/hyperlink" Target="https://www.fhi.ox.ac.uk/wp-content/uploads/How-Will-National-Security-Considerations-Affect-Antitrust-Decisions-in-AI-Cullen-OKeefe.pdf" TargetMode="External"/><Relationship Id="rId1174" Type="http://schemas.openxmlformats.org/officeDocument/2006/relationships/hyperlink" Target="https://mailchi.mp/d31663e4d330/an-116-how-to-make-explanations-of-neurons-compositional" TargetMode="External"/><Relationship Id="rId580" Type="http://schemas.openxmlformats.org/officeDocument/2006/relationships/hyperlink" Target="https://mailchi.mp/1ecd1b775703/alignment-newsletter-26" TargetMode="External"/><Relationship Id="rId1175" Type="http://schemas.openxmlformats.org/officeDocument/2006/relationships/hyperlink" Target="https://www.alignmentforum.org/posts/hQysqfSEzciRazx8k/forecasting-thread-ai-timelines" TargetMode="External"/><Relationship Id="rId587" Type="http://schemas.openxmlformats.org/officeDocument/2006/relationships/hyperlink" Target="https://forum.effectivealtruism.org/posts/vnnmNYwi7QbJPstsz/how-europe-might-matter-for-ai-governance" TargetMode="External"/><Relationship Id="rId1176" Type="http://schemas.openxmlformats.org/officeDocument/2006/relationships/hyperlink" Target="https://mailchi.mp/2f9c49ea473f/an-115ai-safety-research-problems-in-the-ai-ga-framework" TargetMode="External"/><Relationship Id="rId586" Type="http://schemas.openxmlformats.org/officeDocument/2006/relationships/hyperlink" Target="https://mailchi.mp/533c646a4b21/an-63how-architecture-search-meta-learning-and-environment-design-could-lead-to-general-intelligence" TargetMode="External"/><Relationship Id="rId1177" Type="http://schemas.openxmlformats.org/officeDocument/2006/relationships/hyperlink" Target="https://arxiv.org/abs/2008.01848" TargetMode="External"/><Relationship Id="rId585" Type="http://schemas.openxmlformats.org/officeDocument/2006/relationships/hyperlink" Target="https://arxiv.org/abs/1907.11274" TargetMode="External"/><Relationship Id="rId1178" Type="http://schemas.openxmlformats.org/officeDocument/2006/relationships/hyperlink" Target="https://mailchi.mp/f064cf0b877f/an-113-checking-the-ethical-intuitions-of-large-language-models" TargetMode="External"/><Relationship Id="rId584" Type="http://schemas.openxmlformats.org/officeDocument/2006/relationships/hyperlink" Target="https://mailchi.mp/be2a0d160fa2/an-105-the-economic-trajectory-of-humanity-and-what-we-might-mean-by-optimization" TargetMode="External"/><Relationship Id="rId1179" Type="http://schemas.openxmlformats.org/officeDocument/2006/relationships/hyperlink" Target="https://www.metaculus.com/questions/4732/amplified-forecasting-what-will-bucks-informed-prediction-of-compute-used-in-the-largest-ml-training-run-before-2030-be/" TargetMode="External"/><Relationship Id="rId1169" Type="http://schemas.openxmlformats.org/officeDocument/2006/relationships/hyperlink" Target="https://jack-clark.net/2020/09/14/import-ai-214-nvidias-40bn-arm-deal-a-new-57-subject-nlp-test-ai-for-plant-disease-detection/" TargetMode="External"/><Relationship Id="rId579" Type="http://schemas.openxmlformats.org/officeDocument/2006/relationships/hyperlink" Target="http://arxiv.org/abs/1803.08971" TargetMode="External"/><Relationship Id="rId578" Type="http://schemas.openxmlformats.org/officeDocument/2006/relationships/hyperlink" Target="https://mailchi.mp/bbd47ba94e84/alignment-newsletter-35" TargetMode="External"/><Relationship Id="rId577" Type="http://schemas.openxmlformats.org/officeDocument/2006/relationships/hyperlink" Target="https://futureoflife.org/2018/11/26/handful-of-countries-including-the-us-and-russia-hamper-discussions-to-ban-killer-robots-at-un/" TargetMode="External"/><Relationship Id="rId2490" Type="http://schemas.openxmlformats.org/officeDocument/2006/relationships/hyperlink" Target="https://arxiv.org/abs/1911.09005" TargetMode="External"/><Relationship Id="rId1160" Type="http://schemas.openxmlformats.org/officeDocument/2006/relationships/hyperlink" Target="https://mailchi.mp/7131b053140f/an-145-our-three-year-anniversary" TargetMode="External"/><Relationship Id="rId2491" Type="http://schemas.openxmlformats.org/officeDocument/2006/relationships/hyperlink" Target="https://mailchi.mp/30b144930924/an-119ai-safety-when-agents-are-shaped-by-environments-not-rewards" TargetMode="External"/><Relationship Id="rId572" Type="http://schemas.openxmlformats.org/officeDocument/2006/relationships/hyperlink" Target="https://mailchi.mp/8c3f02cabccd/alignment-newsletter-41" TargetMode="External"/><Relationship Id="rId1161" Type="http://schemas.openxmlformats.org/officeDocument/2006/relationships/hyperlink" Target="https://arxiv.org/abs/2103.03874" TargetMode="External"/><Relationship Id="rId2492" Type="http://schemas.openxmlformats.org/officeDocument/2006/relationships/hyperlink" Target="https://www.alignmentforum.org/posts/qEjh8rpxjG4qGtfuK/the-backchaining-to-local-search-technique-in-ai-alignment" TargetMode="External"/><Relationship Id="rId571" Type="http://schemas.openxmlformats.org/officeDocument/2006/relationships/hyperlink" Target="https://www.cifar.ca/docs/default-source/ai-society/buildinganaiworld_eng.pdf?sfvrsn=fb18d129_4" TargetMode="External"/><Relationship Id="rId1162" Type="http://schemas.openxmlformats.org/officeDocument/2006/relationships/hyperlink" Target="https://mailchi.mp/23ad2781da2f/an-144how-language-models-can-also-be-finetuned-for-non-language-tasks" TargetMode="External"/><Relationship Id="rId2493" Type="http://schemas.openxmlformats.org/officeDocument/2006/relationships/hyperlink" Target="https://mailchi.mp/d0b668319344/an-118risks-solutions-and-prioritization-in-a-world-with-many-ai-systems" TargetMode="External"/><Relationship Id="rId570" Type="http://schemas.openxmlformats.org/officeDocument/2006/relationships/hyperlink" Target="https://mailchi.mp/6bfac400a0c3/alignment-newsletter-44" TargetMode="External"/><Relationship Id="rId1163" Type="http://schemas.openxmlformats.org/officeDocument/2006/relationships/hyperlink" Target="https://www.alignmentforum.org/posts/yW3Tct2iyBMzYhTw7/how-does-bee-learning-compare-with-machine-learning" TargetMode="External"/><Relationship Id="rId2494" Type="http://schemas.openxmlformats.org/officeDocument/2006/relationships/hyperlink" Target="https://futureoflife.org/2020/09/03/iason-gabriel-on-foundational-philosophical-questions-in-ai-alignment/?utm_source=feedly&amp;utm_medium=rss&amp;utm_campaign=iason-gabriel-on-foundational-philosophical-questions-in-ai-alignment" TargetMode="External"/><Relationship Id="rId1164" Type="http://schemas.openxmlformats.org/officeDocument/2006/relationships/hyperlink" Target="https://mailchi.mp/93d2051b7d70/an-141the-case-for-practicing-alignment-work-on-gpt-3-and-other-large-models" TargetMode="External"/><Relationship Id="rId2495" Type="http://schemas.openxmlformats.org/officeDocument/2006/relationships/hyperlink" Target="https://mailchi.mp/c85a95604c5c/an-117how-neural-nets-would-fare-under-the-tevv-framework" TargetMode="External"/><Relationship Id="rId576" Type="http://schemas.openxmlformats.org/officeDocument/2006/relationships/hyperlink" Target="https://mailchi.mp/6eb8190e723f/alignment-newsletter-37" TargetMode="External"/><Relationship Id="rId1165" Type="http://schemas.openxmlformats.org/officeDocument/2006/relationships/hyperlink" Target="https://openreview.net/forum?id=_QdvdkxOii6" TargetMode="External"/><Relationship Id="rId2496" Type="http://schemas.openxmlformats.org/officeDocument/2006/relationships/hyperlink" Target="https://montrealethics.ai/wp-content/uploads/2020/06/State-of-AI-Ethics-June-2020-report.pdf" TargetMode="External"/><Relationship Id="rId575" Type="http://schemas.openxmlformats.org/officeDocument/2006/relationships/hyperlink" Target="https://futureoflife.org/2018/12/11/fli-signs-safe-face-pledge/" TargetMode="External"/><Relationship Id="rId1166" Type="http://schemas.openxmlformats.org/officeDocument/2006/relationships/hyperlink" Target="https://mailchi.mp/0a793230b53a/an-125neural-network-scaling-laws-across-multiple-modalities" TargetMode="External"/><Relationship Id="rId2497" Type="http://schemas.openxmlformats.org/officeDocument/2006/relationships/hyperlink" Target="https://mailchi.mp/2f9c49ea473f/an-115ai-safety-research-problems-in-the-ai-ga-framework" TargetMode="External"/><Relationship Id="rId574" Type="http://schemas.openxmlformats.org/officeDocument/2006/relationships/hyperlink" Target="https://mailchi.mp/588354e4b91d/alignment-newsletter-38" TargetMode="External"/><Relationship Id="rId1167" Type="http://schemas.openxmlformats.org/officeDocument/2006/relationships/hyperlink" Target="https://arxiv.org/abs/2009.03300" TargetMode="External"/><Relationship Id="rId2498" Type="http://schemas.openxmlformats.org/officeDocument/2006/relationships/hyperlink" Target="https://arxiv.org/abs/2002.08512" TargetMode="External"/><Relationship Id="rId573" Type="http://schemas.openxmlformats.org/officeDocument/2006/relationships/hyperlink" Target="https://arxiv.org/abs/1812.05979" TargetMode="External"/><Relationship Id="rId1168" Type="http://schemas.openxmlformats.org/officeDocument/2006/relationships/hyperlink" Target="https://mailchi.mp/30b144930924/an-119ai-safety-when-agents-are-shaped-by-environments-not-rewards" TargetMode="External"/><Relationship Id="rId2499" Type="http://schemas.openxmlformats.org/officeDocument/2006/relationships/hyperlink" Target="https://medium.com/@racheltho/im-an-ai-researcher-and-here-is-what-scares-me-about-ai-909a406e4a71" TargetMode="External"/><Relationship Id="rId1190" Type="http://schemas.openxmlformats.org/officeDocument/2006/relationships/hyperlink" Target="https://mailchi.mp/2fbece2a4915/an-98understanding-neural-net-training-by-seeing-which-gradients-were-helpful" TargetMode="External"/><Relationship Id="rId1191" Type="http://schemas.openxmlformats.org/officeDocument/2006/relationships/hyperlink" Target="https://aiimpacts.org/surveys-on-fractional-progress-towards-hlai/" TargetMode="External"/><Relationship Id="rId1192" Type="http://schemas.openxmlformats.org/officeDocument/2006/relationships/hyperlink" Target="https://mailchi.mp/a2b5efbcd3a7/an-97-are-there-historical-examples-of-large-robust-discontinuities" TargetMode="External"/><Relationship Id="rId1193" Type="http://schemas.openxmlformats.org/officeDocument/2006/relationships/hyperlink" Target="https://aiimpacts.org/atari-early/" TargetMode="External"/><Relationship Id="rId1194" Type="http://schemas.openxmlformats.org/officeDocument/2006/relationships/hyperlink" Target="https://mailchi.mp/8a9d080d5ce3/an-95-a-framework-for-thinking-about-how-to-make-ai-go-well" TargetMode="External"/><Relationship Id="rId1195" Type="http://schemas.openxmlformats.org/officeDocument/2006/relationships/hyperlink" Target="https://aiimpacts.org/walsh-2017-survey/" TargetMode="External"/><Relationship Id="rId1196" Type="http://schemas.openxmlformats.org/officeDocument/2006/relationships/hyperlink" Target="https://mailchi.mp/8d9e3703fbde/an-79-recursive-reward-modeling-as-an-alignment-technique-integrated-with-deep-rl" TargetMode="External"/><Relationship Id="rId1197" Type="http://schemas.openxmlformats.org/officeDocument/2006/relationships/hyperlink" Target="https://www.lesswrong.com/posts/SvhzEQkwFGNTy6CsN/alphastar-impressive-for-rl-progress-not-for-agi-progress" TargetMode="External"/><Relationship Id="rId1198" Type="http://schemas.openxmlformats.org/officeDocument/2006/relationships/hyperlink" Target="https://mailchi.mp/ef55eb52b0fd/an-73-detecting-catastrophic-failures-by-learning-how-agents-tend-to-break" TargetMode="External"/><Relationship Id="rId1199" Type="http://schemas.openxmlformats.org/officeDocument/2006/relationships/hyperlink" Target="https://openai.com/blog/ai-and-compute/" TargetMode="External"/><Relationship Id="rId599" Type="http://schemas.openxmlformats.org/officeDocument/2006/relationships/hyperlink" Target="https://mailchi.mp/ad852629e45a/alignment-newsletter-17" TargetMode="External"/><Relationship Id="rId1180" Type="http://schemas.openxmlformats.org/officeDocument/2006/relationships/hyperlink" Target="https://mailchi.mp/a5a5ec01e25b/an-111the-circuits-hypotheses-for-deep-learning" TargetMode="External"/><Relationship Id="rId1181" Type="http://schemas.openxmlformats.org/officeDocument/2006/relationships/hyperlink" Target="https://www.alignmentforum.org/posts/Azqmzp5JoXJihMcr4/competition-amplify-rohin-s-prediction-on-agi-researchers" TargetMode="External"/><Relationship Id="rId1182" Type="http://schemas.openxmlformats.org/officeDocument/2006/relationships/hyperlink" Target="https://mailchi.mp/a5a5ec01e25b/an-111the-circuits-hypotheses-for-deep-learning" TargetMode="External"/><Relationship Id="rId594" Type="http://schemas.openxmlformats.org/officeDocument/2006/relationships/hyperlink" Target="https://ec.europa.eu/digital-single-market/en/news/eu-member-states-sign-cooperate-artificial-intelligence" TargetMode="External"/><Relationship Id="rId1183" Type="http://schemas.openxmlformats.org/officeDocument/2006/relationships/hyperlink" Target="https://www.alignmentforum.org/posts/BnDF5kejzQLqd5cjH/alignment-as-a-bottleneck-to-usefulness-of-gpt-3" TargetMode="External"/><Relationship Id="rId593" Type="http://schemas.openxmlformats.org/officeDocument/2006/relationships/hyperlink" Target="https://gizmodo.com/uk-government-proposes-five-basic-principles-to-keep-hu-1825290212" TargetMode="External"/><Relationship Id="rId1184" Type="http://schemas.openxmlformats.org/officeDocument/2006/relationships/hyperlink" Target="https://mailchi.mp/474d6a8a4527/an-110-learning-features-from-human-feedback-to-enable-reward-learning" TargetMode="External"/><Relationship Id="rId592" Type="http://schemas.openxmlformats.org/officeDocument/2006/relationships/hyperlink" Target="https://mailchi.mp/32f89a74a7b6/alignment-newsletter-4" TargetMode="External"/><Relationship Id="rId1185" Type="http://schemas.openxmlformats.org/officeDocument/2006/relationships/hyperlink" Target="https://www.alignmentforum.org/posts/vqpEC3MPioHX7bv4t/environments-as-a-bottleneck-in-agi-development" TargetMode="External"/><Relationship Id="rId591" Type="http://schemas.openxmlformats.org/officeDocument/2006/relationships/hyperlink" Target="https://publications.parliament.uk/pa/ld201719/ldselect/ldai/100/10002.htm" TargetMode="External"/><Relationship Id="rId1186" Type="http://schemas.openxmlformats.org/officeDocument/2006/relationships/hyperlink" Target="https://mailchi.mp/ee62c1c9e331/an-109teaching-neural-nets-to-generalize-the-way-humans-would" TargetMode="External"/><Relationship Id="rId598" Type="http://schemas.openxmlformats.org/officeDocument/2006/relationships/hyperlink" Target="https://www.lesswrong.com/posts/7ysKDyQDPK3dDAbkT/narrow-ai-nanny-reaching-strategic-advantage-via-narrow-ai" TargetMode="External"/><Relationship Id="rId1187" Type="http://schemas.openxmlformats.org/officeDocument/2006/relationships/hyperlink" Target="https://www.youtube.com/watch?v=oFJcvyxpGSo" TargetMode="External"/><Relationship Id="rId597" Type="http://schemas.openxmlformats.org/officeDocument/2006/relationships/hyperlink" Target="https://mailchi.mp/51717855ea27/alignment-newsletter-18" TargetMode="External"/><Relationship Id="rId1188" Type="http://schemas.openxmlformats.org/officeDocument/2006/relationships/hyperlink" Target="https://mailchi.mp/be2a0d160fa2/an-105-the-economic-trajectory-of-humanity-and-what-we-might-mean-by-optimization" TargetMode="External"/><Relationship Id="rId596" Type="http://schemas.openxmlformats.org/officeDocument/2006/relationships/hyperlink" Target="https://futureoflife.org/2018/07/31/podcast-six-experts-explain-the-killer-robots-debate/" TargetMode="External"/><Relationship Id="rId1189" Type="http://schemas.openxmlformats.org/officeDocument/2006/relationships/hyperlink" Target="https://futureoflife.org/2020/04/30/on-superforecasting-with-robert-de-neufville/" TargetMode="External"/><Relationship Id="rId595" Type="http://schemas.openxmlformats.org/officeDocument/2006/relationships/hyperlink" Target="https://mailchi.mp/32f89a74a7b6/alignment-newsletter-4" TargetMode="External"/><Relationship Id="rId1136" Type="http://schemas.openxmlformats.org/officeDocument/2006/relationships/hyperlink" Target="https://www.alignmentforum.org/posts/RvrTZ3qKWpg9aiFqZ/openness-norms-in-agi-development" TargetMode="External"/><Relationship Id="rId2467" Type="http://schemas.openxmlformats.org/officeDocument/2006/relationships/hyperlink" Target="https://mailchi.mp/bea92b186ef9/an-157-measuring-misalignment-in-the-technology-underlying-copilot" TargetMode="External"/><Relationship Id="rId3799" Type="http://schemas.openxmlformats.org/officeDocument/2006/relationships/hyperlink" Target="https://mailchi.mp/49c956f84771/an-74separating-beneficial-ai-into-competence-alignment-and-coping-with-impacts" TargetMode="External"/><Relationship Id="rId1137" Type="http://schemas.openxmlformats.org/officeDocument/2006/relationships/hyperlink" Target="https://mailchi.mp/0f80d83f9c44/an-94ai-alignment-as-translation-between-humans-and-machines" TargetMode="External"/><Relationship Id="rId2468" Type="http://schemas.openxmlformats.org/officeDocument/2006/relationships/hyperlink" Target="https://www.alignmentforum.org/posts/6ccG9i5cTncebmhsH/frequent-arguments-about-alignment" TargetMode="External"/><Relationship Id="rId3798" Type="http://schemas.openxmlformats.org/officeDocument/2006/relationships/hyperlink" Target="https://ai-alignment.com/ai-alignment-landscape-d3773c37ae38" TargetMode="External"/><Relationship Id="rId1138" Type="http://schemas.openxmlformats.org/officeDocument/2006/relationships/hyperlink" Target="https://aiimpacts.org/2019-recent-trends-in-gpu-price-per-flops/" TargetMode="External"/><Relationship Id="rId2469" Type="http://schemas.openxmlformats.org/officeDocument/2006/relationships/hyperlink" Target="https://mailchi.mp/54987353654b/an-153experiments-that-demonstrate-failures-of-objective-robustness" TargetMode="External"/><Relationship Id="rId1139" Type="http://schemas.openxmlformats.org/officeDocument/2006/relationships/hyperlink" Target="https://mailchi.mp/976b1f69179c/an-93the-precipice-were-standing-at-and-how-we-can-back-away-from-it" TargetMode="External"/><Relationship Id="rId547" Type="http://schemas.openxmlformats.org/officeDocument/2006/relationships/hyperlink" Target="https://mailchi.mp/7ad36e25be22/alignment-newsletter-11" TargetMode="External"/><Relationship Id="rId546" Type="http://schemas.openxmlformats.org/officeDocument/2006/relationships/hyperlink" Target="https://www.cser.ac.uk/resources/dimensions-ai-progress/" TargetMode="External"/><Relationship Id="rId545" Type="http://schemas.openxmlformats.org/officeDocument/2006/relationships/hyperlink" Target="https://montrealethics.ai/research-summary-overcoming-barriers-to-cross-cultural-cooperation-in-ai-ethics-and-governance/" TargetMode="External"/><Relationship Id="rId544" Type="http://schemas.openxmlformats.org/officeDocument/2006/relationships/hyperlink" Target="https://mailchi.mp/a5a5ec01e25b/an-111the-circuits-hypotheses-for-deep-learning" TargetMode="External"/><Relationship Id="rId549" Type="http://schemas.openxmlformats.org/officeDocument/2006/relationships/hyperlink" Target="https://mailchi.mp/05518aad6baf/an-108why-we-should-scrutinize-arguments-for-ai-risk" TargetMode="External"/><Relationship Id="rId548" Type="http://schemas.openxmlformats.org/officeDocument/2006/relationships/hyperlink" Target="https://cullenokeefe.com/blog/antitrust-compliant-ai-industry-self-regulation" TargetMode="External"/><Relationship Id="rId3791" Type="http://schemas.openxmlformats.org/officeDocument/2006/relationships/hyperlink" Target="https://mailchi.mp/bcb2c6f1d507/alignment-newsletter-12" TargetMode="External"/><Relationship Id="rId2460" Type="http://schemas.openxmlformats.org/officeDocument/2006/relationships/hyperlink" Target="https://www.alignmentforum.org/posts/Wap8sSDoiigrJibHA/garrabrant-and-shah-on-human-modeling-in-agi" TargetMode="External"/><Relationship Id="rId3790" Type="http://schemas.openxmlformats.org/officeDocument/2006/relationships/hyperlink" Target="https://thegradient.pub/learning-from-humans-what-is-inverse-reinforcement-learning/" TargetMode="External"/><Relationship Id="rId1130" Type="http://schemas.openxmlformats.org/officeDocument/2006/relationships/hyperlink" Target="https://mailchi.mp/41774b61e5f8/an-121forecasting-transformative-ai-timelines-using-biological-anchors" TargetMode="External"/><Relationship Id="rId2461" Type="http://schemas.openxmlformats.org/officeDocument/2006/relationships/hyperlink" Target="https://mailchi.mp/2121f5135173/an-160-building-ais-that-learn-and-think-like-people" TargetMode="External"/><Relationship Id="rId3793" Type="http://schemas.openxmlformats.org/officeDocument/2006/relationships/hyperlink" Target="https://mailchi.mp/f534bdc85c58/an-96-buck-and-i-discussargue-about-ai-alignment" TargetMode="External"/><Relationship Id="rId1131" Type="http://schemas.openxmlformats.org/officeDocument/2006/relationships/hyperlink" Target="https://www.openphilanthropy.org/blog/modeling-human-trajectory" TargetMode="External"/><Relationship Id="rId2462" Type="http://schemas.openxmlformats.org/officeDocument/2006/relationships/hyperlink" Target="https://aiimpacts.org/discontinuity-from-the-eiffel-tower/" TargetMode="External"/><Relationship Id="rId3792" Type="http://schemas.openxmlformats.org/officeDocument/2006/relationships/hyperlink" Target="https://futureoflife.org/2020/04/15/an-overview-of-technical-ai-alignment-in-2018-and-2019-with-buck-shlegeris-and-rohin-shah/" TargetMode="External"/><Relationship Id="rId543" Type="http://schemas.openxmlformats.org/officeDocument/2006/relationships/hyperlink" Target="https://link.springer.com/article/10.1007/s13347-020-00402-x" TargetMode="External"/><Relationship Id="rId1132" Type="http://schemas.openxmlformats.org/officeDocument/2006/relationships/hyperlink" Target="https://mailchi.mp/be2a0d160fa2/an-105-the-economic-trajectory-of-humanity-and-what-we-might-mean-by-optimization" TargetMode="External"/><Relationship Id="rId2463" Type="http://schemas.openxmlformats.org/officeDocument/2006/relationships/hyperlink" Target="https://mailchi.mp/f2950ed2ac4b/alignment-newsletter-16" TargetMode="External"/><Relationship Id="rId3795" Type="http://schemas.openxmlformats.org/officeDocument/2006/relationships/hyperlink" Target="https://mailchi.mp/8a9d080d5ce3/an-95-a-framework-for-thinking-about-how-to-make-ai-go-well" TargetMode="External"/><Relationship Id="rId542" Type="http://schemas.openxmlformats.org/officeDocument/2006/relationships/hyperlink" Target="https://montrealethics.ai/research-summary-decision-points-in-ai-governance/" TargetMode="External"/><Relationship Id="rId1133" Type="http://schemas.openxmlformats.org/officeDocument/2006/relationships/hyperlink" Target="https://80000hours.org/podcast/episodes/danny-hernandez-forecasting-ai-progress/?utm_campaign=podcast__danny-hernandez&amp;utm_source=80000+Hours+Podcast&amp;utm_medium=podcast" TargetMode="External"/><Relationship Id="rId2464" Type="http://schemas.openxmlformats.org/officeDocument/2006/relationships/hyperlink" Target="https://www.lesswrong.com/posts/JkCPkMxuftohieb8B/compact-vs-wide-models" TargetMode="External"/><Relationship Id="rId3794" Type="http://schemas.openxmlformats.org/officeDocument/2006/relationships/hyperlink" Target="https://forum.effectivealtruism.org/posts/63stBTw3WAW6k45dY/paul-christiano-current-work-in-ai-alignment" TargetMode="External"/><Relationship Id="rId541" Type="http://schemas.openxmlformats.org/officeDocument/2006/relationships/hyperlink" Target="https://mailchi.mp/2f9c49ea473f/an-115ai-safety-research-problems-in-the-ai-ga-framework" TargetMode="External"/><Relationship Id="rId1134" Type="http://schemas.openxmlformats.org/officeDocument/2006/relationships/hyperlink" Target="https://mailchi.mp/e4e430660ded/an-101-why-we-should-rigorously-measure-and-forecast-ai-progress" TargetMode="External"/><Relationship Id="rId2465" Type="http://schemas.openxmlformats.org/officeDocument/2006/relationships/hyperlink" Target="https://mailchi.mp/f2950ed2ac4b/alignment-newsletter-16" TargetMode="External"/><Relationship Id="rId3797" Type="http://schemas.openxmlformats.org/officeDocument/2006/relationships/hyperlink" Target="https://mailchi.mp/8d9e3703fbde/an-79-recursive-reward-modeling-as-an-alignment-technique-integrated-with-deep-rl" TargetMode="External"/><Relationship Id="rId540" Type="http://schemas.openxmlformats.org/officeDocument/2006/relationships/hyperlink" Target="https://cltc.berkeley.edu/wp-content/uploads/2020/05/Decision_Points_AI_Governance.pdf" TargetMode="External"/><Relationship Id="rId1135" Type="http://schemas.openxmlformats.org/officeDocument/2006/relationships/hyperlink" Target="https://mailchi.mp/a2b5efbcd3a7/an-97-are-there-historical-examples-of-large-robust-discontinuities" TargetMode="External"/><Relationship Id="rId2466" Type="http://schemas.openxmlformats.org/officeDocument/2006/relationships/hyperlink" Target="https://deepmindsafetyresearch.medium.com/progress-on-causal-influence-diagrams-a7a32180b0d1" TargetMode="External"/><Relationship Id="rId3796" Type="http://schemas.openxmlformats.org/officeDocument/2006/relationships/hyperlink" Target="https://futureoflife.org/2019/12/16/ai-alignment-podcast-on-deepmind-ai-safety-and-recursive-reward-modeling-with-jan-leike/" TargetMode="External"/><Relationship Id="rId1125" Type="http://schemas.openxmlformats.org/officeDocument/2006/relationships/hyperlink" Target="https://mailchi.mp/ca80338dad5a/an-136how-well-will-gpt-n-perform-on-downstream-tasks" TargetMode="External"/><Relationship Id="rId2456" Type="http://schemas.openxmlformats.org/officeDocument/2006/relationships/hyperlink" Target="https://www.alignmentforum.org/posts/xRyLxfytmLFZ6qz5s/the-theory-practice-gap" TargetMode="External"/><Relationship Id="rId3788" Type="http://schemas.openxmlformats.org/officeDocument/2006/relationships/hyperlink" Target="http://arxiv.org/abs/1806.06877" TargetMode="External"/><Relationship Id="rId1126" Type="http://schemas.openxmlformats.org/officeDocument/2006/relationships/hyperlink" Target="https://arxiv.org/abs/2010.14701" TargetMode="External"/><Relationship Id="rId2457" Type="http://schemas.openxmlformats.org/officeDocument/2006/relationships/hyperlink" Target="https://mailchi.mp/bfd4b0ddf358/an-165when-large-models-are-more-likely-to-lie" TargetMode="External"/><Relationship Id="rId3787" Type="http://schemas.openxmlformats.org/officeDocument/2006/relationships/hyperlink" Target="https://mailchi.mp/bcb2c6f1d507/alignment-newsletter-12" TargetMode="External"/><Relationship Id="rId1127" Type="http://schemas.openxmlformats.org/officeDocument/2006/relationships/hyperlink" Target="https://mailchi.mp/0a793230b53a/an-125neural-network-scaling-laws-across-multiple-modalities" TargetMode="External"/><Relationship Id="rId2458" Type="http://schemas.openxmlformats.org/officeDocument/2006/relationships/hyperlink" Target="https://arxiv.org/abs/2108.02818" TargetMode="External"/><Relationship Id="rId1128" Type="http://schemas.openxmlformats.org/officeDocument/2006/relationships/hyperlink" Target="https://www.alignmentforum.org/posts/diutNaWF669WgEt3v/the-scaling-inconsistency-openai-s-new-insight" TargetMode="External"/><Relationship Id="rId2459" Type="http://schemas.openxmlformats.org/officeDocument/2006/relationships/hyperlink" Target="https://mailchi.mp/dcab1b7edaa3/an-164-how-well-can-language-models-write-code" TargetMode="External"/><Relationship Id="rId3789" Type="http://schemas.openxmlformats.org/officeDocument/2006/relationships/hyperlink" Target="https://mailchi.mp/bcb2c6f1d507/alignment-newsletter-12" TargetMode="External"/><Relationship Id="rId1129" Type="http://schemas.openxmlformats.org/officeDocument/2006/relationships/hyperlink" Target="https://www.alignmentforum.org/posts/KrJfoZzpSDpnrv9va/draft-report-on-ai-timelines" TargetMode="External"/><Relationship Id="rId536" Type="http://schemas.openxmlformats.org/officeDocument/2006/relationships/hyperlink" Target="https://cset.georgetown.edu/research/future-indices/" TargetMode="External"/><Relationship Id="rId535" Type="http://schemas.openxmlformats.org/officeDocument/2006/relationships/hyperlink" Target="https://mailchi.mp/073921bbc4b8/an-130-a-new-ai-x-risk-podcast-and-reviews-of-the-field" TargetMode="External"/><Relationship Id="rId534" Type="http://schemas.openxmlformats.org/officeDocument/2006/relationships/hyperlink" Target="https://www.openphilanthropy.org/blog/ai-governance-grantmaking" TargetMode="External"/><Relationship Id="rId533" Type="http://schemas.openxmlformats.org/officeDocument/2006/relationships/hyperlink" Target="https://mailchi.mp/945690ef08b7/an-131-formalizing-the-argument-of-ignored-attributes-in-a-utility-function" TargetMode="External"/><Relationship Id="rId539" Type="http://schemas.openxmlformats.org/officeDocument/2006/relationships/hyperlink" Target="https://mailchi.mp/bcb2c6f1d507/alignment-newsletter-12" TargetMode="External"/><Relationship Id="rId538" Type="http://schemas.openxmlformats.org/officeDocument/2006/relationships/hyperlink" Target="https://www.ianhogarth.com/blog/2018/6/13/ai-nationalism" TargetMode="External"/><Relationship Id="rId537" Type="http://schemas.openxmlformats.org/officeDocument/2006/relationships/hyperlink" Target="https://mailchi.mp/62ef1fe8c13a/an-123inferring-what-is-valuable-in-order-to-align-recommender-systems" TargetMode="External"/><Relationship Id="rId3780" Type="http://schemas.openxmlformats.org/officeDocument/2006/relationships/hyperlink" Target="https://arxiv.org/abs/1710.11248" TargetMode="External"/><Relationship Id="rId2450" Type="http://schemas.openxmlformats.org/officeDocument/2006/relationships/hyperlink" Target="https://www.alignmentforum.org/posts/8Q5h6hyBXTEgC6EZf/do-what-i-mean-vs-do-what-i-say" TargetMode="External"/><Relationship Id="rId3782" Type="http://schemas.openxmlformats.org/officeDocument/2006/relationships/hyperlink" Target="https://arxiv.org/abs/1606.03476" TargetMode="External"/><Relationship Id="rId1120" Type="http://schemas.openxmlformats.org/officeDocument/2006/relationships/hyperlink" Target="https://mailchi.mp/dcab1b7edaa3/an-164-how-well-can-language-models-write-code" TargetMode="External"/><Relationship Id="rId2451" Type="http://schemas.openxmlformats.org/officeDocument/2006/relationships/hyperlink" Target="https://mailchi.mp/469203093ca3/alignment-newsletter-22" TargetMode="External"/><Relationship Id="rId3781" Type="http://schemas.openxmlformats.org/officeDocument/2006/relationships/hyperlink" Target="https://mailchi.mp/ad852629e45a/alignment-newsletter-17" TargetMode="External"/><Relationship Id="rId532" Type="http://schemas.openxmlformats.org/officeDocument/2006/relationships/hyperlink" Target="https://onlinelibrary.wiley.com/doi/full/10.1111/1758-5899.12890" TargetMode="External"/><Relationship Id="rId1121" Type="http://schemas.openxmlformats.org/officeDocument/2006/relationships/hyperlink" Target="https://www.openphilanthropy.org/could-advanced-ai-drive-explosive-economic-growth" TargetMode="External"/><Relationship Id="rId2452" Type="http://schemas.openxmlformats.org/officeDocument/2006/relationships/hyperlink" Target="https://www.alignmentforum.org/posts/KER27SxZssfmsusxy/voi-is-only-nonnegative-when-information-is-uncorrelated" TargetMode="External"/><Relationship Id="rId3784" Type="http://schemas.openxmlformats.org/officeDocument/2006/relationships/hyperlink" Target="http://www.cs.cmu.edu/~bziebart/publications/maxentirl-bziebart.pdf" TargetMode="External"/><Relationship Id="rId531" Type="http://schemas.openxmlformats.org/officeDocument/2006/relationships/hyperlink" Target="https://mailchi.mp/b8b755c3f8f5/an-135five-properties-of-goal-directed-systems" TargetMode="External"/><Relationship Id="rId1122" Type="http://schemas.openxmlformats.org/officeDocument/2006/relationships/hyperlink" Target="https://mailchi.mp/79ac4ef6d9da/an-154what-economic-growth-theory-has-to-say-about-transformative-ai" TargetMode="External"/><Relationship Id="rId2453" Type="http://schemas.openxmlformats.org/officeDocument/2006/relationships/hyperlink" Target="https://mailchi.mp/469203093ca3/alignment-newsletter-22" TargetMode="External"/><Relationship Id="rId3783" Type="http://schemas.openxmlformats.org/officeDocument/2006/relationships/hyperlink" Target="https://mailchi.mp/ad852629e45a/alignment-newsletter-17" TargetMode="External"/><Relationship Id="rId530" Type="http://schemas.openxmlformats.org/officeDocument/2006/relationships/hyperlink" Target="https://link.springer.com/article/10.1007%2Fs43681-020-00037-w" TargetMode="External"/><Relationship Id="rId1123" Type="http://schemas.openxmlformats.org/officeDocument/2006/relationships/hyperlink" Target="https://www.openphilanthropy.org/blog/report-advanced-ai-drive-explosive-economic-growth" TargetMode="External"/><Relationship Id="rId2454" Type="http://schemas.openxmlformats.org/officeDocument/2006/relationships/hyperlink" Target="https://www.alignmentforum.org/posts/HHunb8FPnhWaDAQci/the-alignment-problem-in-different-capability-regimes" TargetMode="External"/><Relationship Id="rId3786" Type="http://schemas.openxmlformats.org/officeDocument/2006/relationships/hyperlink" Target="http://www.cs.cmu.edu/~bziebart/publications/maximum-causal-entropy.pdf" TargetMode="External"/><Relationship Id="rId1124" Type="http://schemas.openxmlformats.org/officeDocument/2006/relationships/hyperlink" Target="https://www.alignmentforum.org/posts/k2SNji3jXaLGhBeYP/extrapolating-gpt-n-performance" TargetMode="External"/><Relationship Id="rId2455" Type="http://schemas.openxmlformats.org/officeDocument/2006/relationships/hyperlink" Target="https://mailchi.mp/bfd4b0ddf358/an-165when-large-models-are-more-likely-to-lie" TargetMode="External"/><Relationship Id="rId3785" Type="http://schemas.openxmlformats.org/officeDocument/2006/relationships/hyperlink" Target="https://mailchi.mp/bcb2c6f1d507/alignment-newsletter-12" TargetMode="External"/><Relationship Id="rId1158" Type="http://schemas.openxmlformats.org/officeDocument/2006/relationships/hyperlink" Target="https://mailchi.mp/2d838dcbd3b0/an-146plausible-stories-of-how-we-might-fail-to-avert-an-existential-catastrophe" TargetMode="External"/><Relationship Id="rId2489" Type="http://schemas.openxmlformats.org/officeDocument/2006/relationships/hyperlink" Target="https://mailchi.mp/bc9b18b1f0be/an-129explaining-double-descent-by-measuring-bias-and-variance" TargetMode="External"/><Relationship Id="rId1159" Type="http://schemas.openxmlformats.org/officeDocument/2006/relationships/hyperlink" Target="https://www.openphilanthropy.org/blog/report-semi-informative-priors" TargetMode="External"/><Relationship Id="rId569" Type="http://schemas.openxmlformats.org/officeDocument/2006/relationships/hyperlink" Target="https://www.cser.ac.uk/resources/surveying-safety-relevant-ai-characteristics/" TargetMode="External"/><Relationship Id="rId568" Type="http://schemas.openxmlformats.org/officeDocument/2006/relationships/hyperlink" Target="https://mailchi.mp/3091c6e9405c/alignment-newsletter-48" TargetMode="External"/><Relationship Id="rId567" Type="http://schemas.openxmlformats.org/officeDocument/2006/relationships/hyperlink" Target="https://www.cser.ac.uk/news/advice-un-high-level-panel-digital-cooperation/" TargetMode="External"/><Relationship Id="rId566" Type="http://schemas.openxmlformats.org/officeDocument/2006/relationships/hyperlink" Target="https://mailchi.mp/3e2f43012b07/an-54-boxing-a-finite-horizon-ai-system-to-keep-it-unambitious" TargetMode="External"/><Relationship Id="rId2480" Type="http://schemas.openxmlformats.org/officeDocument/2006/relationships/hyperlink" Target="https://www.alignmentforum.org/posts/L9HcyaiWBLYe7vXid/distinguishing-claims-about-training-vs-deployment" TargetMode="External"/><Relationship Id="rId561" Type="http://schemas.openxmlformats.org/officeDocument/2006/relationships/hyperlink" Target="https://medium.com/@NPCollapse/the-hacker-learns-to-trust-62f3c1490f51" TargetMode="External"/><Relationship Id="rId1150" Type="http://schemas.openxmlformats.org/officeDocument/2006/relationships/hyperlink" Target="https://mailchi.mp/efed27be268a/alignment-newsletter-49" TargetMode="External"/><Relationship Id="rId2481" Type="http://schemas.openxmlformats.org/officeDocument/2006/relationships/hyperlink" Target="https://mailchi.mp/9887edab4e73/an-137-quantifying-the-benefits-of-pretraining-on-downstream-task-performance" TargetMode="External"/><Relationship Id="rId560" Type="http://schemas.openxmlformats.org/officeDocument/2006/relationships/hyperlink" Target="https://mailchi.mp/2abdf19aa813/an-61ai-policy-and-governance-from-two-people-in-the-field" TargetMode="External"/><Relationship Id="rId1151" Type="http://schemas.openxmlformats.org/officeDocument/2006/relationships/hyperlink" Target="https://www.alignmentforum.org/posts/tepqESMuRmyhtmDS7/forecasting-progress-in-language-models" TargetMode="External"/><Relationship Id="rId2482" Type="http://schemas.openxmlformats.org/officeDocument/2006/relationships/hyperlink" Target="https://onlinelibrary.wiley.com/doi/10.1002/hfm.20883" TargetMode="External"/><Relationship Id="rId1152" Type="http://schemas.openxmlformats.org/officeDocument/2006/relationships/hyperlink" Target="https://mailchi.mp/a08565612790/an-169collaborating-with-humans-without-human-data" TargetMode="External"/><Relationship Id="rId2483" Type="http://schemas.openxmlformats.org/officeDocument/2006/relationships/hyperlink" Target="https://mailchi.mp/9887edab4e73/an-137-quantifying-the-benefits-of-pretraining-on-downstream-task-performance" TargetMode="External"/><Relationship Id="rId1153" Type="http://schemas.openxmlformats.org/officeDocument/2006/relationships/hyperlink" Target="https://www.alignmentforum.org/posts/xbABZRxoSTAnsf8os/axrp-episode-10-ai-s-future-and-impacts-with-katja-grace" TargetMode="External"/><Relationship Id="rId2484" Type="http://schemas.openxmlformats.org/officeDocument/2006/relationships/hyperlink" Target="https://jbkjr.com/posts/2020/12/mapping_conceptual_territory_AI_safety_alignment/" TargetMode="External"/><Relationship Id="rId565" Type="http://schemas.openxmlformats.org/officeDocument/2006/relationships/hyperlink" Target="https://jfgagne.ai/talent-2019/" TargetMode="External"/><Relationship Id="rId1154" Type="http://schemas.openxmlformats.org/officeDocument/2006/relationships/hyperlink" Target="https://mailchi.mp/7f4d6ceb2ac4/an-158-should-we-be-optimistic-about-generalization" TargetMode="External"/><Relationship Id="rId2485" Type="http://schemas.openxmlformats.org/officeDocument/2006/relationships/hyperlink" Target="https://mailchi.mp/945690ef08b7/an-131-formalizing-the-argument-of-ignored-attributes-in-a-utility-function" TargetMode="External"/><Relationship Id="rId564" Type="http://schemas.openxmlformats.org/officeDocument/2006/relationships/hyperlink" Target="https://mailchi.mp/405e29e1f1cd/an-55-regulatory-markets-and-international-standards-as-a-means-of-ensuring-beneficial-ai" TargetMode="External"/><Relationship Id="rId1155" Type="http://schemas.openxmlformats.org/officeDocument/2006/relationships/hyperlink" Target="https://www.alignmentforum.org/posts/CuDYhLLXq6FuHvGZc/axrp-episode-7-5-forecasting-transformative-ai-from" TargetMode="External"/><Relationship Id="rId2486" Type="http://schemas.openxmlformats.org/officeDocument/2006/relationships/hyperlink" Target="https://arxiv.org/abs/2002.05671" TargetMode="External"/><Relationship Id="rId563" Type="http://schemas.openxmlformats.org/officeDocument/2006/relationships/hyperlink" Target="https://www.partnershiponai.org/when-is-it-appropriate-to-publish-high-stakes-ai-research/" TargetMode="External"/><Relationship Id="rId1156" Type="http://schemas.openxmlformats.org/officeDocument/2006/relationships/hyperlink" Target="https://mailchi.mp/459b1e4f860d/an-152how-weve-overestimated-few-shot-learning-capabilities" TargetMode="External"/><Relationship Id="rId2487" Type="http://schemas.openxmlformats.org/officeDocument/2006/relationships/hyperlink" Target="https://mailchi.mp/945690ef08b7/an-131-formalizing-the-argument-of-ignored-attributes-in-a-utility-function" TargetMode="External"/><Relationship Id="rId562" Type="http://schemas.openxmlformats.org/officeDocument/2006/relationships/hyperlink" Target="https://mailchi.mp/92b3a9458c2d/an-58-mesa-optimization-what-it-is-and-why-we-should-care" TargetMode="External"/><Relationship Id="rId1157" Type="http://schemas.openxmlformats.org/officeDocument/2006/relationships/hyperlink" Target="https://arxiv.org/abs/2007.08124" TargetMode="External"/><Relationship Id="rId2488" Type="http://schemas.openxmlformats.org/officeDocument/2006/relationships/hyperlink" Target="https://www.partnershiponai.org/aiincidentdatabase/" TargetMode="External"/><Relationship Id="rId1147" Type="http://schemas.openxmlformats.org/officeDocument/2006/relationships/hyperlink" Target="https://www.lesswrong.com/posts/K686EFdXysfRBdob2/musings-on-cumulative-cultural-evolution-and-ai" TargetMode="External"/><Relationship Id="rId2478" Type="http://schemas.openxmlformats.org/officeDocument/2006/relationships/hyperlink" Target="https://www.alignmentforum.org/posts/pqkdsqd6s6w2HtT9g/intermittent-distillations-1" TargetMode="External"/><Relationship Id="rId1148" Type="http://schemas.openxmlformats.org/officeDocument/2006/relationships/hyperlink" Target="https://mailchi.mp/0dd8eb63fe2d/an-60a-new-ai-challenge-minecraft-agents-that-assist-human-players-in-creative-mode" TargetMode="External"/><Relationship Id="rId2479" Type="http://schemas.openxmlformats.org/officeDocument/2006/relationships/hyperlink" Target="https://mailchi.mp/8aae224669a8/an-143how-to-make-embedded-agents-that-reason-probabilistically-about-their-environments" TargetMode="External"/><Relationship Id="rId1149" Type="http://schemas.openxmlformats.org/officeDocument/2006/relationships/hyperlink" Target="https://docs.google.com/forms/d/e/1FAIpQLSduBjn3W_MpHHjsKUEhzV6Krkup78ujE5-8bpNJ5HDE7GGnmA/viewform?usp=sf_link" TargetMode="External"/><Relationship Id="rId558" Type="http://schemas.openxmlformats.org/officeDocument/2006/relationships/hyperlink" Target="https://mailchi.mp/4a1b3c4249ae/an-62are-adversarial-examples-caused-by-real-but-imperceptible-features" TargetMode="External"/><Relationship Id="rId557" Type="http://schemas.openxmlformats.org/officeDocument/2006/relationships/hyperlink" Target="https://www.wired.com/story/ai-algorithms-need-drug-trials/" TargetMode="External"/><Relationship Id="rId556" Type="http://schemas.openxmlformats.org/officeDocument/2006/relationships/hyperlink" Target="https://mailchi.mp/0180cf9ba264/an-90how-search-landscapes-can-contain-self-reinforcing-feedback-loops" TargetMode="External"/><Relationship Id="rId555" Type="http://schemas.openxmlformats.org/officeDocument/2006/relationships/hyperlink" Target="https://www.cser.ac.uk/resources/ai-futures-role-play/" TargetMode="External"/><Relationship Id="rId559" Type="http://schemas.openxmlformats.org/officeDocument/2006/relationships/hyperlink" Target="https://thepolitic.org/an-interview-with-ben-garfinkel-governance-of-ai-program-researcher/" TargetMode="External"/><Relationship Id="rId550" Type="http://schemas.openxmlformats.org/officeDocument/2006/relationships/hyperlink" Target="https://blog.google/topics/ai/ai-principles/" TargetMode="External"/><Relationship Id="rId2470" Type="http://schemas.openxmlformats.org/officeDocument/2006/relationships/hyperlink" Target="https://www.alignmentforum.org/posts/WiXePTj7KeEycbiwK/survey-on-ai-existential-risk-scenarios" TargetMode="External"/><Relationship Id="rId1140" Type="http://schemas.openxmlformats.org/officeDocument/2006/relationships/hyperlink" Target="https://www.alignmentforum.org/posts/YgNYA6pj2hPSDQiTE/distinguishing-definitions-of-takeoff" TargetMode="External"/><Relationship Id="rId2471" Type="http://schemas.openxmlformats.org/officeDocument/2006/relationships/hyperlink" Target="https://mailchi.mp/459b1e4f860d/an-152how-weve-overestimated-few-shot-learning-capabilities" TargetMode="External"/><Relationship Id="rId1141" Type="http://schemas.openxmlformats.org/officeDocument/2006/relationships/hyperlink" Target="https://mailchi.mp/1acb030735dd/an-91concepts-implementations-problems-and-a-benchmark-for-impact-measurement" TargetMode="External"/><Relationship Id="rId2472" Type="http://schemas.openxmlformats.org/officeDocument/2006/relationships/hyperlink" Target="https://www.alignmentforum.org/posts/8HWGXhnCfAPgJYa9D/pitfalls-of-the-agent-model" TargetMode="External"/><Relationship Id="rId1142" Type="http://schemas.openxmlformats.org/officeDocument/2006/relationships/hyperlink" Target="https://forum.effectivealtruism.org/posts/APAD7PaEHgFyW3Nc4/ai-impacts-historic-trends-in-technological-progress" TargetMode="External"/><Relationship Id="rId2473" Type="http://schemas.openxmlformats.org/officeDocument/2006/relationships/hyperlink" Target="https://mailchi.mp/3bb663155a8e/an-150the-subtypes-of-cooperative-ai-research" TargetMode="External"/><Relationship Id="rId554" Type="http://schemas.openxmlformats.org/officeDocument/2006/relationships/hyperlink" Target="https://mailchi.mp/f534bdc85c58/an-96-buck-and-i-discussargue-about-ai-alignment" TargetMode="External"/><Relationship Id="rId1143" Type="http://schemas.openxmlformats.org/officeDocument/2006/relationships/hyperlink" Target="https://mailchi.mp/0180cf9ba264/an-90how-search-landscapes-can-contain-self-reinforcing-feedback-loops" TargetMode="External"/><Relationship Id="rId2474" Type="http://schemas.openxmlformats.org/officeDocument/2006/relationships/hyperlink" Target="https://ai-alignment.com/mundane-solutions-to-exotic-problems-395bad49fbe7" TargetMode="External"/><Relationship Id="rId553" Type="http://schemas.openxmlformats.org/officeDocument/2006/relationships/hyperlink" Target="https://www.alignmentforum.org/posts/xEzudcydk7APZbnai/ai-alignment-podcast-on-lethal-autonomous-weapons-with-paul" TargetMode="External"/><Relationship Id="rId1144" Type="http://schemas.openxmlformats.org/officeDocument/2006/relationships/hyperlink" Target="https://aiimpacts.org/incomplete-case-studies-of-discontinuous-progress/" TargetMode="External"/><Relationship Id="rId2475" Type="http://schemas.openxmlformats.org/officeDocument/2006/relationships/hyperlink" Target="https://mailchi.mp/dba8371e9221/an-149-the-newsletters-editorial-policy" TargetMode="External"/><Relationship Id="rId552" Type="http://schemas.openxmlformats.org/officeDocument/2006/relationships/hyperlink" Target="https://www.nature.com/articles/s42256-021-00298-y.epdf?sharing_token=IDmLZKsYFmHzNVVvdbwmJ9RgN0jAjWel9jnR3ZoTv0OmYmmcvbkNbs5E_6ePZaVvz4b0vI_5Un7qhqYQjW4wT1BaPg_DR_6Etp4UDSY5uLzi_asvKZRlspXOTZMHjqPA4sVV9jS2EtSiUKMku_AWDKr1jBHBoWIpCPfViTUWbkQ%3D" TargetMode="External"/><Relationship Id="rId1145" Type="http://schemas.openxmlformats.org/officeDocument/2006/relationships/hyperlink" Target="https://www.lesswrong.com/posts/Lds9opZsAMbjuZp7h/coordination-surveys-why-we-should-survey-to-organize" TargetMode="External"/><Relationship Id="rId2476" Type="http://schemas.openxmlformats.org/officeDocument/2006/relationships/hyperlink" Target="https://www.alignmentforum.org/posts/zzXawbXDwCZobwF9D/my-agi-threat-model-misaligned-model-based-rl-agent" TargetMode="External"/><Relationship Id="rId551" Type="http://schemas.openxmlformats.org/officeDocument/2006/relationships/hyperlink" Target="https://mailchi.mp/d1a19c140226/alignment-newsletter-10" TargetMode="External"/><Relationship Id="rId1146" Type="http://schemas.openxmlformats.org/officeDocument/2006/relationships/hyperlink" Target="https://mailchi.mp/3d4e6c2c206f/an-65learning-useful-skills-by-watching-humans-play" TargetMode="External"/><Relationship Id="rId2477" Type="http://schemas.openxmlformats.org/officeDocument/2006/relationships/hyperlink" Target="https://mailchi.mp/23ad2781da2f/an-144how-language-models-can-also-be-finetuned-for-non-language-tasks" TargetMode="External"/><Relationship Id="rId495" Type="http://schemas.openxmlformats.org/officeDocument/2006/relationships/hyperlink" Target="https://www.brookings.edu/research/how-to-address-ai-ethical-dilemmas/" TargetMode="External"/><Relationship Id="rId494" Type="http://schemas.openxmlformats.org/officeDocument/2006/relationships/hyperlink" Target="http://www.mdpi.com/2078-2489/9/9/209" TargetMode="External"/><Relationship Id="rId493" Type="http://schemas.openxmlformats.org/officeDocument/2006/relationships/hyperlink" Target="https://mailchi.mp/0212425e5544/alignment-newsletter-27" TargetMode="External"/><Relationship Id="rId492" Type="http://schemas.openxmlformats.org/officeDocument/2006/relationships/hyperlink" Target="http://gcrinstitute.org/countering-superintelligence-misinformation/" TargetMode="External"/><Relationship Id="rId499" Type="http://schemas.openxmlformats.org/officeDocument/2006/relationships/hyperlink" Target="http://www.mdpi.com/2078-2489/9/9/209" TargetMode="External"/><Relationship Id="rId498" Type="http://schemas.openxmlformats.org/officeDocument/2006/relationships/hyperlink" Target="https://mailchi.mp/9295c961b39b/alignment-newsletter-23" TargetMode="External"/><Relationship Id="rId497" Type="http://schemas.openxmlformats.org/officeDocument/2006/relationships/hyperlink" Target="https://futureoflife.org/2018/08/30/podcast-artificial-intelligence-global-governance-national-policy-and-public-trust-with-allan-dafoe-and-jessica-cussins/" TargetMode="External"/><Relationship Id="rId496" Type="http://schemas.openxmlformats.org/officeDocument/2006/relationships/hyperlink" Target="https://mailchi.mp/0c5eeec28f75/alignment-newsletter-25" TargetMode="External"/><Relationship Id="rId3810" Type="http://schemas.openxmlformats.org/officeDocument/2006/relationships/hyperlink" Target="https://80000hours.org/podcast/episodes/paul-christiano-ai-alignment-solutions/" TargetMode="External"/><Relationship Id="rId3812" Type="http://schemas.openxmlformats.org/officeDocument/2006/relationships/hyperlink" Target="https://medium.com/@deepmindsafetyresearch/building-safe-artificial-intelligence-52f5f75058f1" TargetMode="External"/><Relationship Id="rId3811" Type="http://schemas.openxmlformats.org/officeDocument/2006/relationships/hyperlink" Target="https://mailchi.mp/0212425e5544/alignment-newsletter-27" TargetMode="External"/><Relationship Id="rId3814" Type="http://schemas.openxmlformats.org/officeDocument/2006/relationships/hyperlink" Target="https://www.lesswrong.com/posts/suxvE2ddnYMPJN9HD/realism-about-rationality" TargetMode="External"/><Relationship Id="rId3813" Type="http://schemas.openxmlformats.org/officeDocument/2006/relationships/hyperlink" Target="https://mailchi.mp/1ecd1b775703/alignment-newsletter-26" TargetMode="External"/><Relationship Id="rId3816" Type="http://schemas.openxmlformats.org/officeDocument/2006/relationships/hyperlink" Target="https://docs.google.com/document/d/1cPwcUSl0Y8TyZxCumGPBhdVUN0Yyyw9AR1QshlRI3gc/edit" TargetMode="External"/><Relationship Id="rId3815" Type="http://schemas.openxmlformats.org/officeDocument/2006/relationships/hyperlink" Target="https://mailchi.mp/0c5eeec28f75/alignment-newsletter-25" TargetMode="External"/><Relationship Id="rId3818" Type="http://schemas.openxmlformats.org/officeDocument/2006/relationships/hyperlink" Target="https://docs.google.com/document/d/1uPOQikvqhxANvejgFfnzH-vNX3tMap4uFL3KCYqPeSg/edit?usp=sharing" TargetMode="External"/><Relationship Id="rId3817" Type="http://schemas.openxmlformats.org/officeDocument/2006/relationships/hyperlink" Target="https://mailchi.mp/0634a39158ce/an-168-four-technical-topics-for-which-open-phil-is-soliciting-grant-proposals" TargetMode="External"/><Relationship Id="rId3819" Type="http://schemas.openxmlformats.org/officeDocument/2006/relationships/hyperlink" Target="https://mailchi.mp/0634a39158ce/an-168-four-technical-topics-for-which-open-phil-is-soliciting-grant-proposals" TargetMode="External"/><Relationship Id="rId3801" Type="http://schemas.openxmlformats.org/officeDocument/2006/relationships/hyperlink" Target="https://mailchi.mp/cac125522aa3/an-72-alignment-robustness-methodology-and-system-building-as-research-priorities-for-ai-safety" TargetMode="External"/><Relationship Id="rId3800" Type="http://schemas.openxmlformats.org/officeDocument/2006/relationships/hyperlink" Target="https://docs.google.com/document/d/1FbTuRvC4TFWzGYerTKpBU7FJlyvjeOvVYF2uYNFSlOc/edit" TargetMode="External"/><Relationship Id="rId3803" Type="http://schemas.openxmlformats.org/officeDocument/2006/relationships/hyperlink" Target="https://mailchi.mp/0ae5d69de63b/alignment-newsletter-5" TargetMode="External"/><Relationship Id="rId3802" Type="http://schemas.openxmlformats.org/officeDocument/2006/relationships/hyperlink" Target="https://arxiv.org/abs/1805.01109" TargetMode="External"/><Relationship Id="rId3805" Type="http://schemas.openxmlformats.org/officeDocument/2006/relationships/hyperlink" Target="https://mailchi.mp/b649f32b07da/alignment-newsletter-40" TargetMode="External"/><Relationship Id="rId3804" Type="http://schemas.openxmlformats.org/officeDocument/2006/relationships/hyperlink" Target="https://www.fhi.ox.ac.uk/reframing/" TargetMode="External"/><Relationship Id="rId3807" Type="http://schemas.openxmlformats.org/officeDocument/2006/relationships/hyperlink" Target="https://mailchi.mp/588354e4b91d/alignment-newsletter-38" TargetMode="External"/><Relationship Id="rId3806" Type="http://schemas.openxmlformats.org/officeDocument/2006/relationships/hyperlink" Target="https://futureoflife.org/2018/12/17/inverse-reinforcement-learning-and-the-state-of-ai-alignment-with-rohin-shah/" TargetMode="External"/><Relationship Id="rId3809" Type="http://schemas.openxmlformats.org/officeDocument/2006/relationships/hyperlink" Target="https://mailchi.mp/e6a23da2760e/alignment-newsletter-3?e=f665c7b50a" TargetMode="External"/><Relationship Id="rId3808" Type="http://schemas.openxmlformats.org/officeDocument/2006/relationships/hyperlink" Target="https://arxiv.org/abs/1804.04268" TargetMode="External"/><Relationship Id="rId1213" Type="http://schemas.openxmlformats.org/officeDocument/2006/relationships/hyperlink" Target="https://arxiv.org/abs/1901.08579" TargetMode="External"/><Relationship Id="rId2544" Type="http://schemas.openxmlformats.org/officeDocument/2006/relationships/hyperlink" Target="https://www.alignmentforum.org/posts/FQKjY563bJqDeaEDr/to-first-order-moral-realism-and-moral-anti-realism-are-the" TargetMode="External"/><Relationship Id="rId3876" Type="http://schemas.openxmlformats.org/officeDocument/2006/relationships/hyperlink" Target="https://mailchi.mp/87c0d944c461/an-68-the-attainable-utility-theory-of-impact" TargetMode="External"/><Relationship Id="rId1214" Type="http://schemas.openxmlformats.org/officeDocument/2006/relationships/hyperlink" Target="https://mailchi.mp/768a8130013f/alignment-newsletter-43" TargetMode="External"/><Relationship Id="rId2545" Type="http://schemas.openxmlformats.org/officeDocument/2006/relationships/hyperlink" Target="https://mailchi.mp/92b3a9458c2d/an-58-mesa-optimization-what-it-is-and-why-we-should-care" TargetMode="External"/><Relationship Id="rId3875" Type="http://schemas.openxmlformats.org/officeDocument/2006/relationships/hyperlink" Target="https://www.alignmentforum.org/posts/bnY3L48TtDrKTzGRb/ai-safety-success-stories" TargetMode="External"/><Relationship Id="rId1215" Type="http://schemas.openxmlformats.org/officeDocument/2006/relationships/hyperlink" Target="https://www.alignmentforum.org/posts/hSw4MNTc3gAwZWdx9/reasons-compute-may-not-drive-ai-capabilities-growth" TargetMode="External"/><Relationship Id="rId2546" Type="http://schemas.openxmlformats.org/officeDocument/2006/relationships/hyperlink" Target="https://www.alignmentforum.org/posts/aAzApjEpdYwAxnsAS/reinforcement-learning-with-imperceptible-rewards" TargetMode="External"/><Relationship Id="rId3878" Type="http://schemas.openxmlformats.org/officeDocument/2006/relationships/hyperlink" Target="https://mailchi.mp/0b74c28413c0/an-64-using-deep-rl-and-reward-uncertainty-to-incentivize-preference-learning" TargetMode="External"/><Relationship Id="rId1216" Type="http://schemas.openxmlformats.org/officeDocument/2006/relationships/hyperlink" Target="https://mailchi.mp/588354e4b91d/alignment-newsletter-38" TargetMode="External"/><Relationship Id="rId2547" Type="http://schemas.openxmlformats.org/officeDocument/2006/relationships/hyperlink" Target="https://mailchi.mp/392d2043e782/an-57why-we-should-focus-on-robustness-in-ai-safety-and-the-analogous-problems-in-programming" TargetMode="External"/><Relationship Id="rId3877" Type="http://schemas.openxmlformats.org/officeDocument/2006/relationships/hyperlink" Target="https://alignmentforum.org/posts/wJK944YqvFwjdbqCP/four-ways-an-impact-measure-could-help-alignment" TargetMode="External"/><Relationship Id="rId1217" Type="http://schemas.openxmlformats.org/officeDocument/2006/relationships/hyperlink" Target="https://aiimpacts.org/diabetic-retinopathy-as-a-case-study-in-time-for-ai-to-cross-the-range-of-human-performance/" TargetMode="External"/><Relationship Id="rId2548" Type="http://schemas.openxmlformats.org/officeDocument/2006/relationships/hyperlink" Target="http://arxiv.org/abs/1901.11184" TargetMode="External"/><Relationship Id="rId1218" Type="http://schemas.openxmlformats.org/officeDocument/2006/relationships/hyperlink" Target="https://mailchi.mp/bbd47ba94e84/alignment-newsletter-35" TargetMode="External"/><Relationship Id="rId2549" Type="http://schemas.openxmlformats.org/officeDocument/2006/relationships/hyperlink" Target="https://mailchi.mp/3091c6e9405c/alignment-newsletter-48" TargetMode="External"/><Relationship Id="rId3879" Type="http://schemas.openxmlformats.org/officeDocument/2006/relationships/hyperlink" Target="https://www.alignmentforum.org/posts/JSjagTDGdz2y6nNE3/on-the-purposes-of-decision-theory-research" TargetMode="External"/><Relationship Id="rId1219" Type="http://schemas.openxmlformats.org/officeDocument/2006/relationships/hyperlink" Target="http://mediangroup.org/gpu.html" TargetMode="External"/><Relationship Id="rId3870" Type="http://schemas.openxmlformats.org/officeDocument/2006/relationships/hyperlink" Target="https://mailchi.mp/598f425b1533/an-86-improving-debate-and-factored-cognition-through-human-experiments" TargetMode="External"/><Relationship Id="rId2540" Type="http://schemas.openxmlformats.org/officeDocument/2006/relationships/hyperlink" Target="https://mailchi.mp/b342d1a1bd06/an-59-how-arguments-for-ai-risk-have-changed-over-time" TargetMode="External"/><Relationship Id="rId3872" Type="http://schemas.openxmlformats.org/officeDocument/2006/relationships/hyperlink" Target="https://mailchi.mp/7ba40faa7eed/an-82-how-openai-five-distributed-their-training-computation" TargetMode="External"/><Relationship Id="rId1210" Type="http://schemas.openxmlformats.org/officeDocument/2006/relationships/hyperlink" Target="https://aiimpacts.org/evidence-on-good-forecasting-practices-from-the-good-judgment-project/" TargetMode="External"/><Relationship Id="rId2541" Type="http://schemas.openxmlformats.org/officeDocument/2006/relationships/hyperlink" Target="https://www.tandfonline.com/doi/abs/10.1080/0020174X.2019.1658626" TargetMode="External"/><Relationship Id="rId3871" Type="http://schemas.openxmlformats.org/officeDocument/2006/relationships/hyperlink" Target="https://www.alignmentforum.org/posts/LTFaD96D9kWuTibWr/just-imitate-humans" TargetMode="External"/><Relationship Id="rId1211" Type="http://schemas.openxmlformats.org/officeDocument/2006/relationships/hyperlink" Target="https://mailchi.mp/c48f996a5db5/alignment-newsletter-46" TargetMode="External"/><Relationship Id="rId2542" Type="http://schemas.openxmlformats.org/officeDocument/2006/relationships/hyperlink" Target="https://mailchi.mp/b342d1a1bd06/an-59-how-arguments-for-ai-risk-have-changed-over-time" TargetMode="External"/><Relationship Id="rId3874" Type="http://schemas.openxmlformats.org/officeDocument/2006/relationships/hyperlink" Target="https://mailchi.mp/eef1d6c95d7c/an-78formalizing-power-and-instrumental-convergence-and-the-end-of-year-ai-safety-charity-comparison" TargetMode="External"/><Relationship Id="rId1212" Type="http://schemas.openxmlformats.org/officeDocument/2006/relationships/hyperlink" Target="https://aiimpacts.org/evidence-on-good-forecasting-practices-from-the-good-judgment-project-an-accompanying-blog-post/" TargetMode="External"/><Relationship Id="rId2543" Type="http://schemas.openxmlformats.org/officeDocument/2006/relationships/hyperlink" Target="https://docs.wixstatic.com/ugd/d9aaad_f82846cf065645ad87897f2a7281cebf.pdf" TargetMode="External"/><Relationship Id="rId3873" Type="http://schemas.openxmlformats.org/officeDocument/2006/relationships/hyperlink" Target="https://www.alignmentforum.org/posts/4xbsi4wbourPkb47x/technical-agi-safety-research-outside-ai" TargetMode="External"/><Relationship Id="rId1202" Type="http://schemas.openxmlformats.org/officeDocument/2006/relationships/hyperlink" Target="https://mailchi.mp/cac125522aa3/an-72-alignment-robustness-methodology-and-system-building-as-research-priorities-for-ai-safety" TargetMode="External"/><Relationship Id="rId2533" Type="http://schemas.openxmlformats.org/officeDocument/2006/relationships/hyperlink" Target="https://mailchi.mp/3e34fa1f299a/an-75-solving-atari-and-go-with-learned-game-models-and-thoughts-from-a-miri-employee" TargetMode="External"/><Relationship Id="rId3865" Type="http://schemas.openxmlformats.org/officeDocument/2006/relationships/hyperlink" Target="https://www.alignmentforum.org/posts/BGxTpdBGbwCWrGiCL/plausible-cases-for-hrad-work-and-locating-the-crux-in-the" TargetMode="External"/><Relationship Id="rId1203" Type="http://schemas.openxmlformats.org/officeDocument/2006/relationships/hyperlink" Target="https://unstableontology.com/2019/07/11/the-ai-timelines-scam/" TargetMode="External"/><Relationship Id="rId2534" Type="http://schemas.openxmlformats.org/officeDocument/2006/relationships/hyperlink" Target="https://mailchi.mp/3e34fa1f299a/an-75-solving-atari-and-go-with-learned-game-models-and-thoughts-from-a-miri-employee" TargetMode="External"/><Relationship Id="rId3864" Type="http://schemas.openxmlformats.org/officeDocument/2006/relationships/hyperlink" Target="https://ai-alignment.com/a-possible-stance-for-ai-control-research-fe9cf717fc1b" TargetMode="External"/><Relationship Id="rId1204" Type="http://schemas.openxmlformats.org/officeDocument/2006/relationships/hyperlink" Target="https://mailchi.mp/0dd8eb63fe2d/an-60a-new-ai-challenge-minecraft-agents-that-assist-human-players-in-creative-mode" TargetMode="External"/><Relationship Id="rId2535" Type="http://schemas.openxmlformats.org/officeDocument/2006/relationships/hyperlink" Target="https://alignmentforum.org/posts/YuJNoCEgeWJfBtdtQ/distance-functions-are-hard-1" TargetMode="External"/><Relationship Id="rId3867" Type="http://schemas.openxmlformats.org/officeDocument/2006/relationships/hyperlink" Target="https://80000hours.org/podcast/episodes/stuart-russell-human-compatible-ai/?utm_campaign=podcast__stuart-russell&amp;utm_source=80000+Hours+Podcast&amp;utm_medium=podcast" TargetMode="External"/><Relationship Id="rId1205" Type="http://schemas.openxmlformats.org/officeDocument/2006/relationships/hyperlink" Target="https://aiimpacts.org/ai-conference-attendance/" TargetMode="External"/><Relationship Id="rId2536" Type="http://schemas.openxmlformats.org/officeDocument/2006/relationships/hyperlink" Target="https://mailchi.mp/533c646a4b21/an-63how-architecture-search-meta-learning-and-environment-design-could-lead-to-general-intelligence" TargetMode="External"/><Relationship Id="rId3866" Type="http://schemas.openxmlformats.org/officeDocument/2006/relationships/hyperlink" Target="https://mailchi.mp/dd7dd9157abe/an-106-evaluating-generalization-ability-of-learned-reward-models" TargetMode="External"/><Relationship Id="rId1206" Type="http://schemas.openxmlformats.org/officeDocument/2006/relationships/hyperlink" Target="https://mailchi.mp/efed27be268a/alignment-newsletter-49" TargetMode="External"/><Relationship Id="rId2537" Type="http://schemas.openxmlformats.org/officeDocument/2006/relationships/hyperlink" Target="https://futureoflife.org/2019/05/23/on-consciousness-qualia-and-meaning-with-mike-johnson-and-andres-gomez-emilsson/" TargetMode="External"/><Relationship Id="rId3869" Type="http://schemas.openxmlformats.org/officeDocument/2006/relationships/hyperlink" Target="https://www.lesswrong.com/s/p947tK8CoBbdpPtyK" TargetMode="External"/><Relationship Id="rId1207" Type="http://schemas.openxmlformats.org/officeDocument/2006/relationships/hyperlink" Target="https://aiimpacts.org/primates-vs-birds-is-one-brain-architecture-better-than-the-other/" TargetMode="External"/><Relationship Id="rId2538" Type="http://schemas.openxmlformats.org/officeDocument/2006/relationships/hyperlink" Target="https://mailchi.mp/533c646a4b21/an-63how-architecture-search-meta-learning-and-environment-design-could-lead-to-general-intelligence" TargetMode="External"/><Relationship Id="rId3868" Type="http://schemas.openxmlformats.org/officeDocument/2006/relationships/hyperlink" Target="https://mailchi.mp/dd7dd9157abe/an-106-evaluating-generalization-ability-of-learned-reward-models" TargetMode="External"/><Relationship Id="rId1208" Type="http://schemas.openxmlformats.org/officeDocument/2006/relationships/hyperlink" Target="https://mailchi.mp/3091c6e9405c/alignment-newsletter-48" TargetMode="External"/><Relationship Id="rId2539" Type="http://schemas.openxmlformats.org/officeDocument/2006/relationships/hyperlink" Target="https://www.alignmentforum.org/posts/wJ3AqNPM7W4nfY5Bk/self-confirming-prophecies-and-simplified-oracle-designs" TargetMode="External"/><Relationship Id="rId1209" Type="http://schemas.openxmlformats.org/officeDocument/2006/relationships/hyperlink" Target="https://aiimpacts.org/investigation-into-the-relationship-between-neuron-count-and-intelligence-across-differing-cortical-architectures/" TargetMode="External"/><Relationship Id="rId3861" Type="http://schemas.openxmlformats.org/officeDocument/2006/relationships/hyperlink" Target="https://mailchi.mp/8234356e4b7f/alignment-newsletter-13" TargetMode="External"/><Relationship Id="rId2530" Type="http://schemas.openxmlformats.org/officeDocument/2006/relationships/hyperlink" Target="https://www.alignmentforum.org/posts/dt4z82hpvvPFTDTfZ/six-ai-risk-strategy-ideas" TargetMode="External"/><Relationship Id="rId3860" Type="http://schemas.openxmlformats.org/officeDocument/2006/relationships/hyperlink" Target="https://agentfoundations.org/item?id=1816" TargetMode="External"/><Relationship Id="rId1200" Type="http://schemas.openxmlformats.org/officeDocument/2006/relationships/hyperlink" Target="https://mailchi.mp/ef55eb52b0fd/an-73-detecting-catastrophic-failures-by-learning-how-agents-tend-to-break" TargetMode="External"/><Relationship Id="rId2531" Type="http://schemas.openxmlformats.org/officeDocument/2006/relationships/hyperlink" Target="https://mailchi.mp/7ba40faa7eed/an-82-how-openai-five-distributed-their-training-computation" TargetMode="External"/><Relationship Id="rId3863" Type="http://schemas.openxmlformats.org/officeDocument/2006/relationships/hyperlink" Target="https://mailchi.mp/8234356e4b7f/alignment-newsletter-13" TargetMode="External"/><Relationship Id="rId1201" Type="http://schemas.openxmlformats.org/officeDocument/2006/relationships/hyperlink" Target="https://www.lesswrong.com/posts/ZwSrTsP3YkgnmHWnJ/two-explanations-for-variability-in-human-abilities" TargetMode="External"/><Relationship Id="rId2532" Type="http://schemas.openxmlformats.org/officeDocument/2006/relationships/hyperlink" Target="https://www.alignmentforum.org/posts/yArZKCEheZt8GkK6p/self-fulfilling-prophecies-aren-t-always-about-self" TargetMode="External"/><Relationship Id="rId3862" Type="http://schemas.openxmlformats.org/officeDocument/2006/relationships/hyperlink" Target="http://www.foldl.me/2018/conceptual-issues-ai-safety-paradigmatic-gap/" TargetMode="External"/><Relationship Id="rId1235" Type="http://schemas.openxmlformats.org/officeDocument/2006/relationships/hyperlink" Target="https://aiimpacts.org/interpreting-ai-compute-trends/" TargetMode="External"/><Relationship Id="rId2566" Type="http://schemas.openxmlformats.org/officeDocument/2006/relationships/hyperlink" Target="https://arxiv.org/abs/2101.06060" TargetMode="External"/><Relationship Id="rId3898" Type="http://schemas.openxmlformats.org/officeDocument/2006/relationships/hyperlink" Target="https://mailchi.mp/15ed28377c48/an-162-foundation-models-a-paradigm-shift-within-ai" TargetMode="External"/><Relationship Id="rId1236" Type="http://schemas.openxmlformats.org/officeDocument/2006/relationships/hyperlink" Target="https://mailchi.mp/4920e52dd61b/alignment-newsletter-15" TargetMode="External"/><Relationship Id="rId2567" Type="http://schemas.openxmlformats.org/officeDocument/2006/relationships/hyperlink" Target="https://mailchi.mp/9887edab4e73/an-137-quantifying-the-benefits-of-pretraining-on-downstream-task-performance" TargetMode="External"/><Relationship Id="rId3897" Type="http://schemas.openxmlformats.org/officeDocument/2006/relationships/hyperlink" Target="https://www.alignmentforum.org/posts/Gfbf7RsE2fvxGXKC5/some-criteria-for-sandwiching-projects" TargetMode="External"/><Relationship Id="rId1237" Type="http://schemas.openxmlformats.org/officeDocument/2006/relationships/hyperlink" Target="https://blog.openai.com/ai-and-compute/" TargetMode="External"/><Relationship Id="rId2568" Type="http://schemas.openxmlformats.org/officeDocument/2006/relationships/hyperlink" Target="https://www.alignmentforum.org/posts/JPan54R525D68NoEt/the-date-of-ai-takeover-is-not-the-day-the-ai-takes-over" TargetMode="External"/><Relationship Id="rId1238" Type="http://schemas.openxmlformats.org/officeDocument/2006/relationships/hyperlink" Target="https://www.alignmentforum.org/posts/Z5gPrKTR2oDmm6fqJ/three-reasons-to-expect-long-ai-timelines" TargetMode="External"/><Relationship Id="rId2569" Type="http://schemas.openxmlformats.org/officeDocument/2006/relationships/hyperlink" Target="https://mailchi.mp/62ef1fe8c13a/an-123inferring-what-is-valuable-in-order-to-align-recommender-systems" TargetMode="External"/><Relationship Id="rId3899" Type="http://schemas.openxmlformats.org/officeDocument/2006/relationships/hyperlink" Target="http://s-risks.org/mechanism-design-for-ai/" TargetMode="External"/><Relationship Id="rId1239" Type="http://schemas.openxmlformats.org/officeDocument/2006/relationships/hyperlink" Target="https://mailchi.mp/3f3842c04eb3/an-148analyzing-generalization-across-more-axes-than-just-accuracy-or-loss" TargetMode="External"/><Relationship Id="rId409" Type="http://schemas.openxmlformats.org/officeDocument/2006/relationships/hyperlink" Target="https://www.ditchley.com/events/past-events/2010-2019/2017/machine-learning-and-artificial-intelligence-how-do-we-make-sure" TargetMode="External"/><Relationship Id="rId404" Type="http://schemas.openxmlformats.org/officeDocument/2006/relationships/hyperlink" Target="https://arxiv.org/abs/2009.13676" TargetMode="External"/><Relationship Id="rId403" Type="http://schemas.openxmlformats.org/officeDocument/2006/relationships/hyperlink" Target="https://mailchi.mp/945690ef08b7/an-131-formalizing-the-argument-of-ignored-attributes-in-a-utility-function" TargetMode="External"/><Relationship Id="rId402" Type="http://schemas.openxmlformats.org/officeDocument/2006/relationships/hyperlink" Target="https://link.springer.com/content/pdf/10.1007/s10676-017-9430-8.pdf" TargetMode="External"/><Relationship Id="rId401" Type="http://schemas.openxmlformats.org/officeDocument/2006/relationships/hyperlink" Target="https://mailchi.mp/395179bd3c3d/an-132complex-and-subtly-incorrect-arguments-as-an-obstacle-to-debate" TargetMode="External"/><Relationship Id="rId408" Type="http://schemas.openxmlformats.org/officeDocument/2006/relationships/hyperlink" Target="https://mailchi.mp/474d6a8a4527/an-110-learning-features-from-human-feedback-to-enable-reward-learning" TargetMode="External"/><Relationship Id="rId407" Type="http://schemas.openxmlformats.org/officeDocument/2006/relationships/hyperlink" Target="https://cullenokeefe.com/ai-benefits-index" TargetMode="External"/><Relationship Id="rId406" Type="http://schemas.openxmlformats.org/officeDocument/2006/relationships/hyperlink" Target="https://futureoflife.org/2020/11/17/mohamed-abdalla-on-big-tech-ethics-washing-and-the-threat-on-academic-integrity/?utm_source=feedly&amp;utm_medium=rss&amp;utm_campaign=mohamed-abdalla-on-big-tech-ethics-washing-and-the-threat-on-academic-integrity" TargetMode="External"/><Relationship Id="rId405" Type="http://schemas.openxmlformats.org/officeDocument/2006/relationships/hyperlink" Target="https://mailchi.mp/77121cab0cff/an-126-avoiding-wireheading-by-decoupling-action-feedback-from-action-effects" TargetMode="External"/><Relationship Id="rId3890" Type="http://schemas.openxmlformats.org/officeDocument/2006/relationships/hyperlink" Target="https://mailchi.mp/036ba834bcaf/alignment-newsletter-39" TargetMode="External"/><Relationship Id="rId2560" Type="http://schemas.openxmlformats.org/officeDocument/2006/relationships/hyperlink" Target="https://www.alignmentforum.org/posts/qhsELHzAHFebRJE59/a-greater-than-b-greater-than-a" TargetMode="External"/><Relationship Id="rId3892" Type="http://schemas.openxmlformats.org/officeDocument/2006/relationships/hyperlink" Target="https://mailchi.mp/7d0e3916e3d9/alignment-newsletter-31" TargetMode="External"/><Relationship Id="rId1230" Type="http://schemas.openxmlformats.org/officeDocument/2006/relationships/hyperlink" Target="https://mailchi.mp/bea92b186ef9/an-157-measuring-misalignment-in-the-technology-underlying-copilot" TargetMode="External"/><Relationship Id="rId2561" Type="http://schemas.openxmlformats.org/officeDocument/2006/relationships/hyperlink" Target="https://mailchi.mp/d7b5059d64ed/alignment-newsletter-24" TargetMode="External"/><Relationship Id="rId3891" Type="http://schemas.openxmlformats.org/officeDocument/2006/relationships/hyperlink" Target="https://www.alignmentforum.org/posts/5GFn87cmw7A5hzR89/discussion-on-the-machine-learning-approach-to-ai-safety" TargetMode="External"/><Relationship Id="rId400" Type="http://schemas.openxmlformats.org/officeDocument/2006/relationships/hyperlink" Target="https://forum.effectivealtruism.org/posts/oR9tLNRSAep293rr5/why-those-who-care-about-catastrophic-and-existential-risk-2" TargetMode="External"/><Relationship Id="rId1231" Type="http://schemas.openxmlformats.org/officeDocument/2006/relationships/hyperlink" Target="https://www.alignmentforum.org/posts/GzoWcYibWYwJva8aL/parameter-counts-in-machine-learning" TargetMode="External"/><Relationship Id="rId2562" Type="http://schemas.openxmlformats.org/officeDocument/2006/relationships/hyperlink" Target="https://cset.georgetown.edu/research/key-concepts-in-ai-safety-an-overview/" TargetMode="External"/><Relationship Id="rId3894" Type="http://schemas.openxmlformats.org/officeDocument/2006/relationships/hyperlink" Target="https://mailchi.mp/0212425e5544/alignment-newsletter-27" TargetMode="External"/><Relationship Id="rId1232" Type="http://schemas.openxmlformats.org/officeDocument/2006/relationships/hyperlink" Target="https://mailchi.mp/79ac4ef6d9da/an-154what-economic-growth-theory-has-to-say-about-transformative-ai" TargetMode="External"/><Relationship Id="rId2563" Type="http://schemas.openxmlformats.org/officeDocument/2006/relationships/hyperlink" Target="https://mailchi.mp/8aae224669a8/an-143how-to-make-embedded-agents-that-reason-probabilistically-about-their-environments" TargetMode="External"/><Relationship Id="rId3893" Type="http://schemas.openxmlformats.org/officeDocument/2006/relationships/hyperlink" Target="https://www.alignmentforum.org/posts/Gg9a4y8reWKtLe3Tn/the-rocket-alignment-problem" TargetMode="External"/><Relationship Id="rId1233" Type="http://schemas.openxmlformats.org/officeDocument/2006/relationships/hyperlink" Target="https://link.springer.com/article/10.1007/s13748-021-00239-1" TargetMode="External"/><Relationship Id="rId2564" Type="http://schemas.openxmlformats.org/officeDocument/2006/relationships/hyperlink" Target="https://www.alignmentforum.org/posts/Y4YHTBziAscS5WPN7/epistemological-framing-for-ai-alignment-research" TargetMode="External"/><Relationship Id="rId3896" Type="http://schemas.openxmlformats.org/officeDocument/2006/relationships/hyperlink" Target="https://mailchi.mp/d7b5059d64ed/alignment-newsletter-24" TargetMode="External"/><Relationship Id="rId1234" Type="http://schemas.openxmlformats.org/officeDocument/2006/relationships/hyperlink" Target="https://mailchi.mp/79ac4ef6d9da/an-154what-economic-growth-theory-has-to-say-about-transformative-ai" TargetMode="External"/><Relationship Id="rId2565" Type="http://schemas.openxmlformats.org/officeDocument/2006/relationships/hyperlink" Target="https://mailchi.mp/93d2051b7d70/an-141the-case-for-practicing-alignment-work-on-gpt-3-and-other-large-models" TargetMode="External"/><Relationship Id="rId3895" Type="http://schemas.openxmlformats.org/officeDocument/2006/relationships/hyperlink" Target="https://www.alignmentforum.org/posts/uKbxi2EJ3KBNRDGpL/comment-on-decision-theory" TargetMode="External"/><Relationship Id="rId1224" Type="http://schemas.openxmlformats.org/officeDocument/2006/relationships/hyperlink" Target="https://mailchi.mp/5fb91dfd758a/an-166-is-it-crazy-to-claim-were-in-the-most-important-century" TargetMode="External"/><Relationship Id="rId2555" Type="http://schemas.openxmlformats.org/officeDocument/2006/relationships/hyperlink" Target="https://mailchi.mp/6eb8190e723f/alignment-newsletter-37" TargetMode="External"/><Relationship Id="rId3887" Type="http://schemas.openxmlformats.org/officeDocument/2006/relationships/hyperlink" Target="https://futureoflife.org/2018/04/04/podcast-ai-systems-learning-human-preferences/" TargetMode="External"/><Relationship Id="rId1225" Type="http://schemas.openxmlformats.org/officeDocument/2006/relationships/hyperlink" Target="https://bounded-regret.ghost.io/ai-forecasting/" TargetMode="External"/><Relationship Id="rId2556" Type="http://schemas.openxmlformats.org/officeDocument/2006/relationships/hyperlink" Target="https://futureoflife.org/2018/09/17/moral-uncertainty-and-the-path-to-ai-alignment-with-william-macaskill/" TargetMode="External"/><Relationship Id="rId3886" Type="http://schemas.openxmlformats.org/officeDocument/2006/relationships/hyperlink" Target="https://mailchi.mp/260cd31d5f03/alignment-newsletter-47" TargetMode="External"/><Relationship Id="rId1226" Type="http://schemas.openxmlformats.org/officeDocument/2006/relationships/hyperlink" Target="https://mailchi.mp/bfd4b0ddf358/an-165when-large-models-are-more-likely-to-lie" TargetMode="External"/><Relationship Id="rId2557" Type="http://schemas.openxmlformats.org/officeDocument/2006/relationships/hyperlink" Target="https://mailchi.mp/0c5eeec28f75/alignment-newsletter-25" TargetMode="External"/><Relationship Id="rId3889" Type="http://schemas.openxmlformats.org/officeDocument/2006/relationships/hyperlink" Target="http://s-risks.org/why-i-expect-successful-alignment/" TargetMode="External"/><Relationship Id="rId1227" Type="http://schemas.openxmlformats.org/officeDocument/2006/relationships/hyperlink" Target="https://www.alignmentforum.org/posts/6Xgy6CAf2jqHhynHL/what-2026-looks-like-daniel-s-median-future" TargetMode="External"/><Relationship Id="rId2558" Type="http://schemas.openxmlformats.org/officeDocument/2006/relationships/hyperlink" Target="http://arxiv.org/abs/1809.04729" TargetMode="External"/><Relationship Id="rId3888" Type="http://schemas.openxmlformats.org/officeDocument/2006/relationships/hyperlink" Target="https://mailchi.mp/32f89a74a7b6/alignment-newsletter-4" TargetMode="External"/><Relationship Id="rId1228" Type="http://schemas.openxmlformats.org/officeDocument/2006/relationships/hyperlink" Target="https://mailchi.mp/2121f5135173/an-160-building-ais-that-learn-and-think-like-people" TargetMode="External"/><Relationship Id="rId2559" Type="http://schemas.openxmlformats.org/officeDocument/2006/relationships/hyperlink" Target="https://mailchi.mp/0c5eeec28f75/alignment-newsletter-25" TargetMode="External"/><Relationship Id="rId1229" Type="http://schemas.openxmlformats.org/officeDocument/2006/relationships/hyperlink" Target="https://www.alignmentforum.org/posts/h3ejmEeNniDNFXTgp/fractional-progress-estimates-for-ai-timelines-and-implied" TargetMode="External"/><Relationship Id="rId3881" Type="http://schemas.openxmlformats.org/officeDocument/2006/relationships/hyperlink" Target="https://medium.com/@catherio/unsolved-research-problems-vs-real-world-threat-models-e270e256bc9e" TargetMode="External"/><Relationship Id="rId2550" Type="http://schemas.openxmlformats.org/officeDocument/2006/relationships/hyperlink" Target="https://www.alignmentforum.org/posts/6zwW9oGaHbuMuvnmX/would-i-think-for-ten-thousand-years" TargetMode="External"/><Relationship Id="rId3880" Type="http://schemas.openxmlformats.org/officeDocument/2006/relationships/hyperlink" Target="https://mailchi.mp/2abdf19aa813/an-61ai-policy-and-governance-from-two-people-in-the-field" TargetMode="External"/><Relationship Id="rId1220" Type="http://schemas.openxmlformats.org/officeDocument/2006/relationships/hyperlink" Target="https://mailchi.mp/bbd47ba94e84/alignment-newsletter-35" TargetMode="External"/><Relationship Id="rId2551" Type="http://schemas.openxmlformats.org/officeDocument/2006/relationships/hyperlink" Target="https://mailchi.mp/c48f996a5db5/alignment-newsletter-46" TargetMode="External"/><Relationship Id="rId3883" Type="http://schemas.openxmlformats.org/officeDocument/2006/relationships/hyperlink" Target="https://futureoflife.org/2019/01/31/fli-podcast-ai-breakthroughs-and-challenges-in-2018-with-david-krueger-and-roman-yampolskiy/" TargetMode="External"/><Relationship Id="rId1221" Type="http://schemas.openxmlformats.org/officeDocument/2006/relationships/hyperlink" Target="http://s-risks.org/thoughts-on-short-timelines/" TargetMode="External"/><Relationship Id="rId2552" Type="http://schemas.openxmlformats.org/officeDocument/2006/relationships/hyperlink" Target="https://www.alignmentforum.org/posts/rArsypGqq49bk4iRr/can-there-be-an-indescribable-hellworld" TargetMode="External"/><Relationship Id="rId3882" Type="http://schemas.openxmlformats.org/officeDocument/2006/relationships/hyperlink" Target="https://mailchi.mp/93fe1a0a92da/alignment-newsletter-50" TargetMode="External"/><Relationship Id="rId1222" Type="http://schemas.openxmlformats.org/officeDocument/2006/relationships/hyperlink" Target="https://mailchi.mp/c1f376f3a12e/alignment-newsletter-30" TargetMode="External"/><Relationship Id="rId2553" Type="http://schemas.openxmlformats.org/officeDocument/2006/relationships/hyperlink" Target="https://mailchi.mp/6bfac400a0c3/alignment-newsletter-44" TargetMode="External"/><Relationship Id="rId3885" Type="http://schemas.openxmlformats.org/officeDocument/2006/relationships/hyperlink" Target="https://www.lesswrong.com/posts/pRaSFmjrgSr7YT6BG/treacherous-turn-simulations-and-brain-computer-interfaces" TargetMode="External"/><Relationship Id="rId1223" Type="http://schemas.openxmlformats.org/officeDocument/2006/relationships/hyperlink" Target="https://www.alignmentforum.org/posts/qYzqDtoQaZ3eDDyxa/distinguishing-ai-takeover-scenarios" TargetMode="External"/><Relationship Id="rId2554" Type="http://schemas.openxmlformats.org/officeDocument/2006/relationships/hyperlink" Target="https://www.alignmentforum.org/posts/95i5B78uhqyB3d6Xc/assuming-we-ve-solved-x-could-we-do-y" TargetMode="External"/><Relationship Id="rId3884" Type="http://schemas.openxmlformats.org/officeDocument/2006/relationships/hyperlink" Target="https://mailchi.mp/260cd31d5f03/alignment-newsletter-47" TargetMode="External"/><Relationship Id="rId2500" Type="http://schemas.openxmlformats.org/officeDocument/2006/relationships/hyperlink" Target="https://www.alignmentforum.org/posts/r3NHPD3dLFNk9QE2Y/search-versus-design-1" TargetMode="External"/><Relationship Id="rId3832" Type="http://schemas.openxmlformats.org/officeDocument/2006/relationships/hyperlink" Target="https://mailchi.mp/d0b668319344/an-118risks-solutions-and-prioritization-in-a-world-with-many-ai-systems" TargetMode="External"/><Relationship Id="rId2501" Type="http://schemas.openxmlformats.org/officeDocument/2006/relationships/hyperlink" Target="https://www.alignmentforum.org/posts/nyDnLif4cjeRe9DSv/generalizing-the-power-seeking-theorems" TargetMode="External"/><Relationship Id="rId3831" Type="http://schemas.openxmlformats.org/officeDocument/2006/relationships/hyperlink" Target="https://futureoflife.org/2020/09/15/andrew-critch-on-ai-research-considerations-for-human-existential-safety/?utm_source=feedly&amp;utm_medium=rss&amp;utm_campaign=andrew-critch-on-ai-research-considerations-for-human-existential-safety" TargetMode="External"/><Relationship Id="rId2502" Type="http://schemas.openxmlformats.org/officeDocument/2006/relationships/hyperlink" Target="https://mailchi.mp/474d6a8a4527/an-110-learning-features-from-human-feedback-to-enable-reward-learning" TargetMode="External"/><Relationship Id="rId3834" Type="http://schemas.openxmlformats.org/officeDocument/2006/relationships/hyperlink" Target="https://openresearch-repository.anu.edu.au/handle/1885/164227" TargetMode="External"/><Relationship Id="rId2503" Type="http://schemas.openxmlformats.org/officeDocument/2006/relationships/hyperlink" Target="http://arxiv.org/abs/1805.11783" TargetMode="External"/><Relationship Id="rId3833" Type="http://schemas.openxmlformats.org/officeDocument/2006/relationships/hyperlink" Target="https://www.tomeveritt.se/papers/alignment.pdf" TargetMode="External"/><Relationship Id="rId2504" Type="http://schemas.openxmlformats.org/officeDocument/2006/relationships/hyperlink" Target="https://mailchi.mp/7ad36e25be22/alignment-newsletter-11" TargetMode="External"/><Relationship Id="rId3836" Type="http://schemas.openxmlformats.org/officeDocument/2006/relationships/hyperlink" Target="https://mailchi.mp/60475c277263/an-103-arches-an-agenda-for-existential-safety-and-combining-natural-language-with-deep-rl" TargetMode="External"/><Relationship Id="rId2505" Type="http://schemas.openxmlformats.org/officeDocument/2006/relationships/hyperlink" Target="https://futureoflife.org/2018/06/14/podcast-astronomical-future-suffering-and-superintelligence-with-kaj-sotala/?cn-reloaded=1" TargetMode="External"/><Relationship Id="rId3835" Type="http://schemas.openxmlformats.org/officeDocument/2006/relationships/hyperlink" Target="http://acritch.com/papers/arches.pdf" TargetMode="External"/><Relationship Id="rId2506" Type="http://schemas.openxmlformats.org/officeDocument/2006/relationships/hyperlink" Target="https://mailchi.mp/7ad36e25be22/alignment-newsletter-11" TargetMode="External"/><Relationship Id="rId3838" Type="http://schemas.openxmlformats.org/officeDocument/2006/relationships/hyperlink" Target="https://mailchi.mp/ff6340049bd0/alignment-newsletter-1" TargetMode="External"/><Relationship Id="rId2507" Type="http://schemas.openxmlformats.org/officeDocument/2006/relationships/hyperlink" Target="https://www.alignmentforum.org/posts/yijG7ptfqFBR8w885/talk-key-issues-in-near-term-ai-safety-research" TargetMode="External"/><Relationship Id="rId3837" Type="http://schemas.openxmlformats.org/officeDocument/2006/relationships/hyperlink" Target="https://www.lesswrong.com/posts/xCpuSfT5Lt6kkR3po/my-take-on-agent-foundations-formalizing-metaphilosophical" TargetMode="External"/><Relationship Id="rId2508" Type="http://schemas.openxmlformats.org/officeDocument/2006/relationships/hyperlink" Target="https://mailchi.mp/ee62c1c9e331/an-109teaching-neural-nets-to-generalize-the-way-humans-would" TargetMode="External"/><Relationship Id="rId2509" Type="http://schemas.openxmlformats.org/officeDocument/2006/relationships/hyperlink" Target="https://www.alignmentforum.org/posts/S9GxuAEeQomnLkeNt/a-space-of-proposals-for-building-safe-advanced-ai" TargetMode="External"/><Relationship Id="rId3839" Type="http://schemas.openxmlformats.org/officeDocument/2006/relationships/hyperlink" Target="https://www.alignmentforum.org/posts/8GdPargak863xaebm/an-analytic-perspective-on-ai-alignment" TargetMode="External"/><Relationship Id="rId3830" Type="http://schemas.openxmlformats.org/officeDocument/2006/relationships/hyperlink" Target="https://mailchi.mp/f66847de2ef8/an-128prioritizing-research-on-ai-existential-safety-based-on-its-application-to-governance-demands" TargetMode="External"/><Relationship Id="rId3821" Type="http://schemas.openxmlformats.org/officeDocument/2006/relationships/hyperlink" Target="https://mailchi.mp/0634a39158ce/an-168-four-technical-topics-for-which-open-phil-is-soliciting-grant-proposals" TargetMode="External"/><Relationship Id="rId3820" Type="http://schemas.openxmlformats.org/officeDocument/2006/relationships/hyperlink" Target="https://docs.google.com/document/d/1PB58Fx3fmahx8vutW7TY6sG3-Ho0qfd1RwA1gP2yzWg/edit?usp=sharing" TargetMode="External"/><Relationship Id="rId3823" Type="http://schemas.openxmlformats.org/officeDocument/2006/relationships/hyperlink" Target="https://mailchi.mp/0634a39158ce/an-168-four-technical-topics-for-which-open-phil-is-soliciting-grant-proposals" TargetMode="External"/><Relationship Id="rId3822" Type="http://schemas.openxmlformats.org/officeDocument/2006/relationships/hyperlink" Target="https://docs.google.com/document/d/186GGXoi_g0ML_YRKnppfLNxZIdvHTpLakOyg6GQENi4/edit?usp=sharing" TargetMode="External"/><Relationship Id="rId3825" Type="http://schemas.openxmlformats.org/officeDocument/2006/relationships/hyperlink" Target="https://mailchi.mp/08a639ffa2ba/an-167concrete-ml-safety-problems-and-their-relevance-to-x-risk" TargetMode="External"/><Relationship Id="rId3824" Type="http://schemas.openxmlformats.org/officeDocument/2006/relationships/hyperlink" Target="https://arxiv.org/abs/2109.13916" TargetMode="External"/><Relationship Id="rId3827" Type="http://schemas.openxmlformats.org/officeDocument/2006/relationships/hyperlink" Target="https://mailchi.mp/93d2051b7d70/an-141the-case-for-practicing-alignment-work-on-gpt-3-and-other-large-models" TargetMode="External"/><Relationship Id="rId3826" Type="http://schemas.openxmlformats.org/officeDocument/2006/relationships/hyperlink" Target="https://www.alignmentforum.org/posts/PZtsoaoSLpKjjbMqM/the-case-for-aligning-narrowly-superhuman-models" TargetMode="External"/><Relationship Id="rId3829" Type="http://schemas.openxmlformats.org/officeDocument/2006/relationships/hyperlink" Target="https://www.alignmentforum.org/posts/hvGoYXi2kgnS3vxqb/some-ai-research-areas-and-their-relevance-to-existential-1" TargetMode="External"/><Relationship Id="rId3828" Type="http://schemas.openxmlformats.org/officeDocument/2006/relationships/hyperlink" Target="https://www.alignmentforum.org/posts/AyfDnnAdjG7HHeD3d/miri-comments-on-cotra-s-case-for-aligning-narrowly" TargetMode="External"/><Relationship Id="rId2522" Type="http://schemas.openxmlformats.org/officeDocument/2006/relationships/hyperlink" Target="https://docs.google.com/document/d/1RP_bWfC1waWQaLwunQBN_R0yRNlDjVOOE4rhmqm8JSA/edit" TargetMode="External"/><Relationship Id="rId3854" Type="http://schemas.openxmlformats.org/officeDocument/2006/relationships/hyperlink" Target="https://jsteinhardt.stat.berkeley.edu/blog/measurement-and-optimization" TargetMode="External"/><Relationship Id="rId2523" Type="http://schemas.openxmlformats.org/officeDocument/2006/relationships/hyperlink" Target="https://mailchi.mp/d1a19c140226/alignment-newsletter-10" TargetMode="External"/><Relationship Id="rId3853" Type="http://schemas.openxmlformats.org/officeDocument/2006/relationships/hyperlink" Target="https://mailchi.mp/08a639ffa2ba/an-167concrete-ml-safety-problems-and-their-relevance-to-x-risk" TargetMode="External"/><Relationship Id="rId2524" Type="http://schemas.openxmlformats.org/officeDocument/2006/relationships/hyperlink" Target="https://www.alignmentforum.org/posts/BMj6uMuyBidrdZkiD/corrigibility-as-outside-view" TargetMode="External"/><Relationship Id="rId3856" Type="http://schemas.openxmlformats.org/officeDocument/2006/relationships/hyperlink" Target="https://www.alignmentforum.org/posts/QirLfXhDPYWCP8PK5/transparency-and-agi-safety" TargetMode="External"/><Relationship Id="rId2525" Type="http://schemas.openxmlformats.org/officeDocument/2006/relationships/hyperlink" Target="https://mailchi.mp/4f7ffc5cbe53/an-99-doubling-times-for-the-efficiency-of-ai-algorithms" TargetMode="External"/><Relationship Id="rId3855" Type="http://schemas.openxmlformats.org/officeDocument/2006/relationships/hyperlink" Target="https://mailchi.mp/bea92b186ef9/an-157-measuring-misalignment-in-the-technology-underlying-copilot" TargetMode="External"/><Relationship Id="rId2526" Type="http://schemas.openxmlformats.org/officeDocument/2006/relationships/hyperlink" Target="https://www.lesswrong.com/posts/peebMuCuscjkNvTnE/clarifying-the-malignity-of-the-universal-prior-the-lexical" TargetMode="External"/><Relationship Id="rId3858" Type="http://schemas.openxmlformats.org/officeDocument/2006/relationships/hyperlink" Target="https://www.alignmentforum.org/posts/jS2iiDPqMvZ2tnik2/ai-alignment-philosophical-pluralism-and-the-relevance-of" TargetMode="External"/><Relationship Id="rId2527" Type="http://schemas.openxmlformats.org/officeDocument/2006/relationships/hyperlink" Target="https://mailchi.mp/ff565f097630/an-83-sample-efficient-deep-learning-with-remixmatch" TargetMode="External"/><Relationship Id="rId3857" Type="http://schemas.openxmlformats.org/officeDocument/2006/relationships/hyperlink" Target="https://mailchi.mp/c8b57f25d787/an-133building-machines-that-can-cooperate-with-humans-institutions-or-other-machines" TargetMode="External"/><Relationship Id="rId2528" Type="http://schemas.openxmlformats.org/officeDocument/2006/relationships/hyperlink" Target="https://arxiv.org/abs/1912.00747" TargetMode="External"/><Relationship Id="rId2529" Type="http://schemas.openxmlformats.org/officeDocument/2006/relationships/hyperlink" Target="https://mailchi.mp/7ba40faa7eed/an-82-how-openai-five-distributed-their-training-computation" TargetMode="External"/><Relationship Id="rId3859" Type="http://schemas.openxmlformats.org/officeDocument/2006/relationships/hyperlink" Target="https://mailchi.mp/395179bd3c3d/an-132complex-and-subtly-incorrect-arguments-as-an-obstacle-to-debate" TargetMode="External"/><Relationship Id="rId3850" Type="http://schemas.openxmlformats.org/officeDocument/2006/relationships/hyperlink" Target="https://www.alignmentforum.org/posts/HvNAmkXPTSoA4dvzv/comments-on-cais" TargetMode="External"/><Relationship Id="rId2520" Type="http://schemas.openxmlformats.org/officeDocument/2006/relationships/hyperlink" Target="https://www.lesswrong.com/posts/FTpPC4umEiREZMMRu/disambiguating-alignment-and-related-notions" TargetMode="External"/><Relationship Id="rId3852" Type="http://schemas.openxmlformats.org/officeDocument/2006/relationships/hyperlink" Target="https://www.alignmentforum.org/posts/G2Lne2Fi7Qra5Lbuf/selection-theorems-a-program-for-understanding-agents" TargetMode="External"/><Relationship Id="rId2521" Type="http://schemas.openxmlformats.org/officeDocument/2006/relationships/hyperlink" Target="https://mailchi.mp/d1a19c140226/alignment-newsletter-10" TargetMode="External"/><Relationship Id="rId3851" Type="http://schemas.openxmlformats.org/officeDocument/2006/relationships/hyperlink" Target="https://mailchi.mp/8c3f02cabccd/alignment-newsletter-41" TargetMode="External"/><Relationship Id="rId2511" Type="http://schemas.openxmlformats.org/officeDocument/2006/relationships/hyperlink" Target="https://arxiv.org/abs/2006.14796" TargetMode="External"/><Relationship Id="rId3843" Type="http://schemas.openxmlformats.org/officeDocument/2006/relationships/hyperlink" Target="https://www.alignmentforum.org/posts/mdau2DBSMi5bWXPGA/useful-does-not-mean-secure" TargetMode="External"/><Relationship Id="rId2512" Type="http://schemas.openxmlformats.org/officeDocument/2006/relationships/hyperlink" Target="https://mailchi.mp/df363224d0e4/an-107-the-convergent-instrumental-subgoals-of-goal-directed-agents" TargetMode="External"/><Relationship Id="rId3842" Type="http://schemas.openxmlformats.org/officeDocument/2006/relationships/hyperlink" Target="https://mailchi.mp/eef1d6c95d7c/an-78formalizing-power-and-instrumental-convergence-and-the-end-of-year-ai-safety-charity-comparison" TargetMode="External"/><Relationship Id="rId2513" Type="http://schemas.openxmlformats.org/officeDocument/2006/relationships/hyperlink" Target="https://gradientscience.org/benchmarks/" TargetMode="External"/><Relationship Id="rId3845" Type="http://schemas.openxmlformats.org/officeDocument/2006/relationships/hyperlink" Target="https://www.youtube.com/watch?v=AMSKIDEbjLY" TargetMode="External"/><Relationship Id="rId2514" Type="http://schemas.openxmlformats.org/officeDocument/2006/relationships/hyperlink" Target="https://mailchi.mp/60475c277263/an-103-arches-an-agenda-for-existential-safety-and-combining-natural-language-with-deep-rl" TargetMode="External"/><Relationship Id="rId3844" Type="http://schemas.openxmlformats.org/officeDocument/2006/relationships/hyperlink" Target="https://mailchi.mp/1106d0ce6766/an-76how-dataset-size-affects-robustness-and-benchmarking-safe-exploration-by-measuring-constraint-violations" TargetMode="External"/><Relationship Id="rId2515" Type="http://schemas.openxmlformats.org/officeDocument/2006/relationships/hyperlink" Target="https://arxiv.org/abs/2005.11295" TargetMode="External"/><Relationship Id="rId3847" Type="http://schemas.openxmlformats.org/officeDocument/2006/relationships/hyperlink" Target="https://mailchi.mp/3e2f43012b07/an-54-boxing-a-finite-horizon-ai-system-to-keep-it-unambitious" TargetMode="External"/><Relationship Id="rId2516" Type="http://schemas.openxmlformats.org/officeDocument/2006/relationships/hyperlink" Target="https://arxiv.org/abs/1906.03218" TargetMode="External"/><Relationship Id="rId3846" Type="http://schemas.openxmlformats.org/officeDocument/2006/relationships/hyperlink" Target="https://mailchi.mp/405e29e1f1cd/an-55-regulatory-markets-and-international-standards-as-a-means-of-ensuring-beneficial-ai" TargetMode="External"/><Relationship Id="rId2517" Type="http://schemas.openxmlformats.org/officeDocument/2006/relationships/hyperlink" Target="https://mailchi.mp/2485e6b42012/an-102-meta-learning-by-gpt-3-and-a-list-of-full-proposals-for-ai-alignment" TargetMode="External"/><Relationship Id="rId3849" Type="http://schemas.openxmlformats.org/officeDocument/2006/relationships/hyperlink" Target="https://mailchi.mp/534f448d6c8b/alignment-newsletter-53" TargetMode="External"/><Relationship Id="rId2518" Type="http://schemas.openxmlformats.org/officeDocument/2006/relationships/hyperlink" Target="https://medium.com/@operations_18894/a-guide-to-writing-the-neurips-impact-statement-4293b723f832" TargetMode="External"/><Relationship Id="rId3848" Type="http://schemas.openxmlformats.org/officeDocument/2006/relationships/hyperlink" Target="https://www.youtube.com/watch?v=Tqu4cwne1vA" TargetMode="External"/><Relationship Id="rId2519" Type="http://schemas.openxmlformats.org/officeDocument/2006/relationships/hyperlink" Target="https://mailchi.mp/d9e1db727875/an-100what-might-go-wrong-if-you-learn-a-reward-function-while-acting" TargetMode="External"/><Relationship Id="rId3841" Type="http://schemas.openxmlformats.org/officeDocument/2006/relationships/hyperlink" Target="https://www.alignmentforum.org/posts/jYdAxH8BarPT4fqnb/a-dilemma-for-prosaic-ai-alignment" TargetMode="External"/><Relationship Id="rId2510" Type="http://schemas.openxmlformats.org/officeDocument/2006/relationships/hyperlink" Target="https://mailchi.mp/05518aad6baf/an-108why-we-should-scrutinize-arguments-for-ai-risk" TargetMode="External"/><Relationship Id="rId3840" Type="http://schemas.openxmlformats.org/officeDocument/2006/relationships/hyperlink" Target="https://mailchi.mp/d7e950bc8dbd/an-92learning-good-representations-with-contrastive-predictive-coding?e=0e92156a6c" TargetMode="External"/><Relationship Id="rId469" Type="http://schemas.openxmlformats.org/officeDocument/2006/relationships/hyperlink" Target="https://mailchi.mp/260cd31d5f03/alignment-newsletter-47" TargetMode="External"/><Relationship Id="rId468" Type="http://schemas.openxmlformats.org/officeDocument/2006/relationships/hyperlink" Target="https://www.lesswrong.com/posts/4AHXDwcGab5PhKhHT/humans-who-are-not-concentrating-are-not-general" TargetMode="External"/><Relationship Id="rId467" Type="http://schemas.openxmlformats.org/officeDocument/2006/relationships/hyperlink" Target="https://mailchi.mp/93fe1a0a92da/alignment-newsletter-50" TargetMode="External"/><Relationship Id="rId1290" Type="http://schemas.openxmlformats.org/officeDocument/2006/relationships/hyperlink" Target="https://www.nature.com/articles/d41586-021-01170-0" TargetMode="External"/><Relationship Id="rId1291" Type="http://schemas.openxmlformats.org/officeDocument/2006/relationships/hyperlink" Target="https://mailchi.mp/3bb663155a8e/an-150the-subtypes-of-cooperative-ai-research" TargetMode="External"/><Relationship Id="rId1292" Type="http://schemas.openxmlformats.org/officeDocument/2006/relationships/hyperlink" Target="https://arxiv.org/abs/2012.08630" TargetMode="External"/><Relationship Id="rId462" Type="http://schemas.openxmlformats.org/officeDocument/2006/relationships/hyperlink" Target="http://www.rationallyspeakingpodcast.org/show/rs-231-helen-toner-on-misconceptions-about-china-and-artific.html" TargetMode="External"/><Relationship Id="rId1293" Type="http://schemas.openxmlformats.org/officeDocument/2006/relationships/hyperlink" Target="https://mailchi.mp/c8b57f25d787/an-133building-machines-that-can-cooperate-with-humans-institutions-or-other-machines" TargetMode="External"/><Relationship Id="rId461" Type="http://schemas.openxmlformats.org/officeDocument/2006/relationships/hyperlink" Target="https://mailchi.mp/405e29e1f1cd/an-55-regulatory-markets-and-international-standards-as-a-means-of-ensuring-beneficial-ai" TargetMode="External"/><Relationship Id="rId1294" Type="http://schemas.openxmlformats.org/officeDocument/2006/relationships/hyperlink" Target="https://www.alignmentforum.org/s/boLPsyNwd6teK5key" TargetMode="External"/><Relationship Id="rId460" Type="http://schemas.openxmlformats.org/officeDocument/2006/relationships/hyperlink" Target="https://www.vox.com/future-perfect/2019/4/3/18292526/google-ai-ethics-board-letter-acquisti-kay-coles-james" TargetMode="External"/><Relationship Id="rId1295" Type="http://schemas.openxmlformats.org/officeDocument/2006/relationships/hyperlink" Target="https://mailchi.mp/30b144930924/an-119ai-safety-when-agents-are-shaped-by-environments-not-rewards" TargetMode="External"/><Relationship Id="rId1296" Type="http://schemas.openxmlformats.org/officeDocument/2006/relationships/hyperlink" Target="http://arxiv.org/abs/2002.11174" TargetMode="External"/><Relationship Id="rId466" Type="http://schemas.openxmlformats.org/officeDocument/2006/relationships/hyperlink" Target="https://www.charlottestix.com/european-union-ai-ecosystem" TargetMode="External"/><Relationship Id="rId1297" Type="http://schemas.openxmlformats.org/officeDocument/2006/relationships/hyperlink" Target="https://mailchi.mp/1acb030735dd/an-91concepts-implementations-problems-and-a-benchmark-for-impact-measurement" TargetMode="External"/><Relationship Id="rId465" Type="http://schemas.openxmlformats.org/officeDocument/2006/relationships/hyperlink" Target="https://mailchi.mp/3e2f43012b07/an-54-boxing-a-finite-horizon-ai-system-to-keep-it-unambitious" TargetMode="External"/><Relationship Id="rId1298" Type="http://schemas.openxmlformats.org/officeDocument/2006/relationships/hyperlink" Target="https://bair.berkeley.edu/blog/2019/10/21/coordination/" TargetMode="External"/><Relationship Id="rId464" Type="http://schemas.openxmlformats.org/officeDocument/2006/relationships/hyperlink" Target="https://futureoflife.org/2019/04/02/fli-podcast-why-ban-lethal-autonomous-weapons/" TargetMode="External"/><Relationship Id="rId1299" Type="http://schemas.openxmlformats.org/officeDocument/2006/relationships/hyperlink" Target="https://mailchi.mp/732eaa192df0/an-70-agents-that-help-humans-who-are-still-learning-about-their-own-preferences" TargetMode="External"/><Relationship Id="rId463" Type="http://schemas.openxmlformats.org/officeDocument/2006/relationships/hyperlink" Target="https://mailchi.mp/405e29e1f1cd/an-55-regulatory-markets-and-international-standards-as-a-means-of-ensuring-beneficial-ai" TargetMode="External"/><Relationship Id="rId459" Type="http://schemas.openxmlformats.org/officeDocument/2006/relationships/hyperlink" Target="https://arxiv.org/abs/1905.12616" TargetMode="External"/><Relationship Id="rId458" Type="http://schemas.openxmlformats.org/officeDocument/2006/relationships/hyperlink" Target="https://mailchi.mp/92b3a9458c2d/an-58-mesa-optimization-what-it-is-and-why-we-should-care" TargetMode="External"/><Relationship Id="rId457" Type="http://schemas.openxmlformats.org/officeDocument/2006/relationships/hyperlink" Target="https://rowanzellers.com/grover/" TargetMode="External"/><Relationship Id="rId456" Type="http://schemas.openxmlformats.org/officeDocument/2006/relationships/hyperlink" Target="https://mailchi.mp/b342d1a1bd06/an-59-how-arguments-for-ai-risk-have-changed-over-time" TargetMode="External"/><Relationship Id="rId1280" Type="http://schemas.openxmlformats.org/officeDocument/2006/relationships/hyperlink" Target="https://www.lesswrong.com/posts/FoJSa8mgLPT83g9e8/jeff-hawkins-on-neuromorphic-agi-within-20-years" TargetMode="External"/><Relationship Id="rId1281" Type="http://schemas.openxmlformats.org/officeDocument/2006/relationships/hyperlink" Target="https://mailchi.mp/0dd8eb63fe2d/an-60a-new-ai-challenge-minecraft-agents-that-assist-human-players-in-creative-mode" TargetMode="External"/><Relationship Id="rId451" Type="http://schemas.openxmlformats.org/officeDocument/2006/relationships/hyperlink" Target="https://futureoflife.org/2019/08/30/fli-podcast-beyond-the-arms-race-narrative-ai-china-with-helen-toner-elsa-kania/" TargetMode="External"/><Relationship Id="rId1282" Type="http://schemas.openxmlformats.org/officeDocument/2006/relationships/hyperlink" Target="https://www.lesswrong.com/posts/b2MnFM8DWDaPhxBoK/double-cruxing-the-ai-foom-debate" TargetMode="External"/><Relationship Id="rId450" Type="http://schemas.openxmlformats.org/officeDocument/2006/relationships/hyperlink" Target="https://mailchi.mp/3e550712419a/alignment-newsletter-7" TargetMode="External"/><Relationship Id="rId1283" Type="http://schemas.openxmlformats.org/officeDocument/2006/relationships/hyperlink" Target="https://mailchi.mp/32f89a74a7b6/alignment-newsletter-4" TargetMode="External"/><Relationship Id="rId1284" Type="http://schemas.openxmlformats.org/officeDocument/2006/relationships/hyperlink" Target="https://arxiv.org/abs/1811.01267" TargetMode="External"/><Relationship Id="rId1285" Type="http://schemas.openxmlformats.org/officeDocument/2006/relationships/hyperlink" Target="https://mailchi.mp/6eb8190e723f/alignment-newsletter-37" TargetMode="External"/><Relationship Id="rId455" Type="http://schemas.openxmlformats.org/officeDocument/2006/relationships/hyperlink" Target="https://www.lesswrong.com/posts/sM2sANArtSJE6duZZ/where-are-people-thinking-and-talking-about-global" TargetMode="External"/><Relationship Id="rId1286" Type="http://schemas.openxmlformats.org/officeDocument/2006/relationships/hyperlink" Target="https://mailchi.mp/14782876a85d/alignment-newsletter-2" TargetMode="External"/><Relationship Id="rId454" Type="http://schemas.openxmlformats.org/officeDocument/2006/relationships/hyperlink" Target="https://mailchi.mp/2abdf19aa813/an-61ai-policy-and-governance-from-two-people-in-the-field" TargetMode="External"/><Relationship Id="rId1287" Type="http://schemas.openxmlformats.org/officeDocument/2006/relationships/hyperlink" Target="https://arxiv.org/abs/2110.08176" TargetMode="External"/><Relationship Id="rId453" Type="http://schemas.openxmlformats.org/officeDocument/2006/relationships/hyperlink" Target="https://forum.effectivealtruism.org/posts/ZJiCfwTy5dC4CoxqA/information-security-careers-for-gcr-reduction" TargetMode="External"/><Relationship Id="rId1288" Type="http://schemas.openxmlformats.org/officeDocument/2006/relationships/hyperlink" Target="https://mailchi.mp/a08565612790/an-169collaborating-with-humans-without-human-data" TargetMode="External"/><Relationship Id="rId452" Type="http://schemas.openxmlformats.org/officeDocument/2006/relationships/hyperlink" Target="https://mailchi.mp/533c646a4b21/an-63how-architecture-search-meta-learning-and-environment-design-could-lead-to-general-intelligence" TargetMode="External"/><Relationship Id="rId1289" Type="http://schemas.openxmlformats.org/officeDocument/2006/relationships/hyperlink" Target="https://openreview.net/forum?id=v-f7ifhKYps" TargetMode="External"/><Relationship Id="rId3018" Type="http://schemas.openxmlformats.org/officeDocument/2006/relationships/hyperlink" Target="http://arxiv.org/abs/2101.08153" TargetMode="External"/><Relationship Id="rId3017" Type="http://schemas.openxmlformats.org/officeDocument/2006/relationships/hyperlink" Target="https://mailchi.mp/35b451cb4d70/alignment-newsletter-45" TargetMode="External"/><Relationship Id="rId3019" Type="http://schemas.openxmlformats.org/officeDocument/2006/relationships/hyperlink" Target="https://mailchi.mp/e7cec4ed9117/an-138why-ai-governance-should-find-problems-rather-than-just-solving-them" TargetMode="External"/><Relationship Id="rId491" Type="http://schemas.openxmlformats.org/officeDocument/2006/relationships/hyperlink" Target="https://mailchi.mp/df2e472140b6/alignment-newsletter-28" TargetMode="External"/><Relationship Id="rId490" Type="http://schemas.openxmlformats.org/officeDocument/2006/relationships/hyperlink" Target="https://supchina.com/podcast/chinas-grand-ai-ambitions-with-jeff-ding/" TargetMode="External"/><Relationship Id="rId489" Type="http://schemas.openxmlformats.org/officeDocument/2006/relationships/hyperlink" Target="https://mailchi.mp/df2e472140b6/alignment-newsletter-28" TargetMode="External"/><Relationship Id="rId484" Type="http://schemas.openxmlformats.org/officeDocument/2006/relationships/hyperlink" Target="https://arxiv.org/abs/1811.10840v1" TargetMode="External"/><Relationship Id="rId3010" Type="http://schemas.openxmlformats.org/officeDocument/2006/relationships/hyperlink" Target="https://www.alignmentforum.org/posts/RzAmPDNciirWKdtc7/pessimism-about-unknown-unknowns-inspires-conservatism" TargetMode="External"/><Relationship Id="rId483" Type="http://schemas.openxmlformats.org/officeDocument/2006/relationships/hyperlink" Target="https://mailchi.mp/8c3f02cabccd/alignment-newsletter-41" TargetMode="External"/><Relationship Id="rId482" Type="http://schemas.openxmlformats.org/officeDocument/2006/relationships/hyperlink" Target="https://www.fhi.ox.ac.uk/aipublic2019/" TargetMode="External"/><Relationship Id="rId3012" Type="http://schemas.openxmlformats.org/officeDocument/2006/relationships/hyperlink" Target="https://arxiv.org/abs/1901.02527" TargetMode="External"/><Relationship Id="rId481" Type="http://schemas.openxmlformats.org/officeDocument/2006/relationships/hyperlink" Target="https://mailchi.mp/768a8130013f/alignment-newsletter-43" TargetMode="External"/><Relationship Id="rId3011" Type="http://schemas.openxmlformats.org/officeDocument/2006/relationships/hyperlink" Target="https://mailchi.mp/76ad355daab7/an-89-a-unifying-formalism-for-preference-learning-algorithms" TargetMode="External"/><Relationship Id="rId488" Type="http://schemas.openxmlformats.org/officeDocument/2006/relationships/hyperlink" Target="https://aiimpacts.org/on-the-inapplicability-of-corporate-rights-cases-to-digital-minds/" TargetMode="External"/><Relationship Id="rId3014" Type="http://schemas.openxmlformats.org/officeDocument/2006/relationships/hyperlink" Target="https://medium.com/@deepmindsafetyresearch/designing-agent-incentives-to-avoid-side-effects-e1ac80ea6107" TargetMode="External"/><Relationship Id="rId487" Type="http://schemas.openxmlformats.org/officeDocument/2006/relationships/hyperlink" Target="https://mailchi.mp/e6a23da2760e/alignment-newsletter-3?e=f665c7b50a" TargetMode="External"/><Relationship Id="rId3013" Type="http://schemas.openxmlformats.org/officeDocument/2006/relationships/hyperlink" Target="https://mailchi.mp/38af1edcd025/an-67creating-environments-in-which-to-study-inner-alignment-failures" TargetMode="External"/><Relationship Id="rId486" Type="http://schemas.openxmlformats.org/officeDocument/2006/relationships/hyperlink" Target="https://docs.house.gov/Committee/Calendar/ByEvent.aspx?EventID=108179" TargetMode="External"/><Relationship Id="rId3016" Type="http://schemas.openxmlformats.org/officeDocument/2006/relationships/hyperlink" Target="https://www.alignmentforum.org/posts/wzPzPmAsG3BwrBrwy/test-cases-for-impact-regularisation-methods" TargetMode="External"/><Relationship Id="rId485" Type="http://schemas.openxmlformats.org/officeDocument/2006/relationships/hyperlink" Target="https://mailchi.mp/bbd47ba94e84/alignment-newsletter-35" TargetMode="External"/><Relationship Id="rId3015" Type="http://schemas.openxmlformats.org/officeDocument/2006/relationships/hyperlink" Target="https://mailchi.mp/efed27be268a/alignment-newsletter-49" TargetMode="External"/><Relationship Id="rId3007" Type="http://schemas.openxmlformats.org/officeDocument/2006/relationships/hyperlink" Target="https://arxiv.org/abs/1806.01186" TargetMode="External"/><Relationship Id="rId3006" Type="http://schemas.openxmlformats.org/officeDocument/2006/relationships/hyperlink" Target="https://mailchi.mp/77121cab0cff/an-126-avoiding-wireheading-by-decoupling-action-feedback-from-action-effects" TargetMode="External"/><Relationship Id="rId3009" Type="http://schemas.openxmlformats.org/officeDocument/2006/relationships/hyperlink" Target="https://vkrakovna.wordpress.com/2018/06/05/measuring-and-avoiding-side-effects-using-relative-reachability/" TargetMode="External"/><Relationship Id="rId3008" Type="http://schemas.openxmlformats.org/officeDocument/2006/relationships/hyperlink" Target="https://mailchi.mp/d1a19c140226/alignment-newsletter-10" TargetMode="External"/><Relationship Id="rId480" Type="http://schemas.openxmlformats.org/officeDocument/2006/relationships/hyperlink" Target="https://futureoflife.org/2019/01/24/public-opinion-on-artificial-intelligence/" TargetMode="External"/><Relationship Id="rId479" Type="http://schemas.openxmlformats.org/officeDocument/2006/relationships/hyperlink" Target="https://mailchi.mp/6bfac400a0c3/alignment-newsletter-44" TargetMode="External"/><Relationship Id="rId478" Type="http://schemas.openxmlformats.org/officeDocument/2006/relationships/hyperlink" Target="https://www.nature.com/articles/s42256-018-0003-2" TargetMode="External"/><Relationship Id="rId473" Type="http://schemas.openxmlformats.org/officeDocument/2006/relationships/hyperlink" Target="https://mailchi.mp/c48f996a5db5/alignment-newsletter-46" TargetMode="External"/><Relationship Id="rId472" Type="http://schemas.openxmlformats.org/officeDocument/2006/relationships/hyperlink" Target="http://s-risks.org/risk-factors-for-s-risks/" TargetMode="External"/><Relationship Id="rId471" Type="http://schemas.openxmlformats.org/officeDocument/2006/relationships/hyperlink" Target="https://mailchi.mp/c48f996a5db5/alignment-newsletter-46" TargetMode="External"/><Relationship Id="rId3001" Type="http://schemas.openxmlformats.org/officeDocument/2006/relationships/hyperlink" Target="https://www.alignmentforum.org/posts/c2oM7qytRByv6ZFtz/impact-measure-desiderata" TargetMode="External"/><Relationship Id="rId470" Type="http://schemas.openxmlformats.org/officeDocument/2006/relationships/hyperlink" Target="https://cltc.berkeley.edu/TowardAISecurity/" TargetMode="External"/><Relationship Id="rId3000" Type="http://schemas.openxmlformats.org/officeDocument/2006/relationships/hyperlink" Target="https://mailchi.mp/0c5eeec28f75/alignment-newsletter-25" TargetMode="External"/><Relationship Id="rId477" Type="http://schemas.openxmlformats.org/officeDocument/2006/relationships/hyperlink" Target="https://mailchi.mp/35b451cb4d70/alignment-newsletter-45" TargetMode="External"/><Relationship Id="rId3003" Type="http://schemas.openxmlformats.org/officeDocument/2006/relationships/hyperlink" Target="https://deepmind.com/blog/safety-first-ai-autonomous-data-centre-cooling-and-industrial-control/" TargetMode="External"/><Relationship Id="rId476" Type="http://schemas.openxmlformats.org/officeDocument/2006/relationships/hyperlink" Target="https://media.defense.gov/2019/Feb/12/2002088963/-1/-1/1/SUMMARY-OF-DOD-AI-STRATEGY.PDF" TargetMode="External"/><Relationship Id="rId3002" Type="http://schemas.openxmlformats.org/officeDocument/2006/relationships/hyperlink" Target="https://mailchi.mp/9295c961b39b/alignment-newsletter-23" TargetMode="External"/><Relationship Id="rId475" Type="http://schemas.openxmlformats.org/officeDocument/2006/relationships/hyperlink" Target="https://mailchi.mp/c48f996a5db5/alignment-newsletter-46" TargetMode="External"/><Relationship Id="rId3005" Type="http://schemas.openxmlformats.org/officeDocument/2006/relationships/hyperlink" Target="https://arxiv.org/abs/2011.08827" TargetMode="External"/><Relationship Id="rId474" Type="http://schemas.openxmlformats.org/officeDocument/2006/relationships/hyperlink" Target="http://www.nuffieldfoundation.org/news/ai-ethics-must-move-beyond-lists-principles-new-report" TargetMode="External"/><Relationship Id="rId3004" Type="http://schemas.openxmlformats.org/officeDocument/2006/relationships/hyperlink" Target="https://mailchi.mp/5ad3a9643b6b/alignment-newsletter-21" TargetMode="External"/><Relationship Id="rId1257" Type="http://schemas.openxmlformats.org/officeDocument/2006/relationships/hyperlink" Target="https://www.alexirpan.com/2020/08/18/ai-timelines.html" TargetMode="External"/><Relationship Id="rId2588" Type="http://schemas.openxmlformats.org/officeDocument/2006/relationships/hyperlink" Target="https://mailchi.mp/1e757d9b05cb/alignment-newsletter-52" TargetMode="External"/><Relationship Id="rId1258" Type="http://schemas.openxmlformats.org/officeDocument/2006/relationships/hyperlink" Target="https://aiimpacts.org/relevant-pre-agi-possibilities/" TargetMode="External"/><Relationship Id="rId2589" Type="http://schemas.openxmlformats.org/officeDocument/2006/relationships/hyperlink" Target="https://medium.com/@deepmindsafetyresearch/understanding-agent-incentives-with-causal-influence-diagrams-7262c2512486" TargetMode="External"/><Relationship Id="rId1259" Type="http://schemas.openxmlformats.org/officeDocument/2006/relationships/hyperlink" Target="https://mailchi.mp/be2a0d160fa2/an-105-the-economic-trajectory-of-humanity-and-what-we-might-mean-by-optimization" TargetMode="External"/><Relationship Id="rId426" Type="http://schemas.openxmlformats.org/officeDocument/2006/relationships/hyperlink" Target="https://futureoflife.org/2020/02/28/distributing-the-benefits-of-ai-via-the-windfall-clause-with-cullen-okeefe/" TargetMode="External"/><Relationship Id="rId425" Type="http://schemas.openxmlformats.org/officeDocument/2006/relationships/hyperlink" Target="https://mailchi.mp/76ad355daab7/an-89-a-unifying-formalism-for-preference-learning-algorithms" TargetMode="External"/><Relationship Id="rId424" Type="http://schemas.openxmlformats.org/officeDocument/2006/relationships/hyperlink" Target="https://futureoflife.org/2020/02/17/on-the-long-term-importance-of-current-ai-policy-with-nicolas-moes-and-jared-brown/" TargetMode="External"/><Relationship Id="rId423" Type="http://schemas.openxmlformats.org/officeDocument/2006/relationships/hyperlink" Target="https://mailchi.mp/a1ae6b62df21/alignment-newsletter-9" TargetMode="External"/><Relationship Id="rId429" Type="http://schemas.openxmlformats.org/officeDocument/2006/relationships/hyperlink" Target="https://mailchi.mp/9d279b575b1a/an-88-how-the-principal-agent-literature-relates-to-ai-risk" TargetMode="External"/><Relationship Id="rId428" Type="http://schemas.openxmlformats.org/officeDocument/2006/relationships/hyperlink" Target="https://www.fhi.ox.ac.uk/wp-content/uploads/Patents_-FHI-Working-Paper-Final-.pdf" TargetMode="External"/><Relationship Id="rId427" Type="http://schemas.openxmlformats.org/officeDocument/2006/relationships/hyperlink" Target="https://mailchi.mp/76ad355daab7/an-89-a-unifying-formalism-for-preference-learning-algorithms" TargetMode="External"/><Relationship Id="rId2580" Type="http://schemas.openxmlformats.org/officeDocument/2006/relationships/hyperlink" Target="https://mailchi.mp/e402599bfb1f/reconnaissance-4" TargetMode="External"/><Relationship Id="rId1250" Type="http://schemas.openxmlformats.org/officeDocument/2006/relationships/hyperlink" Target="https://www.lesswrong.com/posts/YMokuZdoY9tEDHjzv/agi-predictions" TargetMode="External"/><Relationship Id="rId2581" Type="http://schemas.openxmlformats.org/officeDocument/2006/relationships/hyperlink" Target="https://www.lesserwrong.com/posts/8FRzErffqEW9gDCCW/against-the-linear-utility-hypothesis-and-the-leverage" TargetMode="External"/><Relationship Id="rId1251" Type="http://schemas.openxmlformats.org/officeDocument/2006/relationships/hyperlink" Target="https://mailchi.mp/f66847de2ef8/an-128prioritizing-research-on-ai-existential-safety-based-on-its-application-to-governance-demands" TargetMode="External"/><Relationship Id="rId2582" Type="http://schemas.openxmlformats.org/officeDocument/2006/relationships/hyperlink" Target="http://www.metaethical.ai/v20-1/" TargetMode="External"/><Relationship Id="rId1252" Type="http://schemas.openxmlformats.org/officeDocument/2006/relationships/hyperlink" Target="http://dmip.webs.upv.es/EPAI2020/papers/EPAI_2020_paper_4.pdf" TargetMode="External"/><Relationship Id="rId2583" Type="http://schemas.openxmlformats.org/officeDocument/2006/relationships/hyperlink" Target="https://mailchi.mp/2fbece2a4915/an-98understanding-neural-net-training-by-seeing-which-gradients-were-helpful" TargetMode="External"/><Relationship Id="rId422" Type="http://schemas.openxmlformats.org/officeDocument/2006/relationships/hyperlink" Target="https://www.nytimes.com/2018/05/30/technology/google-project-maven-pentagon.html" TargetMode="External"/><Relationship Id="rId1253" Type="http://schemas.openxmlformats.org/officeDocument/2006/relationships/hyperlink" Target="https://mailchi.mp/30b144930924/an-119ai-safety-when-agents-are-shaped-by-environments-not-rewards" TargetMode="External"/><Relationship Id="rId2584" Type="http://schemas.openxmlformats.org/officeDocument/2006/relationships/hyperlink" Target="https://montrealethics.ai/approaches-to-deploying-a-safe-artificial-moral-agent/" TargetMode="External"/><Relationship Id="rId421" Type="http://schemas.openxmlformats.org/officeDocument/2006/relationships/hyperlink" Target="https://mailchi.mp/0180cf9ba264/an-90how-search-landscapes-can-contain-self-reinforcing-feedback-loops" TargetMode="External"/><Relationship Id="rId1254" Type="http://schemas.openxmlformats.org/officeDocument/2006/relationships/hyperlink" Target="http://dmip.webs.upv.es/EPAI2020/papers/EPAI_2020_paper_11.pdf?fbclid=IwAR15Z0CMX4rBBUJEHhn6NdcMK2ZCF07pPpkcmfD36_oEI9WhV310bRkbaiQ" TargetMode="External"/><Relationship Id="rId2585" Type="http://schemas.openxmlformats.org/officeDocument/2006/relationships/hyperlink" Target="https://mailchi.mp/2fbece2a4915/an-98understanding-neural-net-training-by-seeing-which-gradients-were-helpful" TargetMode="External"/><Relationship Id="rId420" Type="http://schemas.openxmlformats.org/officeDocument/2006/relationships/hyperlink" Target="https://www.cser.ac.uk/resources/beyond-near-long-term/" TargetMode="External"/><Relationship Id="rId1255" Type="http://schemas.openxmlformats.org/officeDocument/2006/relationships/hyperlink" Target="https://mailchi.mp/2f9c49ea473f/an-115ai-safety-research-problems-in-the-ai-ga-framework" TargetMode="External"/><Relationship Id="rId2586" Type="http://schemas.openxmlformats.org/officeDocument/2006/relationships/hyperlink" Target="https://arxiv.org/abs/1805.08915" TargetMode="External"/><Relationship Id="rId1256" Type="http://schemas.openxmlformats.org/officeDocument/2006/relationships/hyperlink" Target="https://jack-clark.net/2020/08/31/import-ai-212-robots-are-getting-smart-humansmachines-trouble-says-dhs-a-10k-product-dataset/" TargetMode="External"/><Relationship Id="rId2587" Type="http://schemas.openxmlformats.org/officeDocument/2006/relationships/hyperlink" Target="https://mailchi.mp/15397ab6f65c/alignment-newsletter-8" TargetMode="External"/><Relationship Id="rId1246" Type="http://schemas.openxmlformats.org/officeDocument/2006/relationships/hyperlink" Target="https://aiimpacts.org/are-human-engineered-flight-designs-better-or-worse-than-natural-ones/" TargetMode="External"/><Relationship Id="rId2577" Type="http://schemas.openxmlformats.org/officeDocument/2006/relationships/hyperlink" Target="https://mailchi.mp/be2a0d160fa2/an-105-the-economic-trajectory-of-humanity-and-what-we-might-mean-by-optimization" TargetMode="External"/><Relationship Id="rId1247" Type="http://schemas.openxmlformats.org/officeDocument/2006/relationships/hyperlink" Target="https://mailchi.mp/395179bd3c3d/an-132complex-and-subtly-incorrect-arguments-as-an-obstacle-to-debate" TargetMode="External"/><Relationship Id="rId2578" Type="http://schemas.openxmlformats.org/officeDocument/2006/relationships/hyperlink" Target="https://www.alignmentforum.org/posts/teCsd4Aqg9KDxkaC9/bootstrapped-alignment" TargetMode="External"/><Relationship Id="rId1248" Type="http://schemas.openxmlformats.org/officeDocument/2006/relationships/hyperlink" Target="https://ought.org/updates/2020-10-09-forecasting" TargetMode="External"/><Relationship Id="rId2579" Type="http://schemas.openxmlformats.org/officeDocument/2006/relationships/hyperlink" Target="https://www.lesserwrong.com/posts/mBFqG3xjYazsPiZkH/more-on-the-linear-utility-hypothesis-and-the-leverage-prior" TargetMode="External"/><Relationship Id="rId1249" Type="http://schemas.openxmlformats.org/officeDocument/2006/relationships/hyperlink" Target="https://mailchi.mp/bc9b18b1f0be/an-129explaining-double-descent-by-measuring-bias-and-variance" TargetMode="External"/><Relationship Id="rId415" Type="http://schemas.openxmlformats.org/officeDocument/2006/relationships/hyperlink" Target="https://maliciousaireport.com/" TargetMode="External"/><Relationship Id="rId414" Type="http://schemas.openxmlformats.org/officeDocument/2006/relationships/hyperlink" Target="https://mailchi.mp/33af21f908b5/reconnaissance-5" TargetMode="External"/><Relationship Id="rId413" Type="http://schemas.openxmlformats.org/officeDocument/2006/relationships/hyperlink" Target="https://giorgiop.github.io/posts/2018/03/17/AI-and-digital-forgery/" TargetMode="External"/><Relationship Id="rId412" Type="http://schemas.openxmlformats.org/officeDocument/2006/relationships/hyperlink" Target="https://mailchi.mp/33af21f908b5/reconnaissance-5" TargetMode="External"/><Relationship Id="rId419" Type="http://schemas.openxmlformats.org/officeDocument/2006/relationships/hyperlink" Target="https://mailchi.mp/0180cf9ba264/an-90how-search-landscapes-can-contain-self-reinforcing-feedback-loops" TargetMode="External"/><Relationship Id="rId418" Type="http://schemas.openxmlformats.org/officeDocument/2006/relationships/hyperlink" Target="https://www.cser.ac.uk/resources/activism-ai-community-analysing-recent-achievements-and-future-prospects/" TargetMode="External"/><Relationship Id="rId417" Type="http://schemas.openxmlformats.org/officeDocument/2006/relationships/hyperlink" Target="https://mailchi.mp/f534bdc85c58/an-96-buck-and-i-discussargue-about-ai-alignment" TargetMode="External"/><Relationship Id="rId416" Type="http://schemas.openxmlformats.org/officeDocument/2006/relationships/hyperlink" Target="https://www.armscontrol.org/act/2020-04/features/skynet-revisited-dangerous-allure-nuclear-command-automation" TargetMode="External"/><Relationship Id="rId2570" Type="http://schemas.openxmlformats.org/officeDocument/2006/relationships/hyperlink" Target="https://www.alignmentforum.org/posts/2dKvTYYN4PTT7g4of/knowledge-manipulation-and-free-will" TargetMode="External"/><Relationship Id="rId1240" Type="http://schemas.openxmlformats.org/officeDocument/2006/relationships/hyperlink" Target="http://gcrinstitute.org/2020-survey-of-artificial-general-intelligence-projects-for-ethics-risk-and-policy/" TargetMode="External"/><Relationship Id="rId2571" Type="http://schemas.openxmlformats.org/officeDocument/2006/relationships/hyperlink" Target="https://mailchi.mp/051273eb96eb/an-122arguing-for-agi-driven-existential-risk-from-first-principles" TargetMode="External"/><Relationship Id="rId1241" Type="http://schemas.openxmlformats.org/officeDocument/2006/relationships/hyperlink" Target="https://mailchi.mp/e7cec4ed9117/an-138why-ai-governance-should-find-problems-rather-than-just-solving-them" TargetMode="External"/><Relationship Id="rId2572" Type="http://schemas.openxmlformats.org/officeDocument/2006/relationships/hyperlink" Target="https://www.alignmentforum.org/posts/HkWB5KCJQ2aLsMzjt/locality-of-goals" TargetMode="External"/><Relationship Id="rId411" Type="http://schemas.openxmlformats.org/officeDocument/2006/relationships/hyperlink" Target="https://www.fhi.ox.ac.uk/wp-content/uploads/Deciphering_Chinas_AI-Dream.pdf" TargetMode="External"/><Relationship Id="rId1242" Type="http://schemas.openxmlformats.org/officeDocument/2006/relationships/hyperlink" Target="https://howthehell.substack.com/p/general-purpose-robots" TargetMode="External"/><Relationship Id="rId2573" Type="http://schemas.openxmlformats.org/officeDocument/2006/relationships/hyperlink" Target="https://mailchi.mp/df363224d0e4/an-107-the-convergent-instrumental-subgoals-of-goal-directed-agents" TargetMode="External"/><Relationship Id="rId410" Type="http://schemas.openxmlformats.org/officeDocument/2006/relationships/hyperlink" Target="https://mailchi.mp/33af21f908b5/reconnaissance-5" TargetMode="External"/><Relationship Id="rId1243" Type="http://schemas.openxmlformats.org/officeDocument/2006/relationships/hyperlink" Target="https://mailchi.mp/e7cec4ed9117/an-138why-ai-governance-should-find-problems-rather-than-just-solving-them" TargetMode="External"/><Relationship Id="rId2574" Type="http://schemas.openxmlformats.org/officeDocument/2006/relationships/hyperlink" Target="https://www.alignmentforum.org/posts/d4NgfKY3cq9yiBLSM/goals-and-short-descriptions" TargetMode="External"/><Relationship Id="rId1244" Type="http://schemas.openxmlformats.org/officeDocument/2006/relationships/hyperlink" Target="https://www.alignmentforum.org/posts/HhWhaSzQr6xmBki8F/birds-planes-brains-and-ai-against-appeals-to-the-complexity" TargetMode="External"/><Relationship Id="rId2575" Type="http://schemas.openxmlformats.org/officeDocument/2006/relationships/hyperlink" Target="https://mailchi.mp/df363224d0e4/an-107-the-convergent-instrumental-subgoals-of-goal-directed-agents" TargetMode="External"/><Relationship Id="rId1245" Type="http://schemas.openxmlformats.org/officeDocument/2006/relationships/hyperlink" Target="https://mailchi.mp/35524c8e5e8d/an-134underspecification-as-a-cause-of-fragility-to-distribution-shift" TargetMode="External"/><Relationship Id="rId2576" Type="http://schemas.openxmlformats.org/officeDocument/2006/relationships/hyperlink" Target="https://www.alignmentforum.org/posts/QSBgGv8byWMjmaGE5/preparing-for-the-talk-with-ai-projects" TargetMode="External"/><Relationship Id="rId1279" Type="http://schemas.openxmlformats.org/officeDocument/2006/relationships/hyperlink" Target="https://mailchi.mp/3e550712419a/alignment-newsletter-7" TargetMode="External"/><Relationship Id="rId448" Type="http://schemas.openxmlformats.org/officeDocument/2006/relationships/hyperlink" Target="https://mailchi.mp/cac125522aa3/an-72-alignment-robustness-methodology-and-system-building-as-research-priorities-for-ai-safety" TargetMode="External"/><Relationship Id="rId447" Type="http://schemas.openxmlformats.org/officeDocument/2006/relationships/hyperlink" Target="https://www.newamerica.org/cybersecurity-initiative/digichina/blog/special-report-ai-policy-and-china-realities-of-state-led-development/" TargetMode="External"/><Relationship Id="rId446" Type="http://schemas.openxmlformats.org/officeDocument/2006/relationships/hyperlink" Target="https://mailchi.mp/ef55eb52b0fd/an-73-detecting-catastrophic-failures-by-learning-how-agents-tend-to-break" TargetMode="External"/><Relationship Id="rId445" Type="http://schemas.openxmlformats.org/officeDocument/2006/relationships/hyperlink" Target="https://openai.com/blog/gpt-2-1-5b-release/" TargetMode="External"/><Relationship Id="rId449" Type="http://schemas.openxmlformats.org/officeDocument/2006/relationships/hyperlink" Target="https://jobs.lever.co/openai/638c06a8-4058-4c3d-9aef-6ee0528fb3bf" TargetMode="External"/><Relationship Id="rId1270" Type="http://schemas.openxmlformats.org/officeDocument/2006/relationships/hyperlink" Target="https://www.lesswrong.com/posts/9G6CCNXkA7JZoorpY/ai-forecasting-resolution-council-forecasting-infrastructure" TargetMode="External"/><Relationship Id="rId440" Type="http://schemas.openxmlformats.org/officeDocument/2006/relationships/hyperlink" Target="https://mailchi.mp/15397ab6f65c/alignment-newsletter-8" TargetMode="External"/><Relationship Id="rId1271" Type="http://schemas.openxmlformats.org/officeDocument/2006/relationships/hyperlink" Target="https://mailchi.mp/3d4e6c2c206f/an-65learning-useful-skills-by-watching-humans-play" TargetMode="External"/><Relationship Id="rId1272" Type="http://schemas.openxmlformats.org/officeDocument/2006/relationships/hyperlink" Target="https://www.lesswrong.com/posts/yy3FCmdAbgSLePD7H/how-to-write-good-ai-forecasting-questions-question-database" TargetMode="External"/><Relationship Id="rId1273" Type="http://schemas.openxmlformats.org/officeDocument/2006/relationships/hyperlink" Target="https://mailchi.mp/3d4e6c2c206f/an-65learning-useful-skills-by-watching-humans-play" TargetMode="External"/><Relationship Id="rId1274" Type="http://schemas.openxmlformats.org/officeDocument/2006/relationships/hyperlink" Target="https://aiimpacts.org/historical-growth-trends/" TargetMode="External"/><Relationship Id="rId444" Type="http://schemas.openxmlformats.org/officeDocument/2006/relationships/hyperlink" Target="https://mailchi.mp/49c956f84771/an-74separating-beneficial-ai-into-competence-alignment-and-coping-with-impacts" TargetMode="External"/><Relationship Id="rId1275" Type="http://schemas.openxmlformats.org/officeDocument/2006/relationships/hyperlink" Target="https://mailchi.mp/1e757d9b05cb/alignment-newsletter-52" TargetMode="External"/><Relationship Id="rId443" Type="http://schemas.openxmlformats.org/officeDocument/2006/relationships/hyperlink" Target="https://forum.effectivealtruism.org/posts/XGPW25NZHq2WHbK9w/ai-policy-careers-in-the-eu" TargetMode="External"/><Relationship Id="rId1276" Type="http://schemas.openxmlformats.org/officeDocument/2006/relationships/hyperlink" Target="https://aiimpacts.org/agi-11-survey/" TargetMode="External"/><Relationship Id="rId442" Type="http://schemas.openxmlformats.org/officeDocument/2006/relationships/hyperlink" Target="https://mailchi.mp/3e34fa1f299a/an-75-solving-atari-and-go-with-learned-game-models-and-thoughts-from-a-miri-employee" TargetMode="External"/><Relationship Id="rId1277" Type="http://schemas.openxmlformats.org/officeDocument/2006/relationships/hyperlink" Target="https://mailchi.mp/8f5d302499be/alignment-newsletter-32" TargetMode="External"/><Relationship Id="rId441" Type="http://schemas.openxmlformats.org/officeDocument/2006/relationships/hyperlink" Target="https://futureoflife.org/2019/11/15/machine-ethics-and-ai-governance-with-wendell-wallach/" TargetMode="External"/><Relationship Id="rId1278" Type="http://schemas.openxmlformats.org/officeDocument/2006/relationships/hyperlink" Target="http://nautil.us/issue/59/connections/why-is-the-human-brain-so-efficient" TargetMode="External"/><Relationship Id="rId1268" Type="http://schemas.openxmlformats.org/officeDocument/2006/relationships/hyperlink" Target="https://www.lesswrong.com/posts/8y7DcSF4eAkXoru4u/ai-forecasting-dictionary-forecasting-infrastructure-part-1-2" TargetMode="External"/><Relationship Id="rId2599" Type="http://schemas.openxmlformats.org/officeDocument/2006/relationships/hyperlink" Target="https://www.lesswrong.com/posts/ikN9qQEkrFuPtYd6Y/safely-and-usefully-spectating-on-ais-optimizing-over-toy" TargetMode="External"/><Relationship Id="rId1269" Type="http://schemas.openxmlformats.org/officeDocument/2006/relationships/hyperlink" Target="https://mailchi.mp/3d4e6c2c206f/an-65learning-useful-skills-by-watching-humans-play" TargetMode="External"/><Relationship Id="rId437" Type="http://schemas.openxmlformats.org/officeDocument/2006/relationships/hyperlink" Target="https://mailchi.mp/15397ab6f65c/alignment-newsletter-8" TargetMode="External"/><Relationship Id="rId436" Type="http://schemas.openxmlformats.org/officeDocument/2006/relationships/hyperlink" Target="https://www.wired.com/story/the-us-needs-an-ai-strategy/" TargetMode="External"/><Relationship Id="rId435" Type="http://schemas.openxmlformats.org/officeDocument/2006/relationships/hyperlink" Target="https://mailchi.mp/9d279b575b1a/an-88-how-the-principal-agent-literature-relates-to-ai-risk" TargetMode="External"/><Relationship Id="rId434" Type="http://schemas.openxmlformats.org/officeDocument/2006/relationships/hyperlink" Target="http://gcrinstitute.org/papers/lessons.pdf" TargetMode="External"/><Relationship Id="rId439" Type="http://schemas.openxmlformats.org/officeDocument/2006/relationships/hyperlink" Target="https://www.whitehouse.gov/wp-content/uploads/2018/05/Summary-Report-of-White-House-AI-Summit.pdf?latest" TargetMode="External"/><Relationship Id="rId438" Type="http://schemas.openxmlformats.org/officeDocument/2006/relationships/hyperlink" Target="https://www.cantwell.senate.gov/news/press-releases/cantwell-bipartisan-colleagues-introduce-bill-to-further-understand-and-promote-development-of-artificial-intelligence-drive-economic-opportunity" TargetMode="External"/><Relationship Id="rId2590" Type="http://schemas.openxmlformats.org/officeDocument/2006/relationships/hyperlink" Target="https://mailchi.mp/efed27be268a/alignment-newsletter-49" TargetMode="External"/><Relationship Id="rId1260" Type="http://schemas.openxmlformats.org/officeDocument/2006/relationships/hyperlink" Target="https://www.alignmentforum.org/posts/C9YMrPAyMXfB8cLPb/more-on-disambiguating-discontinuity" TargetMode="External"/><Relationship Id="rId2591" Type="http://schemas.openxmlformats.org/officeDocument/2006/relationships/hyperlink" Target="https://www.alignmentforum.org/posts/yf4KcTyk2hoXZh9x4/beliefs-at-different-timescales" TargetMode="External"/><Relationship Id="rId1261" Type="http://schemas.openxmlformats.org/officeDocument/2006/relationships/hyperlink" Target="https://mailchi.mp/ba4d1765368f/an-104-the-perils-of-inaccessible-information-and-what-we-can-learn-about-ai-alignment-from-covid" TargetMode="External"/><Relationship Id="rId2592" Type="http://schemas.openxmlformats.org/officeDocument/2006/relationships/hyperlink" Target="https://mailchi.mp/8f5d302499be/alignment-newsletter-32" TargetMode="External"/><Relationship Id="rId1262" Type="http://schemas.openxmlformats.org/officeDocument/2006/relationships/hyperlink" Target="https://www.alignmentforum.org/posts/5WECpYABCT62TJrhY/will-ai-undergo-discontinuous-progress" TargetMode="External"/><Relationship Id="rId2593" Type="http://schemas.openxmlformats.org/officeDocument/2006/relationships/hyperlink" Target="https://www.youtube.com/watch?v=9O1fsvzMA6k" TargetMode="External"/><Relationship Id="rId1263" Type="http://schemas.openxmlformats.org/officeDocument/2006/relationships/hyperlink" Target="https://mailchi.mp/1acb030735dd/an-91concepts-implementations-problems-and-a-benchmark-for-impact-measurement" TargetMode="External"/><Relationship Id="rId2594" Type="http://schemas.openxmlformats.org/officeDocument/2006/relationships/hyperlink" Target="https://mailchi.mp/df2e472140b6/alignment-newsletter-28" TargetMode="External"/><Relationship Id="rId433" Type="http://schemas.openxmlformats.org/officeDocument/2006/relationships/hyperlink" Target="https://mailchi.mp/9d279b575b1a/an-88-how-the-principal-agent-literature-relates-to-ai-risk" TargetMode="External"/><Relationship Id="rId1264" Type="http://schemas.openxmlformats.org/officeDocument/2006/relationships/hyperlink" Target="https://www.lesswrong.com/posts/XjuT9vgBfwXPxsdfN/might-humans-not-be-the-most-intelligent-animals" TargetMode="External"/><Relationship Id="rId2595" Type="http://schemas.openxmlformats.org/officeDocument/2006/relationships/hyperlink" Target="https://www.alignmentforum.org/posts/4g29JgtbJ283iJ3Bh/petrov-corrigibility" TargetMode="External"/><Relationship Id="rId432" Type="http://schemas.openxmlformats.org/officeDocument/2006/relationships/hyperlink" Target="https://www.cser.ac.uk/media/uploads/files/Cihon_et_al-_2019-_Should_AI_Governance_be_Centralised.pdf" TargetMode="External"/><Relationship Id="rId1265" Type="http://schemas.openxmlformats.org/officeDocument/2006/relationships/hyperlink" Target="https://mailchi.mp/8d9e3703fbde/an-79-recursive-reward-modeling-as-an-alignment-technique-integrated-with-deep-rl" TargetMode="External"/><Relationship Id="rId2596" Type="http://schemas.openxmlformats.org/officeDocument/2006/relationships/hyperlink" Target="https://mailchi.mp/d7b5059d64ed/alignment-newsletter-24" TargetMode="External"/><Relationship Id="rId431" Type="http://schemas.openxmlformats.org/officeDocument/2006/relationships/hyperlink" Target="https://mailchi.mp/9d279b575b1a/an-88-how-the-principal-agent-literature-relates-to-ai-risk" TargetMode="External"/><Relationship Id="rId1266" Type="http://schemas.openxmlformats.org/officeDocument/2006/relationships/hyperlink" Target="https://aiimpacts.org/etzioni-2016-survey/" TargetMode="External"/><Relationship Id="rId2597" Type="http://schemas.openxmlformats.org/officeDocument/2006/relationships/hyperlink" Target="https://www.lesswrong.com/posts/a4tcqr7QBAgMHLbcz/book-review-ai-safety-and-security" TargetMode="External"/><Relationship Id="rId430" Type="http://schemas.openxmlformats.org/officeDocument/2006/relationships/hyperlink" Target="https://arxiv.org/abs/2001.05068" TargetMode="External"/><Relationship Id="rId1267" Type="http://schemas.openxmlformats.org/officeDocument/2006/relationships/hyperlink" Target="https://mailchi.mp/ef55eb52b0fd/an-73-detecting-catastrophic-failures-by-learning-how-agents-tend-to-break" TargetMode="External"/><Relationship Id="rId2598" Type="http://schemas.openxmlformats.org/officeDocument/2006/relationships/hyperlink" Target="https://mailchi.mp/5ad3a9643b6b/alignment-newsletter-21" TargetMode="External"/><Relationship Id="rId3070" Type="http://schemas.openxmlformats.org/officeDocument/2006/relationships/hyperlink" Target="https://avoiding-side-effects.github.io/" TargetMode="External"/><Relationship Id="rId3072" Type="http://schemas.openxmlformats.org/officeDocument/2006/relationships/hyperlink" Target="https://mailchi.mp/7ba40faa7eed/an-82-how-openai-five-distributed-their-training-computation" TargetMode="External"/><Relationship Id="rId3071" Type="http://schemas.openxmlformats.org/officeDocument/2006/relationships/hyperlink" Target="https://www.alignmentforum.org/posts/megKzKKsoecdYqwb7/when-goodharting-is-optimal-linear-vs-diminishing-returns" TargetMode="External"/><Relationship Id="rId3074" Type="http://schemas.openxmlformats.org/officeDocument/2006/relationships/hyperlink" Target="https://mailchi.mp/c1f376f3a12e/alignment-newsletter-30" TargetMode="External"/><Relationship Id="rId3073" Type="http://schemas.openxmlformats.org/officeDocument/2006/relationships/hyperlink" Target="https://www.alignmentforum.org/posts/owdBiF8pj6Lpwwdup/addressing-three-problems-with-counterfactual-corrigibility" TargetMode="External"/><Relationship Id="rId3076" Type="http://schemas.openxmlformats.org/officeDocument/2006/relationships/hyperlink" Target="https://mailchi.mp/62ef1fe8c13a/an-123inferring-what-is-valuable-in-order-to-align-recommender-systems" TargetMode="External"/><Relationship Id="rId3075" Type="http://schemas.openxmlformats.org/officeDocument/2006/relationships/hyperlink" Target="https://arxiv.org/abs/2010.02846" TargetMode="External"/><Relationship Id="rId3078" Type="http://schemas.openxmlformats.org/officeDocument/2006/relationships/hyperlink" Target="https://mailchi.mp/87c0d944c461/an-68-the-attainable-utility-theory-of-impact" TargetMode="External"/><Relationship Id="rId3077" Type="http://schemas.openxmlformats.org/officeDocument/2006/relationships/hyperlink" Target="http://arxiv.org/abs/1910.01074" TargetMode="External"/><Relationship Id="rId3079" Type="http://schemas.openxmlformats.org/officeDocument/2006/relationships/hyperlink" Target="https://www.alignmentforum.org/posts/ehLX2RdbD5ZkeJyuJ/optimization-regularization-through-time-penalty" TargetMode="External"/><Relationship Id="rId3061" Type="http://schemas.openxmlformats.org/officeDocument/2006/relationships/hyperlink" Target="https://mailchi.mp/051273eb96eb/an-122arguing-for-agi-driven-existential-risk-from-first-principles" TargetMode="External"/><Relationship Id="rId3060" Type="http://schemas.openxmlformats.org/officeDocument/2006/relationships/hyperlink" Target="https://arxiv.org/abs/2010.07877" TargetMode="External"/><Relationship Id="rId3063" Type="http://schemas.openxmlformats.org/officeDocument/2006/relationships/hyperlink" Target="https://mailchi.mp/c85a95604c5c/an-117how-neural-nets-would-fare-under-the-tevv-framework" TargetMode="External"/><Relationship Id="rId3062" Type="http://schemas.openxmlformats.org/officeDocument/2006/relationships/hyperlink" Target="https://arxiv.org/abs/2008.12146" TargetMode="External"/><Relationship Id="rId3065" Type="http://schemas.openxmlformats.org/officeDocument/2006/relationships/hyperlink" Target="https://mailchi.mp/7ad36e25be22/alignment-newsletter-11" TargetMode="External"/><Relationship Id="rId3064" Type="http://schemas.openxmlformats.org/officeDocument/2006/relationships/hyperlink" Target="https://www.lesswrong.com/posts/H7KB44oKoSjSCkpzL/worrying-about-the-vase-whitelisting" TargetMode="External"/><Relationship Id="rId3067" Type="http://schemas.openxmlformats.org/officeDocument/2006/relationships/hyperlink" Target="https://mailchi.mp/05518aad6baf/an-108why-we-should-scrutinize-arguments-for-ai-risk" TargetMode="External"/><Relationship Id="rId3066" Type="http://schemas.openxmlformats.org/officeDocument/2006/relationships/hyperlink" Target="https://www.alignmentforum.org/posts/w8QBmgQwb83vDMXoz/dynamic-inconsistency-of-the-inaction-and-initial-state" TargetMode="External"/><Relationship Id="rId3069" Type="http://schemas.openxmlformats.org/officeDocument/2006/relationships/hyperlink" Target="https://mailchi.mp/be2a0d160fa2/an-105-the-economic-trajectory-of-humanity-and-what-we-might-mean-by-optimization" TargetMode="External"/><Relationship Id="rId3068" Type="http://schemas.openxmlformats.org/officeDocument/2006/relationships/hyperlink" Target="https://arxiv.org/abs/2006.06547" TargetMode="External"/><Relationship Id="rId3090" Type="http://schemas.openxmlformats.org/officeDocument/2006/relationships/hyperlink" Target="https://mailchi.mp/49c956f84771/an-74separating-beneficial-ai-into-competence-alignment-and-coping-with-impacts" TargetMode="External"/><Relationship Id="rId3092" Type="http://schemas.openxmlformats.org/officeDocument/2006/relationships/hyperlink" Target="https://mailchi.mp/3e2f43012b07/an-54-boxing-a-finite-horizon-ai-system-to-keep-it-unambitious" TargetMode="External"/><Relationship Id="rId3091" Type="http://schemas.openxmlformats.org/officeDocument/2006/relationships/hyperlink" Target="https://www.ai-safety.org/" TargetMode="External"/><Relationship Id="rId3094" Type="http://schemas.openxmlformats.org/officeDocument/2006/relationships/hyperlink" Target="https://mailchi.mp/9295c961b39b/alignment-newsletter-23" TargetMode="External"/><Relationship Id="rId3093" Type="http://schemas.openxmlformats.org/officeDocument/2006/relationships/hyperlink" Target="http://arxiv.org/abs/1807.05185" TargetMode="External"/><Relationship Id="rId3096" Type="http://schemas.openxmlformats.org/officeDocument/2006/relationships/hyperlink" Target="https://mailchi.mp/f2950ed2ac4b/alignment-newsletter-16" TargetMode="External"/><Relationship Id="rId3095" Type="http://schemas.openxmlformats.org/officeDocument/2006/relationships/hyperlink" Target="https://www.lesswrong.com/posts/CaPgNwxEFHh3Ahvf7/pascal-s-muggle-pays" TargetMode="External"/><Relationship Id="rId3098" Type="http://schemas.openxmlformats.org/officeDocument/2006/relationships/hyperlink" Target="https://mailchi.mp/395179bd3c3d/an-132complex-and-subtly-incorrect-arguments-as-an-obstacle-to-debate" TargetMode="External"/><Relationship Id="rId3097" Type="http://schemas.openxmlformats.org/officeDocument/2006/relationships/hyperlink" Target="https://bair.berkeley.edu/blog/2020/12/20/lmmem/" TargetMode="External"/><Relationship Id="rId3099" Type="http://schemas.openxmlformats.org/officeDocument/2006/relationships/hyperlink" Target="http://www.cleverhans.io/privacy/2018/04/29/privacy-and-machine-learning.html" TargetMode="External"/><Relationship Id="rId3081" Type="http://schemas.openxmlformats.org/officeDocument/2006/relationships/hyperlink" Target="http://arxiv.org/abs/1807.08060" TargetMode="External"/><Relationship Id="rId3080" Type="http://schemas.openxmlformats.org/officeDocument/2006/relationships/hyperlink" Target="https://mailchi.mp/b649f32b07da/alignment-newsletter-40" TargetMode="External"/><Relationship Id="rId3083" Type="http://schemas.openxmlformats.org/officeDocument/2006/relationships/hyperlink" Target="http://arxiv.org/abs/1811.03653" TargetMode="External"/><Relationship Id="rId3082" Type="http://schemas.openxmlformats.org/officeDocument/2006/relationships/hyperlink" Target="https://mailchi.mp/ad852629e45a/alignment-newsletter-17" TargetMode="External"/><Relationship Id="rId3085" Type="http://schemas.openxmlformats.org/officeDocument/2006/relationships/hyperlink" Target="https://www.alignmentforum.org/posts/yEa7kwoMpsBgaBCgb/towards-a-new-impact-measure" TargetMode="External"/><Relationship Id="rId3084" Type="http://schemas.openxmlformats.org/officeDocument/2006/relationships/hyperlink" Target="https://mailchi.mp/588354e4b91d/alignment-newsletter-38" TargetMode="External"/><Relationship Id="rId3087" Type="http://schemas.openxmlformats.org/officeDocument/2006/relationships/hyperlink" Target="https://www.alignmentforum.org/posts/6EMdmeosYPdn74wuG/wireheading-as-a-potential-problem-with-the-new-impact" TargetMode="External"/><Relationship Id="rId3086" Type="http://schemas.openxmlformats.org/officeDocument/2006/relationships/hyperlink" Target="https://mailchi.mp/1ecd1b775703/alignment-newsletter-26" TargetMode="External"/><Relationship Id="rId3089" Type="http://schemas.openxmlformats.org/officeDocument/2006/relationships/hyperlink" Target="https://openai.com/blog/ai-and-compute/" TargetMode="External"/><Relationship Id="rId3088" Type="http://schemas.openxmlformats.org/officeDocument/2006/relationships/hyperlink" Target="https://mailchi.mp/1ecd1b775703/alignment-newsletter-26" TargetMode="External"/><Relationship Id="rId3039" Type="http://schemas.openxmlformats.org/officeDocument/2006/relationships/hyperlink" Target="https://arxiv.org/abs/1711.05541" TargetMode="External"/><Relationship Id="rId1" Type="http://schemas.openxmlformats.org/officeDocument/2006/relationships/hyperlink" Target="http://gradientscience.org/adv/" TargetMode="External"/><Relationship Id="rId2" Type="http://schemas.openxmlformats.org/officeDocument/2006/relationships/hyperlink" Target="https://mailchi.mp/4a1b3c4249ae/an-62are-adversarial-examples-caused-by-real-but-imperceptible-features" TargetMode="External"/><Relationship Id="rId3" Type="http://schemas.openxmlformats.org/officeDocument/2006/relationships/hyperlink" Target="https://distill.pub/2019/advex-bugs-discussion/response-6/" TargetMode="External"/><Relationship Id="rId4" Type="http://schemas.openxmlformats.org/officeDocument/2006/relationships/hyperlink" Target="https://mailchi.mp/4a1b3c4249ae/an-62are-adversarial-examples-caused-by-real-but-imperceptible-features" TargetMode="External"/><Relationship Id="rId3030" Type="http://schemas.openxmlformats.org/officeDocument/2006/relationships/hyperlink" Target="https://www.alignmentforum.org/posts/sYjCeZTwA84pHkhBJ/attainable-utility-has-a-subagent-problem" TargetMode="External"/><Relationship Id="rId9" Type="http://schemas.openxmlformats.org/officeDocument/2006/relationships/hyperlink" Target="https://distill.pub/2019/advex-bugs-discussion/response-1/" TargetMode="External"/><Relationship Id="rId3032" Type="http://schemas.openxmlformats.org/officeDocument/2006/relationships/hyperlink" Target="https://assets.documentcloud.org/documents/6540547/629713.pdf" TargetMode="External"/><Relationship Id="rId3031" Type="http://schemas.openxmlformats.org/officeDocument/2006/relationships/hyperlink" Target="https://mailchi.mp/598f425b1533/an-86-improving-debate-and-factored-cognition-through-human-experiments" TargetMode="External"/><Relationship Id="rId3034" Type="http://schemas.openxmlformats.org/officeDocument/2006/relationships/hyperlink" Target="https://www.alignmentforum.org/posts/zrunBA8B5bmm2XZ59/reversible-changes-consider-a-bucket-of-water" TargetMode="External"/><Relationship Id="rId3033" Type="http://schemas.openxmlformats.org/officeDocument/2006/relationships/hyperlink" Target="https://mailchi.mp/49c956f84771/an-74separating-beneficial-ai-into-competence-alignment-and-coping-with-impacts" TargetMode="External"/><Relationship Id="rId5" Type="http://schemas.openxmlformats.org/officeDocument/2006/relationships/hyperlink" Target="https://distill.pub/2019/advex-bugs-discussion/response-2/" TargetMode="External"/><Relationship Id="rId3036" Type="http://schemas.openxmlformats.org/officeDocument/2006/relationships/hyperlink" Target="http://files.davidqiu.com/research/papers/2019_fisac_Bridging%20Hamilton-Jacobi%20Safety%20Analysis%20and%20Reinforcement%20Learning%20%5BRL%5D%5BConstraints%5D.pdf" TargetMode="External"/><Relationship Id="rId6" Type="http://schemas.openxmlformats.org/officeDocument/2006/relationships/hyperlink" Target="https://mailchi.mp/4a1b3c4249ae/an-62are-adversarial-examples-caused-by-real-but-imperceptible-features" TargetMode="External"/><Relationship Id="rId3035" Type="http://schemas.openxmlformats.org/officeDocument/2006/relationships/hyperlink" Target="https://mailchi.mp/0b74c28413c0/an-64-using-deep-rl-and-reward-uncertainty-to-incentivize-preference-learning" TargetMode="External"/><Relationship Id="rId7" Type="http://schemas.openxmlformats.org/officeDocument/2006/relationships/hyperlink" Target="https://distill.pub/2019/advex-bugs-discussion/response-5/" TargetMode="External"/><Relationship Id="rId3038" Type="http://schemas.openxmlformats.org/officeDocument/2006/relationships/hyperlink" Target="https://mailchi.mp/405e29e1f1cd/an-55-regulatory-markets-and-international-standards-as-a-means-of-ensuring-beneficial-ai" TargetMode="External"/><Relationship Id="rId8" Type="http://schemas.openxmlformats.org/officeDocument/2006/relationships/hyperlink" Target="https://mailchi.mp/4a1b3c4249ae/an-62are-adversarial-examples-caused-by-real-but-imperceptible-features" TargetMode="External"/><Relationship Id="rId3037" Type="http://schemas.openxmlformats.org/officeDocument/2006/relationships/hyperlink" Target="https://mailchi.mp/2abdf19aa813/an-61ai-policy-and-governance-from-two-people-in-the-field" TargetMode="External"/><Relationship Id="rId3029" Type="http://schemas.openxmlformats.org/officeDocument/2006/relationships/hyperlink" Target="https://mailchi.mp/f534bdc85c58/an-96-buck-and-i-discussargue-about-ai-alignment" TargetMode="External"/><Relationship Id="rId3028" Type="http://schemas.openxmlformats.org/officeDocument/2006/relationships/hyperlink" Target="https://www.alignmentforum.org/posts/fSC98Cy3zR9GsEPnT/curiosity-killed-the-cat-and-the-asymptotically-optimal" TargetMode="External"/><Relationship Id="rId3021" Type="http://schemas.openxmlformats.org/officeDocument/2006/relationships/hyperlink" Target="https://mailchi.mp/ca80338dad5a/an-136how-well-will-gpt-n-perform-on-downstream-tasks" TargetMode="External"/><Relationship Id="rId3020" Type="http://schemas.openxmlformats.org/officeDocument/2006/relationships/hyperlink" Target="https://www.alignmentforum.org/posts/5kurn5W62C5CpSWq6/avoiding-side-effects-in-complex-environments" TargetMode="External"/><Relationship Id="rId3023" Type="http://schemas.openxmlformats.org/officeDocument/2006/relationships/hyperlink" Target="https://mailchi.mp/77121cab0cff/an-126-avoiding-wireheading-by-decoupling-action-feedback-from-action-effects" TargetMode="External"/><Relationship Id="rId3022" Type="http://schemas.openxmlformats.org/officeDocument/2006/relationships/hyperlink" Target="http://arxiv.org/abs/2010.14603" TargetMode="External"/><Relationship Id="rId3025" Type="http://schemas.openxmlformats.org/officeDocument/2006/relationships/hyperlink" Target="https://mailchi.mp/77121cab0cff/an-126-avoiding-wireheading-by-decoupling-action-feedback-from-action-effects" TargetMode="External"/><Relationship Id="rId3024" Type="http://schemas.openxmlformats.org/officeDocument/2006/relationships/hyperlink" Target="http://arxiv.org/abs/2010.15920" TargetMode="External"/><Relationship Id="rId3027" Type="http://schemas.openxmlformats.org/officeDocument/2006/relationships/hyperlink" Target="https://mailchi.mp/05518aad6baf/an-108why-we-should-scrutinize-arguments-for-ai-risk" TargetMode="External"/><Relationship Id="rId3026" Type="http://schemas.openxmlformats.org/officeDocument/2006/relationships/hyperlink" Target="https://www.alignmentforum.org/posts/nLhfRpDutEdgr6PKe/tradeoff-between-desirable-properties-for-baseline-choices" TargetMode="External"/><Relationship Id="rId3050" Type="http://schemas.openxmlformats.org/officeDocument/2006/relationships/hyperlink" Target="https://www.alignmentforum.org/posts/C9vj5ZX3KsgFfwXAN/axrp-episode-7-side-effects-with-victoria-krakovna" TargetMode="External"/><Relationship Id="rId3052" Type="http://schemas.openxmlformats.org/officeDocument/2006/relationships/hyperlink" Target="https://www.lesswrong.com/posts/DvmhXysefEyEvXuXS/overcoming-clinginess-in-impact-measures" TargetMode="External"/><Relationship Id="rId3051" Type="http://schemas.openxmlformats.org/officeDocument/2006/relationships/hyperlink" Target="https://mailchi.mp/921dbde2ffac/an-151how-sparsity-in-the-final-layer-makes-a-neural-net-debuggable" TargetMode="External"/><Relationship Id="rId3054" Type="http://schemas.openxmlformats.org/officeDocument/2006/relationships/hyperlink" Target="https://www.lesswrong.com/posts/H7KB44oKoSjSCkpzL/worrying-about-the-vase-whitelisting" TargetMode="External"/><Relationship Id="rId3053" Type="http://schemas.openxmlformats.org/officeDocument/2006/relationships/hyperlink" Target="https://mailchi.mp/4a4bc2286f53/alignment-newsletter-14" TargetMode="External"/><Relationship Id="rId3056" Type="http://schemas.openxmlformats.org/officeDocument/2006/relationships/hyperlink" Target="https://mailchi.mp/9887edab4e73/an-137-quantifying-the-benefits-of-pretraining-on-downstream-task-performance" TargetMode="External"/><Relationship Id="rId3055" Type="http://schemas.openxmlformats.org/officeDocument/2006/relationships/hyperlink" Target="https://arxiv.org/abs/2101.12509" TargetMode="External"/><Relationship Id="rId3058" Type="http://schemas.openxmlformats.org/officeDocument/2006/relationships/hyperlink" Target="https://mailchi.mp/8234356e4b7f/alignment-newsletter-13" TargetMode="External"/><Relationship Id="rId3057" Type="http://schemas.openxmlformats.org/officeDocument/2006/relationships/hyperlink" Target="https://web.eecs.umich.edu/~baveja/Papers/ijcai-2018.pdf" TargetMode="External"/><Relationship Id="rId3059" Type="http://schemas.openxmlformats.org/officeDocument/2006/relationships/hyperlink" Target="https://www.lesswrong.com/posts/H7KB44oKoSjSCkpzL/worrying-about-the-vase-whitelisting" TargetMode="External"/><Relationship Id="rId3041" Type="http://schemas.openxmlformats.org/officeDocument/2006/relationships/hyperlink" Target="https://mailchi.mp/efed27be268a/alignment-newsletter-49" TargetMode="External"/><Relationship Id="rId3040" Type="http://schemas.openxmlformats.org/officeDocument/2006/relationships/hyperlink" Target="https://arxiv.org/abs/1902.09725" TargetMode="External"/><Relationship Id="rId3043" Type="http://schemas.openxmlformats.org/officeDocument/2006/relationships/hyperlink" Target="https://mailchi.mp/6bfac400a0c3/alignment-newsletter-44" TargetMode="External"/><Relationship Id="rId3042" Type="http://schemas.openxmlformats.org/officeDocument/2006/relationships/hyperlink" Target="http://arxiv.org/abs/1901.08021" TargetMode="External"/><Relationship Id="rId3045" Type="http://schemas.openxmlformats.org/officeDocument/2006/relationships/hyperlink" Target="https://mailchi.mp/036ba834bcaf/alignment-newsletter-39" TargetMode="External"/><Relationship Id="rId3044" Type="http://schemas.openxmlformats.org/officeDocument/2006/relationships/hyperlink" Target="https://www.alignmentforum.org/posts/mDTded2Dn7BKRBEPX/penalizing-impact-via-attainable-utility-preservation" TargetMode="External"/><Relationship Id="rId3047" Type="http://schemas.openxmlformats.org/officeDocument/2006/relationships/hyperlink" Target="https://mailchi.mp/c1f376f3a12e/alignment-newsletter-30" TargetMode="External"/><Relationship Id="rId3046" Type="http://schemas.openxmlformats.org/officeDocument/2006/relationships/hyperlink" Target="http://arxiv.org/abs/1810.08700" TargetMode="External"/><Relationship Id="rId3049" Type="http://schemas.openxmlformats.org/officeDocument/2006/relationships/hyperlink" Target="https://mailchi.mp/f2950ed2ac4b/alignment-newsletter-16" TargetMode="External"/><Relationship Id="rId3048" Type="http://schemas.openxmlformats.org/officeDocument/2006/relationships/hyperlink" Target="http://arxiv.org/abs/1807.06096" TargetMode="External"/><Relationship Id="rId3911" Type="http://schemas.openxmlformats.org/officeDocument/2006/relationships/hyperlink" Target="https://arxiv.org/abs/2103.14659" TargetMode="External"/><Relationship Id="rId3910" Type="http://schemas.openxmlformats.org/officeDocument/2006/relationships/hyperlink" Target="https://mailchi.mp/23ad2781da2f/an-144how-language-models-can-also-be-finetuned-for-non-language-tasks" TargetMode="External"/><Relationship Id="rId3913" Type="http://schemas.openxmlformats.org/officeDocument/2006/relationships/hyperlink" Target="http://s-risks.org" TargetMode="External"/><Relationship Id="rId3912" Type="http://schemas.openxmlformats.org/officeDocument/2006/relationships/hyperlink" Target="http://s-risks.org/an-introduction-to-worst-case-ai-safety/" TargetMode="External"/><Relationship Id="rId3915" Type="http://schemas.openxmlformats.org/officeDocument/2006/relationships/hyperlink" Target="https://www.lesswrong.com/posts/pu3ddLSZjjmiiqQfh/another-take-on-agent-foundations-formalizing-zero-shot" TargetMode="External"/><Relationship Id="rId3914" Type="http://schemas.openxmlformats.org/officeDocument/2006/relationships/hyperlink" Target="https://mailchi.mp/4a4bc2286f53/alignment-newsletter-14" TargetMode="External"/><Relationship Id="rId3917" Type="http://schemas.openxmlformats.org/officeDocument/2006/relationships/hyperlink" Target="https://www.lesswrong.com/posts/zEvqFtT4AtTztfYC4/optimization-amplifies" TargetMode="External"/><Relationship Id="rId3916" Type="http://schemas.openxmlformats.org/officeDocument/2006/relationships/hyperlink" Target="https://mailchi.mp/8234356e4b7f/alignment-newsletter-13" TargetMode="External"/><Relationship Id="rId3919" Type="http://schemas.openxmlformats.org/officeDocument/2006/relationships/hyperlink" Target="https://www.cser.ac.uk/resources/ai-paradigms-and-ai-safety-mapping-artefacts-and-techniques-safety-issues/" TargetMode="External"/><Relationship Id="rId3918" Type="http://schemas.openxmlformats.org/officeDocument/2006/relationships/hyperlink" Target="https://mailchi.mp/8234356e4b7f/alignment-newsletter-13" TargetMode="External"/><Relationship Id="rId3900" Type="http://schemas.openxmlformats.org/officeDocument/2006/relationships/hyperlink" Target="https://mailchi.mp/f2950ed2ac4b/alignment-newsletter-16" TargetMode="External"/><Relationship Id="rId3902" Type="http://schemas.openxmlformats.org/officeDocument/2006/relationships/hyperlink" Target="https://forum.effectivealtruism.org/posts/4rMxiyPTPdzaFMyGm/high-impact-careers-in-formal-verification-artificial" TargetMode="External"/><Relationship Id="rId3901" Type="http://schemas.openxmlformats.org/officeDocument/2006/relationships/hyperlink" Target="https://arxiv.org/abs/1806.04067" TargetMode="External"/><Relationship Id="rId3904" Type="http://schemas.openxmlformats.org/officeDocument/2006/relationships/hyperlink" Target="https://futureoflife.org/2018/06/26/a-summary-of-concrete-problems-in-ai-safety/?cn-reloaded=1&amp;utm_source=The+EA+Newsletter&amp;utm_campaign=89f7c4aee5-EMAIL_CAMPAIGN_2018_07_11_11_31&amp;utm_medium=email&amp;utm_term=0_51c1df13ac-89f7c4aee5-309672937" TargetMode="External"/><Relationship Id="rId3903" Type="http://schemas.openxmlformats.org/officeDocument/2006/relationships/hyperlink" Target="https://mailchi.mp/459b1e4f860d/an-152how-weve-overestimated-few-shot-learning-capabilities" TargetMode="External"/><Relationship Id="rId3906" Type="http://schemas.openxmlformats.org/officeDocument/2006/relationships/hyperlink" Target="https://blog.openai.com/concrete-ai-safety-problems/" TargetMode="External"/><Relationship Id="rId3905" Type="http://schemas.openxmlformats.org/officeDocument/2006/relationships/hyperlink" Target="https://mailchi.mp/4920e52dd61b/alignment-newsletter-15" TargetMode="External"/><Relationship Id="rId3908" Type="http://schemas.openxmlformats.org/officeDocument/2006/relationships/hyperlink" Target="https://mailchi.mp/4920e52dd61b/alignment-newsletter-15" TargetMode="External"/><Relationship Id="rId3907" Type="http://schemas.openxmlformats.org/officeDocument/2006/relationships/hyperlink" Target="https://www.lesswrong.com/posts/3kwR2dufdJyJamHQq/mechanistic-transparency-for-machine-learning" TargetMode="External"/><Relationship Id="rId3909" Type="http://schemas.openxmlformats.org/officeDocument/2006/relationships/hyperlink" Target="https://medium.com/@deepmindsafetyresearch/alignment-of-language-agents-9fbc7dd52c6c" TargetMode="External"/><Relationship Id="rId3931" Type="http://schemas.openxmlformats.org/officeDocument/2006/relationships/hyperlink" Target="https://mailchi.mp/6eb8190e723f/alignment-newsletter-37" TargetMode="External"/><Relationship Id="rId2600" Type="http://schemas.openxmlformats.org/officeDocument/2006/relationships/hyperlink" Target="https://mailchi.mp/51717855ea27/alignment-newsletter-18" TargetMode="External"/><Relationship Id="rId3930" Type="http://schemas.openxmlformats.org/officeDocument/2006/relationships/hyperlink" Target="https://www.lesswrong.com/posts/3fkBWpE4f9nYbdf7E/multi-agent-minds-and-ai-alignment" TargetMode="External"/><Relationship Id="rId2601" Type="http://schemas.openxmlformats.org/officeDocument/2006/relationships/hyperlink" Target="https://www.cser.ac.uk/resources/exploring-ai-safety-degrees-generality-capability-and-control/" TargetMode="External"/><Relationship Id="rId3933" Type="http://schemas.openxmlformats.org/officeDocument/2006/relationships/hyperlink" Target="https://mailchi.mp/33af21f908b5/reconnaissance-5" TargetMode="External"/><Relationship Id="rId2602" Type="http://schemas.openxmlformats.org/officeDocument/2006/relationships/hyperlink" Target="https://mailchi.mp/c85a95604c5c/an-117how-neural-nets-would-fare-under-the-tevv-framework" TargetMode="External"/><Relationship Id="rId3932" Type="http://schemas.openxmlformats.org/officeDocument/2006/relationships/hyperlink" Target="https://www.lesswrong.com/posts/RMhs2fXtK5hLAjDQv/evaluating-existing-approaches-to-agi-alignment" TargetMode="External"/><Relationship Id="rId2603" Type="http://schemas.openxmlformats.org/officeDocument/2006/relationships/hyperlink" Target="https://arxiv.org/abs/1803.11544" TargetMode="External"/><Relationship Id="rId3935" Type="http://schemas.openxmlformats.org/officeDocument/2006/relationships/hyperlink" Target="https://mailchi.mp/f1947668b183/alignment-newsletter-34" TargetMode="External"/><Relationship Id="rId2604" Type="http://schemas.openxmlformats.org/officeDocument/2006/relationships/hyperlink" Target="https://mailchi.mp/ff6340049bd0/alignment-newsletter-1" TargetMode="External"/><Relationship Id="rId3934" Type="http://schemas.openxmlformats.org/officeDocument/2006/relationships/hyperlink" Target="https://arxiv.org/abs/1811.03493" TargetMode="External"/><Relationship Id="rId2605" Type="http://schemas.openxmlformats.org/officeDocument/2006/relationships/hyperlink" Target="https://www.alignmentforum.org/posts/BvctuKocyWR4YYea3/wireheading-is-in-the-eye-of-the-beholder" TargetMode="External"/><Relationship Id="rId3937" Type="http://schemas.openxmlformats.org/officeDocument/2006/relationships/hyperlink" Target="https://mailchi.mp/ad852629e45a/alignment-newsletter-17" TargetMode="External"/><Relationship Id="rId2606" Type="http://schemas.openxmlformats.org/officeDocument/2006/relationships/hyperlink" Target="https://www.alignmentforum.org/posts/4K52SS7fm9mp5rMdX/three-ways-that-sufficiently-optimized-agents-appear" TargetMode="External"/><Relationship Id="rId3936" Type="http://schemas.openxmlformats.org/officeDocument/2006/relationships/hyperlink" Target="https://www.lesswrong.com/posts/J8Dt7bvsT5B4sWS6k/robustness-to-fundamental-uncertainty-in-agi-alignment" TargetMode="External"/><Relationship Id="rId808" Type="http://schemas.openxmlformats.org/officeDocument/2006/relationships/hyperlink" Target="https://mailchi.mp/dba8371e9221/an-149-the-newsletters-editorial-policy" TargetMode="External"/><Relationship Id="rId2607" Type="http://schemas.openxmlformats.org/officeDocument/2006/relationships/hyperlink" Target="https://mailchi.mp/1e757d9b05cb/alignment-newsletter-52" TargetMode="External"/><Relationship Id="rId3939" Type="http://schemas.openxmlformats.org/officeDocument/2006/relationships/hyperlink" Target="https://sites.google.com/view/udlworkshop2019/accepted-papers" TargetMode="External"/><Relationship Id="rId807" Type="http://schemas.openxmlformats.org/officeDocument/2006/relationships/hyperlink" Target="https://arxiv.org/abs/2104.03113" TargetMode="External"/><Relationship Id="rId2608" Type="http://schemas.openxmlformats.org/officeDocument/2006/relationships/hyperlink" Target="https://futureoflife.org/2018/10/18/on-becoming-a-moral-realist-peter-singer/" TargetMode="External"/><Relationship Id="rId3938" Type="http://schemas.openxmlformats.org/officeDocument/2006/relationships/hyperlink" Target="https://paisri.org/" TargetMode="External"/><Relationship Id="rId806" Type="http://schemas.openxmlformats.org/officeDocument/2006/relationships/hyperlink" Target="https://mailchi.mp/3bb663155a8e/an-150the-subtypes-of-cooperative-ai-research" TargetMode="External"/><Relationship Id="rId2609" Type="http://schemas.openxmlformats.org/officeDocument/2006/relationships/hyperlink" Target="https://mailchi.mp/cfec6a0f6e73/alignment-newsletter-29" TargetMode="External"/><Relationship Id="rId805" Type="http://schemas.openxmlformats.org/officeDocument/2006/relationships/hyperlink" Target="https://arxiv.org/abs/2101.11038" TargetMode="External"/><Relationship Id="rId809" Type="http://schemas.openxmlformats.org/officeDocument/2006/relationships/hyperlink" Target="https://distill.pub/2020/circuits/branch-specialization/" TargetMode="External"/><Relationship Id="rId800" Type="http://schemas.openxmlformats.org/officeDocument/2006/relationships/hyperlink" Target="https://mathai-iclr.github.io/papers/papers/MATHAI_29_paper.pdf" TargetMode="External"/><Relationship Id="rId804" Type="http://schemas.openxmlformats.org/officeDocument/2006/relationships/hyperlink" Target="https://mailchi.mp/921dbde2ffac/an-151how-sparsity-in-the-final-layer-makes-a-neural-net-debuggable" TargetMode="External"/><Relationship Id="rId803" Type="http://schemas.openxmlformats.org/officeDocument/2006/relationships/hyperlink" Target="https://www.alignmentforum.org/posts/dpzLqQQSs7XRacEfK/understanding-the-lottery-ticket-hypothesis" TargetMode="External"/><Relationship Id="rId802" Type="http://schemas.openxmlformats.org/officeDocument/2006/relationships/hyperlink" Target="https://www.reddit.com/r/mlscaling/comments/n78584/grokking_generalization_beyond_overfitting_on/" TargetMode="External"/><Relationship Id="rId801" Type="http://schemas.openxmlformats.org/officeDocument/2006/relationships/hyperlink" Target="https://mailchi.mp/9dd2c875c362/an-159building-agents-that-know-how-to-experiment-by-training-on-procedurally-generated-games" TargetMode="External"/><Relationship Id="rId3920" Type="http://schemas.openxmlformats.org/officeDocument/2006/relationships/hyperlink" Target="https://mailchi.mp/c85a95604c5c/an-117how-neural-nets-would-fare-under-the-tevv-framework" TargetMode="External"/><Relationship Id="rId3922" Type="http://schemas.openxmlformats.org/officeDocument/2006/relationships/hyperlink" Target="https://www.alignmentforum.org/posts/z2ofM2oZQwmcWFt8N/ai-services-as-a-research-paradigm" TargetMode="External"/><Relationship Id="rId3921" Type="http://schemas.openxmlformats.org/officeDocument/2006/relationships/hyperlink" Target="https://www.alignmentforum.org/posts/7CJBiHYxebTmMfGs3/infinite-data-compute-arguments-in-alignment" TargetMode="External"/><Relationship Id="rId3924" Type="http://schemas.openxmlformats.org/officeDocument/2006/relationships/hyperlink" Target="https://www.alignmentforum.org/posts/W95gbuognJu5WxkTW/the-value-definition-problem" TargetMode="External"/><Relationship Id="rId3923" Type="http://schemas.openxmlformats.org/officeDocument/2006/relationships/hyperlink" Target="https://mailchi.mp/f534bdc85c58/an-96-buck-and-i-discussargue-about-ai-alignment" TargetMode="External"/><Relationship Id="rId3926" Type="http://schemas.openxmlformats.org/officeDocument/2006/relationships/hyperlink" Target="https://www.lesswrong.com/posts/bXYtDfMTNbjCXFQPh/drexler-on-ai-risk" TargetMode="External"/><Relationship Id="rId3925" Type="http://schemas.openxmlformats.org/officeDocument/2006/relationships/hyperlink" Target="https://mailchi.mp/3e34fa1f299a/an-75-solving-atari-and-go-with-learned-game-models-and-thoughts-from-a-miri-employee" TargetMode="External"/><Relationship Id="rId3928" Type="http://schemas.openxmlformats.org/officeDocument/2006/relationships/hyperlink" Target="https://arxiv.org/abs/1811.03493" TargetMode="External"/><Relationship Id="rId3927" Type="http://schemas.openxmlformats.org/officeDocument/2006/relationships/hyperlink" Target="https://mailchi.mp/6bfac400a0c3/alignment-newsletter-44" TargetMode="External"/><Relationship Id="rId3929" Type="http://schemas.openxmlformats.org/officeDocument/2006/relationships/hyperlink" Target="https://mailchi.mp/036ba834bcaf/alignment-newsletter-39" TargetMode="External"/><Relationship Id="rId1334" Type="http://schemas.openxmlformats.org/officeDocument/2006/relationships/hyperlink" Target="http://arxiv.org/abs/1807.00196" TargetMode="External"/><Relationship Id="rId2665" Type="http://schemas.openxmlformats.org/officeDocument/2006/relationships/hyperlink" Target="https://mailchi.mp/768a8130013f/alignment-newsletter-43" TargetMode="External"/><Relationship Id="rId3997" Type="http://schemas.openxmlformats.org/officeDocument/2006/relationships/hyperlink" Target="https://mailchi.mp/8c3f02cabccd/alignment-newsletter-41" TargetMode="External"/><Relationship Id="rId1335" Type="http://schemas.openxmlformats.org/officeDocument/2006/relationships/hyperlink" Target="https://mailchi.mp/4a4bc2286f53/alignment-newsletter-14" TargetMode="External"/><Relationship Id="rId2666" Type="http://schemas.openxmlformats.org/officeDocument/2006/relationships/hyperlink" Target="https://twitter.com/catherineols/status/1085702568494301185" TargetMode="External"/><Relationship Id="rId3996" Type="http://schemas.openxmlformats.org/officeDocument/2006/relationships/hyperlink" Target="https://www.alignmentforum.org/posts/SvuLhtREMy8wRBzpC/ambitious-vs-narrow-value-learning" TargetMode="External"/><Relationship Id="rId1336" Type="http://schemas.openxmlformats.org/officeDocument/2006/relationships/hyperlink" Target="http://arxiv.org/abs/1806.10071" TargetMode="External"/><Relationship Id="rId2667" Type="http://schemas.openxmlformats.org/officeDocument/2006/relationships/hyperlink" Target="https://mailchi.mp/f6488137d76c/alignment-newsletter-42" TargetMode="External"/><Relationship Id="rId3999" Type="http://schemas.openxmlformats.org/officeDocument/2006/relationships/hyperlink" Target="https://mailchi.mp/8c3f02cabccd/alignment-newsletter-41" TargetMode="External"/><Relationship Id="rId1337" Type="http://schemas.openxmlformats.org/officeDocument/2006/relationships/hyperlink" Target="https://mailchi.mp/8234356e4b7f/alignment-newsletter-13" TargetMode="External"/><Relationship Id="rId2668" Type="http://schemas.openxmlformats.org/officeDocument/2006/relationships/hyperlink" Target="https://boards.greenhouse.io/deepmind/jobs/3402612?t=bbda0eea1us" TargetMode="External"/><Relationship Id="rId3998" Type="http://schemas.openxmlformats.org/officeDocument/2006/relationships/hyperlink" Target="https://www.alignmentforum.org/posts/4783ufKpx8xvLMPc6/human-ai-interaction" TargetMode="External"/><Relationship Id="rId1338" Type="http://schemas.openxmlformats.org/officeDocument/2006/relationships/hyperlink" Target="http://arxiv.org/abs/2010.00581" TargetMode="External"/><Relationship Id="rId2669" Type="http://schemas.openxmlformats.org/officeDocument/2006/relationships/hyperlink" Target="https://www.anthropic.com/" TargetMode="External"/><Relationship Id="rId1339" Type="http://schemas.openxmlformats.org/officeDocument/2006/relationships/hyperlink" Target="https://mailchi.mp/62ef1fe8c13a/an-123inferring-what-is-valuable-in-order-to-align-recommender-systems" TargetMode="External"/><Relationship Id="rId745" Type="http://schemas.openxmlformats.org/officeDocument/2006/relationships/hyperlink" Target="https://arxiv.org/abs/2102.01293" TargetMode="External"/><Relationship Id="rId744" Type="http://schemas.openxmlformats.org/officeDocument/2006/relationships/hyperlink" Target="https://mailchi.mp/9ca67b5f5b72/an-139how-the-simplicity-of-reality-explains-the-success-of-neural-nets" TargetMode="External"/><Relationship Id="rId743" Type="http://schemas.openxmlformats.org/officeDocument/2006/relationships/hyperlink" Target="https://arxiv.org/abs/1608.08225" TargetMode="External"/><Relationship Id="rId742" Type="http://schemas.openxmlformats.org/officeDocument/2006/relationships/hyperlink" Target="https://mailchi.mp/229fd666e06b/an-140-theoretical-models-that-predict-scaling-laws" TargetMode="External"/><Relationship Id="rId749" Type="http://schemas.openxmlformats.org/officeDocument/2006/relationships/hyperlink" Target="https://mailchi.mp/bc9b18b1f0be/an-129explaining-double-descent-by-measuring-bias-and-variance" TargetMode="External"/><Relationship Id="rId748" Type="http://schemas.openxmlformats.org/officeDocument/2006/relationships/hyperlink" Target="https://arxiv.org/abs/2002.11328" TargetMode="External"/><Relationship Id="rId747" Type="http://schemas.openxmlformats.org/officeDocument/2006/relationships/hyperlink" Target="https://twitter.com/Hernandez_Danny/status/1357035777406853128" TargetMode="External"/><Relationship Id="rId746" Type="http://schemas.openxmlformats.org/officeDocument/2006/relationships/hyperlink" Target="https://mailchi.mp/9887edab4e73/an-137-quantifying-the-benefits-of-pretraining-on-downstream-task-performance" TargetMode="External"/><Relationship Id="rId3991" Type="http://schemas.openxmlformats.org/officeDocument/2006/relationships/hyperlink" Target="https://mailchi.mp/768a8130013f/alignment-newsletter-43" TargetMode="External"/><Relationship Id="rId2660" Type="http://schemas.openxmlformats.org/officeDocument/2006/relationships/hyperlink" Target="https://www.georgetown.edu/news/q-and-a-with-cset-founding-director-jason-matheny" TargetMode="External"/><Relationship Id="rId3990" Type="http://schemas.openxmlformats.org/officeDocument/2006/relationships/hyperlink" Target="https://www.alignmentforum.org/posts/eD9T4kiwB6MHpySGE/the-human-side-of-interaction" TargetMode="External"/><Relationship Id="rId741" Type="http://schemas.openxmlformats.org/officeDocument/2006/relationships/hyperlink" Target="https://arxiv.org/abs/2103.05247" TargetMode="External"/><Relationship Id="rId1330" Type="http://schemas.openxmlformats.org/officeDocument/2006/relationships/hyperlink" Target="http://arxiv.org/abs/1807.09936" TargetMode="External"/><Relationship Id="rId2661" Type="http://schemas.openxmlformats.org/officeDocument/2006/relationships/hyperlink" Target="https://mailchi.mp/3091c6e9405c/alignment-newsletter-48" TargetMode="External"/><Relationship Id="rId3993" Type="http://schemas.openxmlformats.org/officeDocument/2006/relationships/hyperlink" Target="https://mailchi.mp/f6488137d76c/alignment-newsletter-42" TargetMode="External"/><Relationship Id="rId740" Type="http://schemas.openxmlformats.org/officeDocument/2006/relationships/hyperlink" Target="https://mailchi.mp/23ad2781da2f/an-144how-language-models-can-also-be-finetuned-for-non-language-tasks" TargetMode="External"/><Relationship Id="rId1331" Type="http://schemas.openxmlformats.org/officeDocument/2006/relationships/hyperlink" Target="https://mailchi.mp/51717855ea27/alignment-newsletter-18" TargetMode="External"/><Relationship Id="rId2662" Type="http://schemas.openxmlformats.org/officeDocument/2006/relationships/hyperlink" Target="https://www.fhi.ox.ac.uk/govai-fellowship/" TargetMode="External"/><Relationship Id="rId3992" Type="http://schemas.openxmlformats.org/officeDocument/2006/relationships/hyperlink" Target="https://www.alignmentforum.org/posts/eBd6WvzhuqduCkYv3/following-human-norms" TargetMode="External"/><Relationship Id="rId1332" Type="http://schemas.openxmlformats.org/officeDocument/2006/relationships/hyperlink" Target="https://longtermrisk.org/weak-identifiability-and-its-consequences-in-strategic-settings/" TargetMode="External"/><Relationship Id="rId2663" Type="http://schemas.openxmlformats.org/officeDocument/2006/relationships/hyperlink" Target="https://mailchi.mp/35b451cb4d70/alignment-newsletter-45" TargetMode="External"/><Relationship Id="rId3995" Type="http://schemas.openxmlformats.org/officeDocument/2006/relationships/hyperlink" Target="https://mailchi.mp/f6488137d76c/alignment-newsletter-42" TargetMode="External"/><Relationship Id="rId1333" Type="http://schemas.openxmlformats.org/officeDocument/2006/relationships/hyperlink" Target="https://mailchi.mp/3bb663155a8e/an-150the-subtypes-of-cooperative-ai-research" TargetMode="External"/><Relationship Id="rId2664" Type="http://schemas.openxmlformats.org/officeDocument/2006/relationships/hyperlink" Target="https://sites.google.com/view/safeml-iclr2019/cfp" TargetMode="External"/><Relationship Id="rId3994" Type="http://schemas.openxmlformats.org/officeDocument/2006/relationships/hyperlink" Target="https://www.alignmentforum.org/s/4dHMdK5TLN6xcqtyc/p/ZiLLxaLB5CCofrzPp" TargetMode="External"/><Relationship Id="rId1323" Type="http://schemas.openxmlformats.org/officeDocument/2006/relationships/hyperlink" Target="https://mailchi.mp/15397ab6f65c/alignment-newsletter-8" TargetMode="External"/><Relationship Id="rId2654" Type="http://schemas.openxmlformats.org/officeDocument/2006/relationships/hyperlink" Target="https://sites.google.com/view/safeml-iclr2019/accepted-papers" TargetMode="External"/><Relationship Id="rId3986" Type="http://schemas.openxmlformats.org/officeDocument/2006/relationships/hyperlink" Target="https://www.alignmentforum.org/posts/TE5nJ882s5dCMkBB8/conclusion-to-the-sequence-on-value-learning" TargetMode="External"/><Relationship Id="rId1324" Type="http://schemas.openxmlformats.org/officeDocument/2006/relationships/hyperlink" Target="https://arxiv.org/abs/1810.08647" TargetMode="External"/><Relationship Id="rId2655" Type="http://schemas.openxmlformats.org/officeDocument/2006/relationships/hyperlink" Target="https://mailchi.mp/3e2f43012b07/an-54-boxing-a-finite-horizon-ai-system-to-keep-it-unambitious" TargetMode="External"/><Relationship Id="rId3985" Type="http://schemas.openxmlformats.org/officeDocument/2006/relationships/hyperlink" Target="https://mailchi.mp/469203093ca3/alignment-newsletter-22" TargetMode="External"/><Relationship Id="rId1325" Type="http://schemas.openxmlformats.org/officeDocument/2006/relationships/hyperlink" Target="https://mailchi.mp/92b3a9458c2d/an-58-mesa-optimization-what-it-is-and-why-we-should-care" TargetMode="External"/><Relationship Id="rId2656" Type="http://schemas.openxmlformats.org/officeDocument/2006/relationships/hyperlink" Target="https://www.vox.com/future-perfect/2019/4/17/18301070/openai-greg-brockman-ilya-sutskever" TargetMode="External"/><Relationship Id="rId3988" Type="http://schemas.openxmlformats.org/officeDocument/2006/relationships/hyperlink" Target="https://www.alignmentforum.org/posts/MxadmSXHnoCupsWqx/future-directions-for-narrow-value-learning" TargetMode="External"/><Relationship Id="rId1326" Type="http://schemas.openxmlformats.org/officeDocument/2006/relationships/hyperlink" Target="https://arxiv.org/abs/1804.05464" TargetMode="External"/><Relationship Id="rId2657" Type="http://schemas.openxmlformats.org/officeDocument/2006/relationships/hyperlink" Target="https://mailchi.mp/3e2f43012b07/an-54-boxing-a-finite-horizon-ai-system-to-keep-it-unambitious" TargetMode="External"/><Relationship Id="rId3987" Type="http://schemas.openxmlformats.org/officeDocument/2006/relationships/hyperlink" Target="https://mailchi.mp/6bfac400a0c3/alignment-newsletter-44" TargetMode="External"/><Relationship Id="rId1327" Type="http://schemas.openxmlformats.org/officeDocument/2006/relationships/hyperlink" Target="https://mailchi.mp/e6a23da2760e/alignment-newsletter-3?e=f665c7b50a" TargetMode="External"/><Relationship Id="rId2658" Type="http://schemas.openxmlformats.org/officeDocument/2006/relationships/hyperlink" Target="https://openai.com/blog/openai-lp/" TargetMode="External"/><Relationship Id="rId1328" Type="http://schemas.openxmlformats.org/officeDocument/2006/relationships/hyperlink" Target="http://arxiv.org/abs/1809.01560" TargetMode="External"/><Relationship Id="rId2659" Type="http://schemas.openxmlformats.org/officeDocument/2006/relationships/hyperlink" Target="https://mailchi.mp/1e757d9b05cb/alignment-newsletter-52" TargetMode="External"/><Relationship Id="rId3989" Type="http://schemas.openxmlformats.org/officeDocument/2006/relationships/hyperlink" Target="https://mailchi.mp/768a8130013f/alignment-newsletter-43" TargetMode="External"/><Relationship Id="rId1329" Type="http://schemas.openxmlformats.org/officeDocument/2006/relationships/hyperlink" Target="https://mailchi.mp/9295c961b39b/alignment-newsletter-23" TargetMode="External"/><Relationship Id="rId739" Type="http://schemas.openxmlformats.org/officeDocument/2006/relationships/hyperlink" Target="https://bair.berkeley.edu/blog/2021/03/23/universal-computation/" TargetMode="External"/><Relationship Id="rId734" Type="http://schemas.openxmlformats.org/officeDocument/2006/relationships/hyperlink" Target="https://mailchi.mp/da3c3152e561/an-156the-scaling-hypothesis-a-plan-for-building-agi" TargetMode="External"/><Relationship Id="rId733" Type="http://schemas.openxmlformats.org/officeDocument/2006/relationships/hyperlink" Target="https://www.gwern.net/Scaling-hypothesis" TargetMode="External"/><Relationship Id="rId732" Type="http://schemas.openxmlformats.org/officeDocument/2006/relationships/hyperlink" Target="https://mailchi.mp/bea92b186ef9/an-157-measuring-misalignment-in-the-technology-underlying-copilot" TargetMode="External"/><Relationship Id="rId731" Type="http://schemas.openxmlformats.org/officeDocument/2006/relationships/hyperlink" Target="https://arxiv.org/abs/2107.03374" TargetMode="External"/><Relationship Id="rId738" Type="http://schemas.openxmlformats.org/officeDocument/2006/relationships/hyperlink" Target="https://mailchi.mp/4920e52dd61b/alignment-newsletter-15" TargetMode="External"/><Relationship Id="rId737" Type="http://schemas.openxmlformats.org/officeDocument/2006/relationships/hyperlink" Target="https://distill.pub/2018/feature-wise-transformations/" TargetMode="External"/><Relationship Id="rId736" Type="http://schemas.openxmlformats.org/officeDocument/2006/relationships/hyperlink" Target="https://mailchi.mp/459b1e4f860d/an-152how-weve-overestimated-few-shot-learning-capabilities" TargetMode="External"/><Relationship Id="rId735" Type="http://schemas.openxmlformats.org/officeDocument/2006/relationships/hyperlink" Target="https://arxiv.org/abs/2105.11447" TargetMode="External"/><Relationship Id="rId3980" Type="http://schemas.openxmlformats.org/officeDocument/2006/relationships/hyperlink" Target="https://bair.berkeley.edu/blog/2019/04/11/tools/" TargetMode="External"/><Relationship Id="rId730" Type="http://schemas.openxmlformats.org/officeDocument/2006/relationships/hyperlink" Target="https://mailchi.mp/f2950ed2ac4b/alignment-newsletter-16" TargetMode="External"/><Relationship Id="rId2650" Type="http://schemas.openxmlformats.org/officeDocument/2006/relationships/hyperlink" Target="https://openai.com/blog/microsoft/" TargetMode="External"/><Relationship Id="rId3982" Type="http://schemas.openxmlformats.org/officeDocument/2006/relationships/hyperlink" Target="http://arxiv.org/abs/1810.10525" TargetMode="External"/><Relationship Id="rId1320" Type="http://schemas.openxmlformats.org/officeDocument/2006/relationships/hyperlink" Target="http://arxiv.org/abs/1805.08776" TargetMode="External"/><Relationship Id="rId2651" Type="http://schemas.openxmlformats.org/officeDocument/2006/relationships/hyperlink" Target="https://mailchi.mp/2abdf19aa813/an-61ai-policy-and-governance-from-two-people-in-the-field" TargetMode="External"/><Relationship Id="rId3981" Type="http://schemas.openxmlformats.org/officeDocument/2006/relationships/hyperlink" Target="https://mailchi.mp/405e29e1f1cd/an-55-regulatory-markets-and-international-standards-as-a-means-of-ensuring-beneficial-ai" TargetMode="External"/><Relationship Id="rId1321" Type="http://schemas.openxmlformats.org/officeDocument/2006/relationships/hyperlink" Target="https://mailchi.mp/a1ae6b62df21/alignment-newsletter-9" TargetMode="External"/><Relationship Id="rId2652" Type="http://schemas.openxmlformats.org/officeDocument/2006/relationships/hyperlink" Target="https://www.openphilanthropy.org/focus/global-catastrophic-risks/potential-risks-advanced-artificial-intelligence/funding-AI-policy-careers" TargetMode="External"/><Relationship Id="rId3984" Type="http://schemas.openxmlformats.org/officeDocument/2006/relationships/hyperlink" Target="http://arxiv.org/abs/1808.09111" TargetMode="External"/><Relationship Id="rId1322" Type="http://schemas.openxmlformats.org/officeDocument/2006/relationships/hyperlink" Target="http://arxiv.org/abs/1805.07830" TargetMode="External"/><Relationship Id="rId2653" Type="http://schemas.openxmlformats.org/officeDocument/2006/relationships/hyperlink" Target="https://mailchi.mp/b342d1a1bd06/an-59-how-arguments-for-ai-risk-have-changed-over-time" TargetMode="External"/><Relationship Id="rId3983" Type="http://schemas.openxmlformats.org/officeDocument/2006/relationships/hyperlink" Target="https://mailchi.mp/7d0e3916e3d9/alignment-newsletter-31" TargetMode="External"/><Relationship Id="rId1356" Type="http://schemas.openxmlformats.org/officeDocument/2006/relationships/hyperlink" Target="https://mailchi.mp/0212425e5544/alignment-newsletter-27" TargetMode="External"/><Relationship Id="rId2687" Type="http://schemas.openxmlformats.org/officeDocument/2006/relationships/hyperlink" Target="https://mailchi.mp/6a288a3cd011/an-170analyzing-the-argument-for-risk-from-power-seeking-ai" TargetMode="External"/><Relationship Id="rId1357" Type="http://schemas.openxmlformats.org/officeDocument/2006/relationships/hyperlink" Target="https://arxiv.org/abs/1809.05096" TargetMode="External"/><Relationship Id="rId2688" Type="http://schemas.openxmlformats.org/officeDocument/2006/relationships/hyperlink" Target="https://www.andrew.cmu.edu/user/coesterh/FOCAL/" TargetMode="External"/><Relationship Id="rId1358" Type="http://schemas.openxmlformats.org/officeDocument/2006/relationships/hyperlink" Target="https://mailchi.mp/0c5eeec28f75/alignment-newsletter-25" TargetMode="External"/><Relationship Id="rId2689" Type="http://schemas.openxmlformats.org/officeDocument/2006/relationships/hyperlink" Target="https://mailchi.mp/6a288a3cd011/an-170analyzing-the-argument-for-risk-from-power-seeking-ai" TargetMode="External"/><Relationship Id="rId1359" Type="http://schemas.openxmlformats.org/officeDocument/2006/relationships/hyperlink" Target="https://arxiv.org/abs/1804.03980" TargetMode="External"/><Relationship Id="rId767" Type="http://schemas.openxmlformats.org/officeDocument/2006/relationships/hyperlink" Target="https://locuslab.github.io/2019-07-09-uniform-convergence/" TargetMode="External"/><Relationship Id="rId766" Type="http://schemas.openxmlformats.org/officeDocument/2006/relationships/hyperlink" Target="https://mailchi.mp/d2f2d15b7114/an-77-double-descent-a-unification-of-statistical-theory-and-modern-ml-practice" TargetMode="External"/><Relationship Id="rId765" Type="http://schemas.openxmlformats.org/officeDocument/2006/relationships/hyperlink" Target="https://arxiv.org/abs/1912.07242" TargetMode="External"/><Relationship Id="rId764" Type="http://schemas.openxmlformats.org/officeDocument/2006/relationships/hyperlink" Target="https://mailchi.mp/eef1d6c95d7c/an-78formalizing-power-and-instrumental-convergence-and-the-end-of-year-ai-safety-charity-comparison" TargetMode="External"/><Relationship Id="rId769" Type="http://schemas.openxmlformats.org/officeDocument/2006/relationships/hyperlink" Target="https://arxiv.org/abs/1902.04742" TargetMode="External"/><Relationship Id="rId768" Type="http://schemas.openxmlformats.org/officeDocument/2006/relationships/hyperlink" Target="https://mailchi.mp/d2f2d15b7114/an-77-double-descent-a-unification-of-statistical-theory-and-modern-ml-practice" TargetMode="External"/><Relationship Id="rId2680" Type="http://schemas.openxmlformats.org/officeDocument/2006/relationships/hyperlink" Target="https://mailchi.mp/083a96caafb4/an-171-disagreements-between-alignment-optimists-and-pessimists" TargetMode="External"/><Relationship Id="rId1350" Type="http://schemas.openxmlformats.org/officeDocument/2006/relationships/hyperlink" Target="https://arxiv.org/abs/1803.07612" TargetMode="External"/><Relationship Id="rId2681" Type="http://schemas.openxmlformats.org/officeDocument/2006/relationships/hyperlink" Target="https://www.alignmentforum.org/posts/QEYWkRoCn4fZxXQAY/prizes-for-elk-proposals" TargetMode="External"/><Relationship Id="rId1351" Type="http://schemas.openxmlformats.org/officeDocument/2006/relationships/hyperlink" Target="https://mailchi.mp/33af21f908b5/reconnaissance-5" TargetMode="External"/><Relationship Id="rId2682" Type="http://schemas.openxmlformats.org/officeDocument/2006/relationships/hyperlink" Target="https://mailchi.mp/083a96caafb4/an-171-disagreements-between-alignment-optimists-and-pessimists" TargetMode="External"/><Relationship Id="rId763" Type="http://schemas.openxmlformats.org/officeDocument/2006/relationships/hyperlink" Target="https://towardsdatascience.com/the-quiet-semi-supervised-revolution-edec1e9ad8c" TargetMode="External"/><Relationship Id="rId1352" Type="http://schemas.openxmlformats.org/officeDocument/2006/relationships/hyperlink" Target="https://arxiv.org/abs/1803.08884" TargetMode="External"/><Relationship Id="rId2683" Type="http://schemas.openxmlformats.org/officeDocument/2006/relationships/hyperlink" Target="https://worldbuild.ai/" TargetMode="External"/><Relationship Id="rId762" Type="http://schemas.openxmlformats.org/officeDocument/2006/relationships/hyperlink" Target="https://arxiv.org/abs/1911.05507" TargetMode="External"/><Relationship Id="rId1353" Type="http://schemas.openxmlformats.org/officeDocument/2006/relationships/hyperlink" Target="https://mailchi.mp/33af21f908b5/reconnaissance-5" TargetMode="External"/><Relationship Id="rId2684" Type="http://schemas.openxmlformats.org/officeDocument/2006/relationships/hyperlink" Target="https://mailchi.mp/083a96caafb4/an-171-disagreements-between-alignment-optimists-and-pessimists" TargetMode="External"/><Relationship Id="rId761" Type="http://schemas.openxmlformats.org/officeDocument/2006/relationships/hyperlink" Target="https://mailchi.mp/1acb030735dd/an-91concepts-implementations-problems-and-a-benchmark-for-impact-measurement" TargetMode="External"/><Relationship Id="rId1354" Type="http://schemas.openxmlformats.org/officeDocument/2006/relationships/hyperlink" Target="https://arxiv.org/abs/1707.06600" TargetMode="External"/><Relationship Id="rId2685" Type="http://schemas.openxmlformats.org/officeDocument/2006/relationships/hyperlink" Target="https://forum.effectivealtruism.org/posts/LjExZCPCHnNNTFDfq/fli-launches-worldbuilding-contest-with-usd100-000-in-prizes" TargetMode="External"/><Relationship Id="rId760" Type="http://schemas.openxmlformats.org/officeDocument/2006/relationships/hyperlink" Target="https://deepmind.com/blog/article/A_new_model_and_dataset_for_long-range_memory" TargetMode="External"/><Relationship Id="rId1355" Type="http://schemas.openxmlformats.org/officeDocument/2006/relationships/hyperlink" Target="http://arxiv.org/abs/1810.00147" TargetMode="External"/><Relationship Id="rId2686" Type="http://schemas.openxmlformats.org/officeDocument/2006/relationships/hyperlink" Target="https://www.governance.ai/opportunities/fellowships" TargetMode="External"/><Relationship Id="rId1345" Type="http://schemas.openxmlformats.org/officeDocument/2006/relationships/hyperlink" Target="https://mailchi.mp/8f5d302499be/alignment-newsletter-32" TargetMode="External"/><Relationship Id="rId2676" Type="http://schemas.openxmlformats.org/officeDocument/2006/relationships/hyperlink" Target="https://mailchi.mp/56689cc2223c/an-172-sorry-for-the-long-hiatus" TargetMode="External"/><Relationship Id="rId1346" Type="http://schemas.openxmlformats.org/officeDocument/2006/relationships/hyperlink" Target="https://arxiv.org/abs/1809.05188" TargetMode="External"/><Relationship Id="rId2677" Type="http://schemas.openxmlformats.org/officeDocument/2006/relationships/hyperlink" Target="https://www.redwoodresearch.org/jobs" TargetMode="External"/><Relationship Id="rId1347" Type="http://schemas.openxmlformats.org/officeDocument/2006/relationships/hyperlink" Target="https://mailchi.mp/0c5eeec28f75/alignment-newsletter-25" TargetMode="External"/><Relationship Id="rId2678" Type="http://schemas.openxmlformats.org/officeDocument/2006/relationships/hyperlink" Target="https://mailchi.mp/56689cc2223c/an-172-sorry-for-the-long-hiatus" TargetMode="External"/><Relationship Id="rId1348" Type="http://schemas.openxmlformats.org/officeDocument/2006/relationships/hyperlink" Target="https://www.alignmentforum.org/posts/EzoCZjTdWTMgacKGS/clr-s-recent-work-on-multi-agent-systems" TargetMode="External"/><Relationship Id="rId2679" Type="http://schemas.openxmlformats.org/officeDocument/2006/relationships/hyperlink" Target="https://www.alignmentforum.org/posts/zRn6cLtxyNodudzhw/visible-thoughts-project-and-bounty-announcement" TargetMode="External"/><Relationship Id="rId1349" Type="http://schemas.openxmlformats.org/officeDocument/2006/relationships/hyperlink" Target="https://mailchi.mp/3bb663155a8e/an-150the-subtypes-of-cooperative-ai-research" TargetMode="External"/><Relationship Id="rId756" Type="http://schemas.openxmlformats.org/officeDocument/2006/relationships/hyperlink" Target="https://mailchi.mp/976b1f69179c/an-93the-precipice-were-standing-at-and-how-we-can-back-away-from-it" TargetMode="External"/><Relationship Id="rId755" Type="http://schemas.openxmlformats.org/officeDocument/2006/relationships/hyperlink" Target="http://arxiv.org/abs/2002.10657" TargetMode="External"/><Relationship Id="rId754" Type="http://schemas.openxmlformats.org/officeDocument/2006/relationships/hyperlink" Target="https://openreview.net/forum?id=SklD9yrFPS" TargetMode="External"/><Relationship Id="rId753" Type="http://schemas.openxmlformats.org/officeDocument/2006/relationships/hyperlink" Target="https://mailchi.mp/f534bdc85c58/an-96-buck-and-i-discussargue-about-ai-alignment" TargetMode="External"/><Relationship Id="rId759" Type="http://schemas.openxmlformats.org/officeDocument/2006/relationships/hyperlink" Target="https://mailchi.mp/d7e950bc8dbd/an-92learning-good-representations-with-contrastive-predictive-coding?e=0e92156a6c" TargetMode="External"/><Relationship Id="rId758" Type="http://schemas.openxmlformats.org/officeDocument/2006/relationships/hyperlink" Target="http://arxiv.org/abs/1903.03129" TargetMode="External"/><Relationship Id="rId757" Type="http://schemas.openxmlformats.org/officeDocument/2006/relationships/hyperlink" Target="http://arxiv.org/abs/2003.07422" TargetMode="External"/><Relationship Id="rId2670" Type="http://schemas.openxmlformats.org/officeDocument/2006/relationships/hyperlink" Target="https://forum.effectivealtruism.org/posts/WnH84hHKtSzMsvgWn/beri-is-hiring-a-deputy-director" TargetMode="External"/><Relationship Id="rId1340" Type="http://schemas.openxmlformats.org/officeDocument/2006/relationships/hyperlink" Target="https://www.alignmentforum.org/posts/cYsGrWEzjb324Zpjx/comparing-utilities" TargetMode="External"/><Relationship Id="rId2671" Type="http://schemas.openxmlformats.org/officeDocument/2006/relationships/hyperlink" Target="https://www.guidedtrack.com/programs/qd2mn4k/run" TargetMode="External"/><Relationship Id="rId752" Type="http://schemas.openxmlformats.org/officeDocument/2006/relationships/hyperlink" Target="https://ai.googleblog.com/2020/03/fast-and-easy-infinitely-wide-networks.html" TargetMode="External"/><Relationship Id="rId1341" Type="http://schemas.openxmlformats.org/officeDocument/2006/relationships/hyperlink" Target="https://mailchi.mp/d0b668319344/an-118risks-solutions-and-prioritization-in-a-world-with-many-ai-systems" TargetMode="External"/><Relationship Id="rId2672" Type="http://schemas.openxmlformats.org/officeDocument/2006/relationships/hyperlink" Target="https://mailchi.mp/56689cc2223c/an-172-sorry-for-the-long-hiatus" TargetMode="External"/><Relationship Id="rId751" Type="http://schemas.openxmlformats.org/officeDocument/2006/relationships/hyperlink" Target="https://mailchi.mp/2485e6b42012/an-102-meta-learning-by-gpt-3-and-a-list-of-full-proposals-for-ai-alignment" TargetMode="External"/><Relationship Id="rId1342" Type="http://schemas.openxmlformats.org/officeDocument/2006/relationships/hyperlink" Target="http://arxiv.org/abs/1901.06085" TargetMode="External"/><Relationship Id="rId2673" Type="http://schemas.openxmlformats.org/officeDocument/2006/relationships/hyperlink" Target="https://www.alignmentforum.org/posts/eqxqgFxymP8hXDTt5/announcing-the-inverse-scaling-prize-usd250k-prize-pool" TargetMode="External"/><Relationship Id="rId750" Type="http://schemas.openxmlformats.org/officeDocument/2006/relationships/hyperlink" Target="https://arxiv.org/abs/2005.14165" TargetMode="External"/><Relationship Id="rId1343" Type="http://schemas.openxmlformats.org/officeDocument/2006/relationships/hyperlink" Target="https://mailchi.mp/768a8130013f/alignment-newsletter-43" TargetMode="External"/><Relationship Id="rId2674" Type="http://schemas.openxmlformats.org/officeDocument/2006/relationships/hyperlink" Target="https://mailchi.mp/56689cc2223c/an-172-sorry-for-the-long-hiatus" TargetMode="External"/><Relationship Id="rId1344" Type="http://schemas.openxmlformats.org/officeDocument/2006/relationships/hyperlink" Target="https://www.alignmentforum.org/posts/dfZLLEfFvkrMwmiMw/multi-agent-overoptimization-and-embedded-agent-world-models" TargetMode="External"/><Relationship Id="rId2675" Type="http://schemas.openxmlformats.org/officeDocument/2006/relationships/hyperlink" Target="https://docs.google.com/document/u/1/d/e/2PACX-1vQ9_YaSDU9EGr6x8HJfL2zCMLSCXgHGaMZRLz77GzQA0r0TpQep9wtFui2rI4vFrjjRORWui61oI2nY/pub?urp=gmail_link" TargetMode="External"/><Relationship Id="rId2621" Type="http://schemas.openxmlformats.org/officeDocument/2006/relationships/hyperlink" Target="https://mailchi.mp/e6a23da2760e/alignment-newsletter-3?e=f665c7b50a" TargetMode="External"/><Relationship Id="rId3953" Type="http://schemas.openxmlformats.org/officeDocument/2006/relationships/hyperlink" Target="https://eng.uber.com/generative-teaching-networks/" TargetMode="External"/><Relationship Id="rId2622" Type="http://schemas.openxmlformats.org/officeDocument/2006/relationships/hyperlink" Target="https://openreview.net/pdf?id=rJWF0Fywf" TargetMode="External"/><Relationship Id="rId3952" Type="http://schemas.openxmlformats.org/officeDocument/2006/relationships/hyperlink" Target="https://mailchi.mp/84b4235cfa34/an-85-the-normative-questions-we-should-be-asking-for-ai-alignment-and-a-surprisingly-good-chatbot" TargetMode="External"/><Relationship Id="rId2623" Type="http://schemas.openxmlformats.org/officeDocument/2006/relationships/hyperlink" Target="https://mailchi.mp/5ad3a9643b6b/alignment-newsletter-21" TargetMode="External"/><Relationship Id="rId3955" Type="http://schemas.openxmlformats.org/officeDocument/2006/relationships/hyperlink" Target="https://mailchi.mp/0dd8eb63fe2d/an-60a-new-ai-challenge-minecraft-agents-that-assist-human-players-in-creative-mode" TargetMode="External"/><Relationship Id="rId2624" Type="http://schemas.openxmlformats.org/officeDocument/2006/relationships/hyperlink" Target="https://deepmind.com/blog/article/generally-capable-agents-emerge-from-open-ended-play" TargetMode="External"/><Relationship Id="rId3954" Type="http://schemas.openxmlformats.org/officeDocument/2006/relationships/hyperlink" Target="https://arxiv.org/abs/1907.02544" TargetMode="External"/><Relationship Id="rId2625" Type="http://schemas.openxmlformats.org/officeDocument/2006/relationships/hyperlink" Target="https://mailchi.mp/9dd2c875c362/an-159building-agents-that-know-how-to-experiment-by-training-on-procedurally-generated-games" TargetMode="External"/><Relationship Id="rId3957" Type="http://schemas.openxmlformats.org/officeDocument/2006/relationships/hyperlink" Target="https://mailchi.mp/405e29e1f1cd/an-55-regulatory-markets-and-international-standards-as-a-means-of-ensuring-beneficial-ai" TargetMode="External"/><Relationship Id="rId2626" Type="http://schemas.openxmlformats.org/officeDocument/2006/relationships/hyperlink" Target="https://arxiv.org/abs/2107.06857" TargetMode="External"/><Relationship Id="rId3956" Type="http://schemas.openxmlformats.org/officeDocument/2006/relationships/hyperlink" Target="https://deepmind.com/blog/unsupervised-learning/" TargetMode="External"/><Relationship Id="rId2627" Type="http://schemas.openxmlformats.org/officeDocument/2006/relationships/hyperlink" Target="https://mailchi.mp/9dd2c875c362/an-159building-agents-that-know-how-to-experiment-by-training-on-procedurally-generated-games" TargetMode="External"/><Relationship Id="rId3959" Type="http://schemas.openxmlformats.org/officeDocument/2006/relationships/hyperlink" Target="https://mailchi.mp/405e29e1f1cd/an-55-regulatory-markets-and-international-standards-as-a-means-of-ensuring-beneficial-ai" TargetMode="External"/><Relationship Id="rId2628" Type="http://schemas.openxmlformats.org/officeDocument/2006/relationships/hyperlink" Target="https://arxiv.org/abs/2012.02096" TargetMode="External"/><Relationship Id="rId3958" Type="http://schemas.openxmlformats.org/officeDocument/2006/relationships/hyperlink" Target="https://ai.googleblog.com/2019/04/evaluating-unsupervised-learning-of.html" TargetMode="External"/><Relationship Id="rId709" Type="http://schemas.openxmlformats.org/officeDocument/2006/relationships/hyperlink" Target="https://mailchi.mp/d2f2d15b7114/an-77-double-descent-a-unification-of-statistical-theory-and-modern-ml-practice" TargetMode="External"/><Relationship Id="rId2629" Type="http://schemas.openxmlformats.org/officeDocument/2006/relationships/hyperlink" Target="https://mailchi.mp/ca80338dad5a/an-136how-well-will-gpt-n-perform-on-downstream-tasks" TargetMode="External"/><Relationship Id="rId708" Type="http://schemas.openxmlformats.org/officeDocument/2006/relationships/hyperlink" Target="https://openai.com/blog/deep-double-descent/" TargetMode="External"/><Relationship Id="rId707" Type="http://schemas.openxmlformats.org/officeDocument/2006/relationships/hyperlink" Target="https://mailchi.mp/ff565f097630/an-83-sample-efficient-deep-learning-with-remixmatch" TargetMode="External"/><Relationship Id="rId706" Type="http://schemas.openxmlformats.org/officeDocument/2006/relationships/hyperlink" Target="https://arxiv.org/abs/1911.09785" TargetMode="External"/><Relationship Id="rId701" Type="http://schemas.openxmlformats.org/officeDocument/2006/relationships/hyperlink" Target="https://mailchi.mp/c29b3247da6f/4da2bu7tjd" TargetMode="External"/><Relationship Id="rId700" Type="http://schemas.openxmlformats.org/officeDocument/2006/relationships/hyperlink" Target="https://arxiv.org/abs/1909.12673" TargetMode="External"/><Relationship Id="rId705" Type="http://schemas.openxmlformats.org/officeDocument/2006/relationships/hyperlink" Target="https://mailchi.mp/84b4235cfa34/an-85-the-normative-questions-we-should-be-asking-for-ai-alignment-and-a-surprisingly-good-chatbot" TargetMode="External"/><Relationship Id="rId704" Type="http://schemas.openxmlformats.org/officeDocument/2006/relationships/hyperlink" Target="https://arxiv.org/abs/2001.09977" TargetMode="External"/><Relationship Id="rId703" Type="http://schemas.openxmlformats.org/officeDocument/2006/relationships/hyperlink" Target="https://mailchi.mp/c29b3247da6f/4da2bu7tjd" TargetMode="External"/><Relationship Id="rId702" Type="http://schemas.openxmlformats.org/officeDocument/2006/relationships/hyperlink" Target="https://www.microsoft.com/en-us/research/blog/zero-deepspeed-new-system-optimizations-enable-training-models-with-over-100-billion-parameters/" TargetMode="External"/><Relationship Id="rId3951" Type="http://schemas.openxmlformats.org/officeDocument/2006/relationships/hyperlink" Target="http://arxiv.org/abs/1912.07768" TargetMode="External"/><Relationship Id="rId2620" Type="http://schemas.openxmlformats.org/officeDocument/2006/relationships/hyperlink" Target="https://books.google.com/talktobooks/" TargetMode="External"/><Relationship Id="rId3950" Type="http://schemas.openxmlformats.org/officeDocument/2006/relationships/hyperlink" Target="https://mailchi.mp/d7e950bc8dbd/an-92learning-good-representations-with-contrastive-predictive-coding?e=0e92156a6c" TargetMode="External"/><Relationship Id="rId2610" Type="http://schemas.openxmlformats.org/officeDocument/2006/relationships/hyperlink" Target="https://arxiv.org/abs/1808.03644" TargetMode="External"/><Relationship Id="rId3942" Type="http://schemas.openxmlformats.org/officeDocument/2006/relationships/hyperlink" Target="https://mailchi.mp/bbd47ba94e84/alignment-newsletter-35" TargetMode="External"/><Relationship Id="rId2611" Type="http://schemas.openxmlformats.org/officeDocument/2006/relationships/hyperlink" Target="https://mailchi.mp/d92bd0fefc83/alignment-newsletter-20" TargetMode="External"/><Relationship Id="rId3941" Type="http://schemas.openxmlformats.org/officeDocument/2006/relationships/hyperlink" Target="http://proceedings.mlr.press/v80/kumar18a/kumar18a.pdf" TargetMode="External"/><Relationship Id="rId2612" Type="http://schemas.openxmlformats.org/officeDocument/2006/relationships/hyperlink" Target="https://www.lesswrong.com/posts/aXSrXgNS5D3Zstqtw/sandboxing-by-physical-simulation" TargetMode="External"/><Relationship Id="rId3944" Type="http://schemas.openxmlformats.org/officeDocument/2006/relationships/hyperlink" Target="https://mailchi.mp/c1f376f3a12e/alignment-newsletter-30" TargetMode="External"/><Relationship Id="rId2613" Type="http://schemas.openxmlformats.org/officeDocument/2006/relationships/hyperlink" Target="https://mailchi.mp/51717855ea27/alignment-newsletter-18" TargetMode="External"/><Relationship Id="rId3943" Type="http://schemas.openxmlformats.org/officeDocument/2006/relationships/hyperlink" Target="http://arxiv.org/abs/1810.09136" TargetMode="External"/><Relationship Id="rId2614" Type="http://schemas.openxmlformats.org/officeDocument/2006/relationships/hyperlink" Target="https://aaai.org/ocs/index.php/SSS/SSS18/schedConf/presentations" TargetMode="External"/><Relationship Id="rId3946" Type="http://schemas.openxmlformats.org/officeDocument/2006/relationships/hyperlink" Target="https://mailchi.mp/cfec6a0f6e73/alignment-newsletter-29" TargetMode="External"/><Relationship Id="rId2615" Type="http://schemas.openxmlformats.org/officeDocument/2006/relationships/hyperlink" Target="https://mailchi.mp/ff6340049bd0/alignment-newsletter-1" TargetMode="External"/><Relationship Id="rId3945" Type="http://schemas.openxmlformats.org/officeDocument/2006/relationships/hyperlink" Target="https://arxiv.org/abs/1706.04599" TargetMode="External"/><Relationship Id="rId2616" Type="http://schemas.openxmlformats.org/officeDocument/2006/relationships/hyperlink" Target="https://arxiv.org/abs/1805.06826" TargetMode="External"/><Relationship Id="rId3948" Type="http://schemas.openxmlformats.org/officeDocument/2006/relationships/hyperlink" Target="https://mailchi.mp/d7e950bc8dbd/an-92learning-good-representations-with-contrastive-predictive-coding?e=0e92156a6c" TargetMode="External"/><Relationship Id="rId2617" Type="http://schemas.openxmlformats.org/officeDocument/2006/relationships/hyperlink" Target="https://mailchi.mp/15397ab6f65c/alignment-newsletter-8" TargetMode="External"/><Relationship Id="rId3947" Type="http://schemas.openxmlformats.org/officeDocument/2006/relationships/hyperlink" Target="https://arxiv.org/abs/1807.03748" TargetMode="External"/><Relationship Id="rId2618" Type="http://schemas.openxmlformats.org/officeDocument/2006/relationships/hyperlink" Target="https://news.stanford.edu/2018/05/15/how-ai-is-changing-science/" TargetMode="External"/><Relationship Id="rId2619" Type="http://schemas.openxmlformats.org/officeDocument/2006/relationships/hyperlink" Target="https://mailchi.mp/3e550712419a/alignment-newsletter-7" TargetMode="External"/><Relationship Id="rId3949" Type="http://schemas.openxmlformats.org/officeDocument/2006/relationships/hyperlink" Target="https://arxiv.org/abs/1905.06922" TargetMode="External"/><Relationship Id="rId3940" Type="http://schemas.openxmlformats.org/officeDocument/2006/relationships/hyperlink" Target="https://mailchi.mp/92b3a9458c2d/an-58-mesa-optimization-what-it-is-and-why-we-should-care" TargetMode="External"/><Relationship Id="rId1312" Type="http://schemas.openxmlformats.org/officeDocument/2006/relationships/hyperlink" Target="https://mailchi.mp/ee62c1c9e331/an-109teaching-neural-nets-to-generalize-the-way-humans-would" TargetMode="External"/><Relationship Id="rId2643" Type="http://schemas.openxmlformats.org/officeDocument/2006/relationships/hyperlink" Target="https://mailchi.mp/f2950ed2ac4b/alignment-newsletter-16" TargetMode="External"/><Relationship Id="rId3975" Type="http://schemas.openxmlformats.org/officeDocument/2006/relationships/hyperlink" Target="https://mailchi.mp/5ad3a9643b6b/alignment-newsletter-21" TargetMode="External"/><Relationship Id="rId1313" Type="http://schemas.openxmlformats.org/officeDocument/2006/relationships/hyperlink" Target="https://arxiv.org/abs/1803.01044" TargetMode="External"/><Relationship Id="rId2644" Type="http://schemas.openxmlformats.org/officeDocument/2006/relationships/hyperlink" Target="https://www.lesswrong.com/posts/juBRTuE3TLti5yB35/announcement-ai-alignment-prize-round-3-winners-and-next" TargetMode="External"/><Relationship Id="rId3974" Type="http://schemas.openxmlformats.org/officeDocument/2006/relationships/hyperlink" Target="http://arxiv.org/abs/1808.06670" TargetMode="External"/><Relationship Id="rId1314" Type="http://schemas.openxmlformats.org/officeDocument/2006/relationships/hyperlink" Target="https://mailchi.mp/e402599bfb1f/reconnaissance-4" TargetMode="External"/><Relationship Id="rId2645" Type="http://schemas.openxmlformats.org/officeDocument/2006/relationships/hyperlink" Target="https://mailchi.mp/f2950ed2ac4b/alignment-newsletter-16" TargetMode="External"/><Relationship Id="rId3977" Type="http://schemas.openxmlformats.org/officeDocument/2006/relationships/hyperlink" Target="https://mailchi.mp/5ad3a9643b6b/alignment-newsletter-21" TargetMode="External"/><Relationship Id="rId1315" Type="http://schemas.openxmlformats.org/officeDocument/2006/relationships/hyperlink" Target="https://openreview.net/forum?id=rJNJIU1vf" TargetMode="External"/><Relationship Id="rId2646" Type="http://schemas.openxmlformats.org/officeDocument/2006/relationships/hyperlink" Target="http://existence.org/new-collaborator-applications" TargetMode="External"/><Relationship Id="rId3976" Type="http://schemas.openxmlformats.org/officeDocument/2006/relationships/hyperlink" Target="http://arxiv.org/abs/1808.06508" TargetMode="External"/><Relationship Id="rId1316" Type="http://schemas.openxmlformats.org/officeDocument/2006/relationships/hyperlink" Target="https://mailchi.mp/e402599bfb1f/reconnaissance-4" TargetMode="External"/><Relationship Id="rId2647" Type="http://schemas.openxmlformats.org/officeDocument/2006/relationships/hyperlink" Target="https://mailchi.mp/4f7ffc5cbe53/an-99-doubling-times-for-the-efficiency-of-ai-algorithms" TargetMode="External"/><Relationship Id="rId3979" Type="http://schemas.openxmlformats.org/officeDocument/2006/relationships/hyperlink" Target="https://mailchi.mp/dd7dd9157abe/an-106-evaluating-generalization-ability-of-learned-reward-models" TargetMode="External"/><Relationship Id="rId1317" Type="http://schemas.openxmlformats.org/officeDocument/2006/relationships/hyperlink" Target="https://papers.nips.cc/paper/7721-negotiable-reinforcement-learning-for-pareto-optimal-sequential-decision-making.pdf" TargetMode="External"/><Relationship Id="rId2648" Type="http://schemas.openxmlformats.org/officeDocument/2006/relationships/hyperlink" Target="https://www.fhi.ox.ac.uk/summer-research-fellowship/" TargetMode="External"/><Relationship Id="rId3978" Type="http://schemas.openxmlformats.org/officeDocument/2006/relationships/hyperlink" Target="https://arxiv.org/abs/2006.09882" TargetMode="External"/><Relationship Id="rId1318" Type="http://schemas.openxmlformats.org/officeDocument/2006/relationships/hyperlink" Target="https://www.alignmentforum.org/posts/Tdu3tGT4i24qcLESh/equilibrium-and-prior-selection-problems-in-multipolar-1" TargetMode="External"/><Relationship Id="rId2649" Type="http://schemas.openxmlformats.org/officeDocument/2006/relationships/hyperlink" Target="https://mailchi.mp/76ad355daab7/an-89-a-unifying-formalism-for-preference-learning-algorithms" TargetMode="External"/><Relationship Id="rId1319" Type="http://schemas.openxmlformats.org/officeDocument/2006/relationships/hyperlink" Target="https://mailchi.mp/0f80d83f9c44/an-94ai-alignment-as-translation-between-humans-and-machines" TargetMode="External"/><Relationship Id="rId729" Type="http://schemas.openxmlformats.org/officeDocument/2006/relationships/hyperlink" Target="https://medium.com/tensorflow/seedbank-discover-machine-learning-examples-2ff894542b57" TargetMode="External"/><Relationship Id="rId728" Type="http://schemas.openxmlformats.org/officeDocument/2006/relationships/hyperlink" Target="https://mailchi.mp/dcab1b7edaa3/an-164-how-well-can-language-models-write-code" TargetMode="External"/><Relationship Id="rId723" Type="http://schemas.openxmlformats.org/officeDocument/2006/relationships/hyperlink" Target="https://mailchi.mp/c7bf1e091608/an-173recent-language-model-results-from-deepmind" TargetMode="External"/><Relationship Id="rId722" Type="http://schemas.openxmlformats.org/officeDocument/2006/relationships/hyperlink" Target="https://storage.googleapis.com/deepmind-media/research/language-research/Training%20Gopher.pdf" TargetMode="External"/><Relationship Id="rId721" Type="http://schemas.openxmlformats.org/officeDocument/2006/relationships/hyperlink" Target="https://mailchi.mp/c1f376f3a12e/alignment-newsletter-30" TargetMode="External"/><Relationship Id="rId720" Type="http://schemas.openxmlformats.org/officeDocument/2006/relationships/hyperlink" Target="http://arxiv.org/abs/1806.01261" TargetMode="External"/><Relationship Id="rId727" Type="http://schemas.openxmlformats.org/officeDocument/2006/relationships/hyperlink" Target="https://arxiv.org/abs/2108.07732" TargetMode="External"/><Relationship Id="rId726" Type="http://schemas.openxmlformats.org/officeDocument/2006/relationships/hyperlink" Target="https://mailchi.mp/c7bf1e091608/an-173recent-language-model-results-from-deepmind" TargetMode="External"/><Relationship Id="rId725" Type="http://schemas.openxmlformats.org/officeDocument/2006/relationships/hyperlink" Target="https://arxiv.org/abs/2203.15556" TargetMode="External"/><Relationship Id="rId724" Type="http://schemas.openxmlformats.org/officeDocument/2006/relationships/hyperlink" Target="https://www.deepmind.com/blog/language-modelling-at-scale-gopher-ethical-considerations-and-retrieval" TargetMode="External"/><Relationship Id="rId3971" Type="http://schemas.openxmlformats.org/officeDocument/2006/relationships/hyperlink" Target="https://mailchi.mp/4f7ffc5cbe53/an-99-doubling-times-for-the-efficiency-of-ai-algorithms" TargetMode="External"/><Relationship Id="rId2640" Type="http://schemas.openxmlformats.org/officeDocument/2006/relationships/hyperlink" Target="https://ai-safety-papers.quantifieduncertainty.org/" TargetMode="External"/><Relationship Id="rId3970" Type="http://schemas.openxmlformats.org/officeDocument/2006/relationships/hyperlink" Target="https://arxiv.org/abs/1911.05722" TargetMode="External"/><Relationship Id="rId1310" Type="http://schemas.openxmlformats.org/officeDocument/2006/relationships/hyperlink" Target="https://mailchi.mp/073921bbc4b8/an-130-a-new-ai-x-risk-podcast-and-reviews-of-the-field" TargetMode="External"/><Relationship Id="rId2641" Type="http://schemas.openxmlformats.org/officeDocument/2006/relationships/hyperlink" Target="https://mailchi.mp/15ed28377c48/an-162-foundation-models-a-paradigm-shift-within-ai" TargetMode="External"/><Relationship Id="rId3973" Type="http://schemas.openxmlformats.org/officeDocument/2006/relationships/hyperlink" Target="https://mailchi.mp/4f7ffc5cbe53/an-99-doubling-times-for-the-efficiency-of-ai-algorithms" TargetMode="External"/><Relationship Id="rId1311" Type="http://schemas.openxmlformats.org/officeDocument/2006/relationships/hyperlink" Target="https://www.alignmentforum.org/posts/8LEPDY36jBYpijrSw/formalizing-game-theoretic-defection" TargetMode="External"/><Relationship Id="rId2642" Type="http://schemas.openxmlformats.org/officeDocument/2006/relationships/hyperlink" Target="https://deepmind.com/careers/979620/" TargetMode="External"/><Relationship Id="rId3972" Type="http://schemas.openxmlformats.org/officeDocument/2006/relationships/hyperlink" Target="https://arxiv.org/abs/2003.04297" TargetMode="External"/><Relationship Id="rId1301" Type="http://schemas.openxmlformats.org/officeDocument/2006/relationships/hyperlink" Target="https://arxiv.org/abs/1806.10071" TargetMode="External"/><Relationship Id="rId2632" Type="http://schemas.openxmlformats.org/officeDocument/2006/relationships/hyperlink" Target="https://www.alignmentforum.org/posts/FoiiRDC3EhjHx7ayY/introducing-the-ai-alignment-forum-faq" TargetMode="External"/><Relationship Id="rId3964" Type="http://schemas.openxmlformats.org/officeDocument/2006/relationships/hyperlink" Target="https://arxiv.org/abs/2005.10243" TargetMode="External"/><Relationship Id="rId1302" Type="http://schemas.openxmlformats.org/officeDocument/2006/relationships/hyperlink" Target="https://mailchi.mp/732eaa192df0/an-70-agents-that-help-humans-who-are-still-learning-about-their-own-preferences" TargetMode="External"/><Relationship Id="rId2633" Type="http://schemas.openxmlformats.org/officeDocument/2006/relationships/hyperlink" Target="https://mailchi.mp/7d0e3916e3d9/alignment-newsletter-31" TargetMode="External"/><Relationship Id="rId3963" Type="http://schemas.openxmlformats.org/officeDocument/2006/relationships/hyperlink" Target="https://mailchi.mp/d31663e4d330/an-116-how-to-make-explanations-of-neurons-compositional" TargetMode="External"/><Relationship Id="rId1303" Type="http://schemas.openxmlformats.org/officeDocument/2006/relationships/hyperlink" Target="https://arxiv.org/abs/1905.01296" TargetMode="External"/><Relationship Id="rId2634" Type="http://schemas.openxmlformats.org/officeDocument/2006/relationships/hyperlink" Target="https://www.lesswrong.com/posts/SSEyiHaACSYDHcYZz/announcement-ai-alignment-prize-round-2-winners-and-next" TargetMode="External"/><Relationship Id="rId3966" Type="http://schemas.openxmlformats.org/officeDocument/2006/relationships/hyperlink" Target="https://mailchi.mp/dd7dd9157abe/an-106-evaluating-generalization-ability-of-learned-reward-models" TargetMode="External"/><Relationship Id="rId1304" Type="http://schemas.openxmlformats.org/officeDocument/2006/relationships/hyperlink" Target="https://mailchi.mp/392d2043e782/an-57why-we-should-focus-on-robustness-in-ai-safety-and-the-analogous-problems-in-programming" TargetMode="External"/><Relationship Id="rId2635" Type="http://schemas.openxmlformats.org/officeDocument/2006/relationships/hyperlink" Target="https://mailchi.mp/e6a23da2760e/alignment-newsletter-3?e=f665c7b50a" TargetMode="External"/><Relationship Id="rId3965" Type="http://schemas.openxmlformats.org/officeDocument/2006/relationships/hyperlink" Target="https://arxiv.org/abs/2006.10029" TargetMode="External"/><Relationship Id="rId1305" Type="http://schemas.openxmlformats.org/officeDocument/2006/relationships/hyperlink" Target="https://longtermrisk.org/collaborative-game-specification/" TargetMode="External"/><Relationship Id="rId2636" Type="http://schemas.openxmlformats.org/officeDocument/2006/relationships/hyperlink" Target="https://www.openphilanthropy.org/focus/global-catastrophic-risks/potential-risks-advanced-artificial-intelligence/request-for-proposals-for-projects-in-ai-alignment-that-work-with-deep-learning-systems" TargetMode="External"/><Relationship Id="rId3968" Type="http://schemas.openxmlformats.org/officeDocument/2006/relationships/hyperlink" Target="https://mailchi.mp/4f7ffc5cbe53/an-99-doubling-times-for-the-efficiency-of-ai-algorithms" TargetMode="External"/><Relationship Id="rId1306" Type="http://schemas.openxmlformats.org/officeDocument/2006/relationships/hyperlink" Target="https://mailchi.mp/3bb663155a8e/an-150the-subtypes-of-cooperative-ai-research" TargetMode="External"/><Relationship Id="rId2637" Type="http://schemas.openxmlformats.org/officeDocument/2006/relationships/hyperlink" Target="https://mailchi.mp/0634a39158ce/an-168-four-technical-topics-for-which-open-phil-is-soliciting-grant-proposals" TargetMode="External"/><Relationship Id="rId3967" Type="http://schemas.openxmlformats.org/officeDocument/2006/relationships/hyperlink" Target="https://arxiv.org/abs/2002.05709" TargetMode="External"/><Relationship Id="rId1307" Type="http://schemas.openxmlformats.org/officeDocument/2006/relationships/hyperlink" Target="https://link.springer.com/content/pdf/10.1007/s00146-017-0760-1.pdf" TargetMode="External"/><Relationship Id="rId2638" Type="http://schemas.openxmlformats.org/officeDocument/2006/relationships/hyperlink" Target="https://www.alignmentforum.org/posts/8Gv5zSCnGeLxK5FAF/mlsn-1-iclr-safety-paper-roundup" TargetMode="External"/><Relationship Id="rId1308" Type="http://schemas.openxmlformats.org/officeDocument/2006/relationships/hyperlink" Target="https://mailchi.mp/945690ef08b7/an-131-formalizing-the-argument-of-ignored-attributes-in-a-utility-function" TargetMode="External"/><Relationship Id="rId2639" Type="http://schemas.openxmlformats.org/officeDocument/2006/relationships/hyperlink" Target="https://mailchi.mp/08a639ffa2ba/an-167concrete-ml-safety-problems-and-their-relevance-to-x-risk" TargetMode="External"/><Relationship Id="rId3969" Type="http://schemas.openxmlformats.org/officeDocument/2006/relationships/hyperlink" Target="https://ai.googleblog.com/2020/04/advancing-self-supervised-and-semi.html" TargetMode="External"/><Relationship Id="rId1309" Type="http://schemas.openxmlformats.org/officeDocument/2006/relationships/hyperlink" Target="https://axrp.net/episode/2020/12/11/episode-3-negotiable-reinforcement-learning-andrew-critch.html" TargetMode="External"/><Relationship Id="rId719" Type="http://schemas.openxmlformats.org/officeDocument/2006/relationships/hyperlink" Target="https://arxiv.org/abs/1703.03400" TargetMode="External"/><Relationship Id="rId718" Type="http://schemas.openxmlformats.org/officeDocument/2006/relationships/hyperlink" Target="https://blog.openai.com/reptile/" TargetMode="External"/><Relationship Id="rId717" Type="http://schemas.openxmlformats.org/officeDocument/2006/relationships/hyperlink" Target="https://mailchi.mp/6bfac400a0c3/alignment-newsletter-44" TargetMode="External"/><Relationship Id="rId712" Type="http://schemas.openxmlformats.org/officeDocument/2006/relationships/hyperlink" Target="https://mailchi.mp/534f448d6c8b/alignment-newsletter-53" TargetMode="External"/><Relationship Id="rId711" Type="http://schemas.openxmlformats.org/officeDocument/2006/relationships/hyperlink" Target="https://lilianweng.github.io/lil-log/2019/03/14/are-deep-neural-networks-dramatically-overfitted.html" TargetMode="External"/><Relationship Id="rId710" Type="http://schemas.openxmlformats.org/officeDocument/2006/relationships/hyperlink" Target="http://arxiv.org/abs/1912.02292" TargetMode="External"/><Relationship Id="rId716" Type="http://schemas.openxmlformats.org/officeDocument/2006/relationships/hyperlink" Target="http://ai.googleblog.com/2019/01/transformer-xl-unleashing-potential-of.html" TargetMode="External"/><Relationship Id="rId715" Type="http://schemas.openxmlformats.org/officeDocument/2006/relationships/hyperlink" Target="https://d4mucfpksywv.cloudfront.net/better-language-models/language-models.pdf" TargetMode="External"/><Relationship Id="rId714" Type="http://schemas.openxmlformats.org/officeDocument/2006/relationships/hyperlink" Target="https://mailchi.mp/c48f996a5db5/alignment-newsletter-46" TargetMode="External"/><Relationship Id="rId713" Type="http://schemas.openxmlformats.org/officeDocument/2006/relationships/hyperlink" Target="https://blog.openai.com/better-language-models/" TargetMode="External"/><Relationship Id="rId3960" Type="http://schemas.openxmlformats.org/officeDocument/2006/relationships/hyperlink" Target="http://arxiv.org/abs/1810.02334" TargetMode="External"/><Relationship Id="rId2630" Type="http://schemas.openxmlformats.org/officeDocument/2006/relationships/hyperlink" Target="https://www.alignmentforum.org/posts/cejX4S3Dex3C2dt79/call-for-contributors-to-the-alignment-newsletter" TargetMode="External"/><Relationship Id="rId3962" Type="http://schemas.openxmlformats.org/officeDocument/2006/relationships/hyperlink" Target="https://ai.googleblog.com/2020/08/understanding-view-selection-for.html?utm_source=feedburner&amp;utm_medium=feed&amp;utm_campaign=Feed%3A+blogspot%2FgJZg+%28Google+AI+Blog%29" TargetMode="External"/><Relationship Id="rId1300" Type="http://schemas.openxmlformats.org/officeDocument/2006/relationships/hyperlink" Target="https://arxiv.org/abs/1910.05789" TargetMode="External"/><Relationship Id="rId2631" Type="http://schemas.openxmlformats.org/officeDocument/2006/relationships/hyperlink" Target="https://mailchi.mp/4a1b3c4249ae/an-62are-adversarial-examples-caused-by-real-but-imperceptible-features" TargetMode="External"/><Relationship Id="rId3961" Type="http://schemas.openxmlformats.org/officeDocument/2006/relationships/hyperlink" Target="https://mailchi.mp/df2e472140b6/alignment-newsletter-28" TargetMode="External"/><Relationship Id="rId3117" Type="http://schemas.openxmlformats.org/officeDocument/2006/relationships/hyperlink" Target="https://mailchi.mp/d1a19c140226/alignment-newsletter-10" TargetMode="External"/><Relationship Id="rId3116" Type="http://schemas.openxmlformats.org/officeDocument/2006/relationships/hyperlink" Target="https://arxiv.org/abs/1805.11714" TargetMode="External"/><Relationship Id="rId3119" Type="http://schemas.openxmlformats.org/officeDocument/2006/relationships/hyperlink" Target="https://mailchi.mp/0f80d83f9c44/an-94ai-alignment-as-translation-between-humans-and-machines" TargetMode="External"/><Relationship Id="rId3118" Type="http://schemas.openxmlformats.org/officeDocument/2006/relationships/hyperlink" Target="https://www.alignmentforum.org/posts/42YykiTqtGMyJAjDM/alignment-as-translation" TargetMode="External"/><Relationship Id="rId3111" Type="http://schemas.openxmlformats.org/officeDocument/2006/relationships/hyperlink" Target="https://arxiv.org/abs/1802.08232" TargetMode="External"/><Relationship Id="rId3110" Type="http://schemas.openxmlformats.org/officeDocument/2006/relationships/hyperlink" Target="https://mailchi.mp/4a1b3c4249ae/an-62are-adversarial-examples-caused-by-real-but-imperceptible-features" TargetMode="External"/><Relationship Id="rId3113" Type="http://schemas.openxmlformats.org/officeDocument/2006/relationships/hyperlink" Target="https://mailchi.mp/e402599bfb1f/reconnaissance-4" TargetMode="External"/><Relationship Id="rId3112" Type="http://schemas.openxmlformats.org/officeDocument/2006/relationships/hyperlink" Target="https://arxiv.org/abs/1802.08232" TargetMode="External"/><Relationship Id="rId3115" Type="http://schemas.openxmlformats.org/officeDocument/2006/relationships/hyperlink" Target="https://mailchi.mp/4b19d2caa5a9/alignment-newsletter-19" TargetMode="External"/><Relationship Id="rId3114" Type="http://schemas.openxmlformats.org/officeDocument/2006/relationships/hyperlink" Target="http://arxiv.org/abs/1807.11655" TargetMode="External"/><Relationship Id="rId3106" Type="http://schemas.openxmlformats.org/officeDocument/2006/relationships/hyperlink" Target="https://mailchi.mp/5ad3a9643b6b/alignment-newsletter-21" TargetMode="External"/><Relationship Id="rId3105" Type="http://schemas.openxmlformats.org/officeDocument/2006/relationships/hyperlink" Target="http://arxiv.org/abs/1808.06809" TargetMode="External"/><Relationship Id="rId3108" Type="http://schemas.openxmlformats.org/officeDocument/2006/relationships/hyperlink" Target="https://mailchi.mp/f2950ed2ac4b/alignment-newsletter-16" TargetMode="External"/><Relationship Id="rId3107" Type="http://schemas.openxmlformats.org/officeDocument/2006/relationships/hyperlink" Target="http://arxiv.org/abs/1807.05185" TargetMode="External"/><Relationship Id="rId3109" Type="http://schemas.openxmlformats.org/officeDocument/2006/relationships/hyperlink" Target="https://bair.berkeley.edu/blog/2019/08/13/memorization/" TargetMode="External"/><Relationship Id="rId3100" Type="http://schemas.openxmlformats.org/officeDocument/2006/relationships/hyperlink" Target="https://mailchi.mp/0ae5d69de63b/alignment-newsletter-5" TargetMode="External"/><Relationship Id="rId3102" Type="http://schemas.openxmlformats.org/officeDocument/2006/relationships/hyperlink" Target="https://mailchi.mp/8f5d302499be/alignment-newsletter-32" TargetMode="External"/><Relationship Id="rId3101" Type="http://schemas.openxmlformats.org/officeDocument/2006/relationships/hyperlink" Target="https://arxiv.org/abs/1811.01134" TargetMode="External"/><Relationship Id="rId3104" Type="http://schemas.openxmlformats.org/officeDocument/2006/relationships/hyperlink" Target="https://mailchi.mp/cfec6a0f6e73/alignment-newsletter-29" TargetMode="External"/><Relationship Id="rId3103" Type="http://schemas.openxmlformats.org/officeDocument/2006/relationships/hyperlink" Target="http://arxiv.org/abs/1810.04538" TargetMode="External"/><Relationship Id="rId3139" Type="http://schemas.openxmlformats.org/officeDocument/2006/relationships/hyperlink" Target="https://www.alignmentforum.org/posts/7im8at9PmhbT4JHsW/ngo-and-yudkowsky-on-alignment-difficulty" TargetMode="External"/><Relationship Id="rId3138" Type="http://schemas.openxmlformats.org/officeDocument/2006/relationships/hyperlink" Target="https://mailchi.mp/768a8130013f/alignment-newsletter-43" TargetMode="External"/><Relationship Id="rId3131" Type="http://schemas.openxmlformats.org/officeDocument/2006/relationships/hyperlink" Target="https://mailchi.mp/eef1d6c95d7c/an-78formalizing-power-and-instrumental-convergence-and-the-end-of-year-ai-safety-charity-comparison" TargetMode="External"/><Relationship Id="rId3130" Type="http://schemas.openxmlformats.org/officeDocument/2006/relationships/hyperlink" Target="https://www.alignmentforum.org/posts/6DuJxY8X45Sco4bS2/seeking-power-is-provably-instrumentally-convergent-in-mdps" TargetMode="External"/><Relationship Id="rId3133" Type="http://schemas.openxmlformats.org/officeDocument/2006/relationships/hyperlink" Target="https://mailchi.mp/b342d1a1bd06/an-59-how-arguments-for-ai-risk-have-changed-over-time" TargetMode="External"/><Relationship Id="rId3132" Type="http://schemas.openxmlformats.org/officeDocument/2006/relationships/hyperlink" Target="https://www.alignmentforum.org/posts/hubbRt4DPegiA5gRR/a-shift-in-arguments-for-ai-risk" TargetMode="External"/><Relationship Id="rId3135" Type="http://schemas.openxmlformats.org/officeDocument/2006/relationships/hyperlink" Target="https://mailchi.mp/93fe1a0a92da/alignment-newsletter-50" TargetMode="External"/><Relationship Id="rId3134" Type="http://schemas.openxmlformats.org/officeDocument/2006/relationships/hyperlink" Target="https://www.alignmentforum.org/posts/HBxe6wdjxK239zajf/what-failure-looks-like" TargetMode="External"/><Relationship Id="rId3137" Type="http://schemas.openxmlformats.org/officeDocument/2006/relationships/hyperlink" Target="https://www.alignmentforum.org/posts/JbcWQCxKWn3y49bNB/disentangling-arguments-for-the-importance-of-ai-safety" TargetMode="External"/><Relationship Id="rId3136" Type="http://schemas.openxmlformats.org/officeDocument/2006/relationships/hyperlink" Target="https://www.vox.com/future-perfect/2019/3/26/18281297/ai-artificial-intelligence-safety-disaster-scenarios" TargetMode="External"/><Relationship Id="rId3128" Type="http://schemas.openxmlformats.org/officeDocument/2006/relationships/hyperlink" Target="https://aiimpacts.org/conversation-with-adam-gleave/" TargetMode="External"/><Relationship Id="rId3127" Type="http://schemas.openxmlformats.org/officeDocument/2006/relationships/hyperlink" Target="https://mailchi.mp/b3dc916ac7e2/an-80-why-ai-risk-might-be-solved-without-additional-intervention-from-longtermists" TargetMode="External"/><Relationship Id="rId3129" Type="http://schemas.openxmlformats.org/officeDocument/2006/relationships/hyperlink" Target="https://mailchi.mp/b3dc916ac7e2/an-80-why-ai-risk-might-be-solved-without-additional-intervention-from-longtermists" TargetMode="External"/><Relationship Id="rId3120" Type="http://schemas.openxmlformats.org/officeDocument/2006/relationships/hyperlink" Target="https://www.alignmentforum.org/posts/Z5ZBPEgufmDsm7LAv/what-can-the-principal-agent-literature-tell-us-about-ai" TargetMode="External"/><Relationship Id="rId3122" Type="http://schemas.openxmlformats.org/officeDocument/2006/relationships/hyperlink" Target="https://aiimpacts.org/conversation-with-paul-christiano/" TargetMode="External"/><Relationship Id="rId3121" Type="http://schemas.openxmlformats.org/officeDocument/2006/relationships/hyperlink" Target="https://mailchi.mp/9d279b575b1a/an-88-how-the-principal-agent-literature-relates-to-ai-risk" TargetMode="External"/><Relationship Id="rId3124" Type="http://schemas.openxmlformats.org/officeDocument/2006/relationships/hyperlink" Target="https://aiimpacts.org/conversation-with-rohin-shah/" TargetMode="External"/><Relationship Id="rId3123" Type="http://schemas.openxmlformats.org/officeDocument/2006/relationships/hyperlink" Target="https://mailchi.mp/b3dc916ac7e2/an-80-why-ai-risk-might-be-solved-without-additional-intervention-from-longtermists" TargetMode="External"/><Relationship Id="rId3126" Type="http://schemas.openxmlformats.org/officeDocument/2006/relationships/hyperlink" Target="https://aiimpacts.org/conversation-with-robin-hanson/" TargetMode="External"/><Relationship Id="rId3125" Type="http://schemas.openxmlformats.org/officeDocument/2006/relationships/hyperlink" Target="https://mailchi.mp/b3dc916ac7e2/an-80-why-ai-risk-might-be-solved-without-additional-intervention-from-longtermists" TargetMode="External"/><Relationship Id="rId1378" Type="http://schemas.openxmlformats.org/officeDocument/2006/relationships/hyperlink" Target="https://arxiv.org/abs/1805.07008" TargetMode="External"/><Relationship Id="rId1379" Type="http://schemas.openxmlformats.org/officeDocument/2006/relationships/hyperlink" Target="https://mailchi.mp/15397ab6f65c/alignment-newsletter-8" TargetMode="External"/><Relationship Id="rId789" Type="http://schemas.openxmlformats.org/officeDocument/2006/relationships/hyperlink" Target="https://mailchi.mp/f6488137d76c/alignment-newsletter-42" TargetMode="External"/><Relationship Id="rId788" Type="http://schemas.openxmlformats.org/officeDocument/2006/relationships/hyperlink" Target="http://arxiv.org/abs/1901.00596" TargetMode="External"/><Relationship Id="rId787" Type="http://schemas.openxmlformats.org/officeDocument/2006/relationships/hyperlink" Target="https://mailchi.mp/a90a547f06f2/alignment-newsletter-51" TargetMode="External"/><Relationship Id="rId786" Type="http://schemas.openxmlformats.org/officeDocument/2006/relationships/hyperlink" Target="https://ai.googleblog.com/2019/03/measuring-limits-of-data-parallel.html" TargetMode="External"/><Relationship Id="rId781" Type="http://schemas.openxmlformats.org/officeDocument/2006/relationships/hyperlink" Target="https://arxiv.org/pdf/1903.07291.pdf" TargetMode="External"/><Relationship Id="rId1370" Type="http://schemas.openxmlformats.org/officeDocument/2006/relationships/hyperlink" Target="https://mailchi.mp/9887edab4e73/an-137-quantifying-the-benefits-of-pretraining-on-downstream-task-performance" TargetMode="External"/><Relationship Id="rId780" Type="http://schemas.openxmlformats.org/officeDocument/2006/relationships/hyperlink" Target="https://mailchi.mp/3e2f43012b07/an-54-boxing-a-finite-horizon-ai-system-to-keep-it-unambitious" TargetMode="External"/><Relationship Id="rId1371" Type="http://schemas.openxmlformats.org/officeDocument/2006/relationships/hyperlink" Target="https://www.lesswrong.com/posts/E3qhjwJAgCW6wGRpH/multi-winner-voting-a-question-of-alignment" TargetMode="External"/><Relationship Id="rId1372" Type="http://schemas.openxmlformats.org/officeDocument/2006/relationships/hyperlink" Target="https://mailchi.mp/e6a23da2760e/alignment-newsletter-3?e=f665c7b50a" TargetMode="External"/><Relationship Id="rId1373" Type="http://schemas.openxmlformats.org/officeDocument/2006/relationships/hyperlink" Target="https://www.lesserwrong.com/posts/D6trAzh6DApKPhbv4/a-voting-theory-primer-for-rationalists" TargetMode="External"/><Relationship Id="rId785" Type="http://schemas.openxmlformats.org/officeDocument/2006/relationships/hyperlink" Target="https://arxiv.org/abs/1804.08838" TargetMode="External"/><Relationship Id="rId1374" Type="http://schemas.openxmlformats.org/officeDocument/2006/relationships/hyperlink" Target="http://arxiv.org/abs/1906.10667" TargetMode="External"/><Relationship Id="rId784" Type="http://schemas.openxmlformats.org/officeDocument/2006/relationships/hyperlink" Target="https://mailchi.mp/534f448d6c8b/alignment-newsletter-53" TargetMode="External"/><Relationship Id="rId1375" Type="http://schemas.openxmlformats.org/officeDocument/2006/relationships/hyperlink" Target="https://mailchi.mp/c8ea4a5e842f/an-66-decomposing-robustness-into-capability-robustness-and-alignment-robustness" TargetMode="External"/><Relationship Id="rId783" Type="http://schemas.openxmlformats.org/officeDocument/2006/relationships/hyperlink" Target="https://eng.uber.com/intrinsic-dimension/" TargetMode="External"/><Relationship Id="rId1376" Type="http://schemas.openxmlformats.org/officeDocument/2006/relationships/hyperlink" Target="http://arxiv.org/abs/1805.08296" TargetMode="External"/><Relationship Id="rId782" Type="http://schemas.openxmlformats.org/officeDocument/2006/relationships/hyperlink" Target="https://mailchi.mp/3e2f43012b07/an-54-boxing-a-finite-horizon-ai-system-to-keep-it-unambitious" TargetMode="External"/><Relationship Id="rId1377" Type="http://schemas.openxmlformats.org/officeDocument/2006/relationships/hyperlink" Target="https://mailchi.mp/15397ab6f65c/alignment-newsletter-8" TargetMode="External"/><Relationship Id="rId1367" Type="http://schemas.openxmlformats.org/officeDocument/2006/relationships/hyperlink" Target="http://arxiv.org/abs/1809.04918" TargetMode="External"/><Relationship Id="rId2698" Type="http://schemas.openxmlformats.org/officeDocument/2006/relationships/hyperlink" Target="https://deepmind.com/careers/jobs/3402612" TargetMode="External"/><Relationship Id="rId1368" Type="http://schemas.openxmlformats.org/officeDocument/2006/relationships/hyperlink" Target="https://mailchi.mp/0c5eeec28f75/alignment-newsletter-25" TargetMode="External"/><Relationship Id="rId2699" Type="http://schemas.openxmlformats.org/officeDocument/2006/relationships/hyperlink" Target="https://mailchi.mp/dcab1b7edaa3/an-164-how-well-can-language-models-write-code" TargetMode="External"/><Relationship Id="rId1369" Type="http://schemas.openxmlformats.org/officeDocument/2006/relationships/hyperlink" Target="https://arxiv.org/abs/1907.03843" TargetMode="External"/><Relationship Id="rId778" Type="http://schemas.openxmlformats.org/officeDocument/2006/relationships/hyperlink" Target="https://www.shortscience.org/paper?bibtexKey=zhou2019deconstructing&amp;a=decodyng" TargetMode="External"/><Relationship Id="rId777" Type="http://schemas.openxmlformats.org/officeDocument/2006/relationships/hyperlink" Target="https://mailchi.mp/392d2043e782/an-57why-we-should-focus-on-robustness-in-ai-safety-and-the-analogous-problems-in-programming" TargetMode="External"/><Relationship Id="rId776" Type="http://schemas.openxmlformats.org/officeDocument/2006/relationships/hyperlink" Target="https://eng.uber.com/deconstructing-lottery-tickets/" TargetMode="External"/><Relationship Id="rId775" Type="http://schemas.openxmlformats.org/officeDocument/2006/relationships/hyperlink" Target="https://mailchi.mp/92b3a9458c2d/an-58-mesa-optimization-what-it-is-and-why-we-should-care" TargetMode="External"/><Relationship Id="rId779" Type="http://schemas.openxmlformats.org/officeDocument/2006/relationships/hyperlink" Target="https://staff.fnwi.uva.nl/m.welling/wp-content/uploads/Model-versus-Data-AI-1.pdf" TargetMode="External"/><Relationship Id="rId770" Type="http://schemas.openxmlformats.org/officeDocument/2006/relationships/hyperlink" Target="https://ai.facebook.com/blog/understanding-the-generalization-of-lottery-tickets-in-neural-networks" TargetMode="External"/><Relationship Id="rId2690" Type="http://schemas.openxmlformats.org/officeDocument/2006/relationships/hyperlink" Target="https://boards.greenhouse.io/openai/jobs/4143981004?gh_src=4972b51c4us" TargetMode="External"/><Relationship Id="rId1360" Type="http://schemas.openxmlformats.org/officeDocument/2006/relationships/hyperlink" Target="https://mailchi.mp/14782876a85d/alignment-newsletter-2" TargetMode="External"/><Relationship Id="rId2691" Type="http://schemas.openxmlformats.org/officeDocument/2006/relationships/hyperlink" Target="https://mailchi.mp/a08565612790/an-169collaborating-with-humans-without-human-data" TargetMode="External"/><Relationship Id="rId1361" Type="http://schemas.openxmlformats.org/officeDocument/2006/relationships/hyperlink" Target="http://arxiv.org/abs/1808.02093" TargetMode="External"/><Relationship Id="rId2692" Type="http://schemas.openxmlformats.org/officeDocument/2006/relationships/hyperlink" Target="https://humancompatible.ai/jobs" TargetMode="External"/><Relationship Id="rId1362" Type="http://schemas.openxmlformats.org/officeDocument/2006/relationships/hyperlink" Target="https://mailchi.mp/4b19d2caa5a9/alignment-newsletter-19" TargetMode="External"/><Relationship Id="rId2693" Type="http://schemas.openxmlformats.org/officeDocument/2006/relationships/hyperlink" Target="https://mailchi.mp/08a639ffa2ba/an-167concrete-ml-safety-problems-and-their-relevance-to-x-risk" TargetMode="External"/><Relationship Id="rId774" Type="http://schemas.openxmlformats.org/officeDocument/2006/relationships/hyperlink" Target="https://nostalgebraist.tumblr.com/post/185326092369/the-transformer-explained" TargetMode="External"/><Relationship Id="rId1363" Type="http://schemas.openxmlformats.org/officeDocument/2006/relationships/hyperlink" Target="http://arxiv.org/abs/1806.04067" TargetMode="External"/><Relationship Id="rId2694" Type="http://schemas.openxmlformats.org/officeDocument/2006/relationships/hyperlink" Target="https://grants.futureoflife.org/" TargetMode="External"/><Relationship Id="rId773" Type="http://schemas.openxmlformats.org/officeDocument/2006/relationships/hyperlink" Target="https://mailchi.mp/3e34fa1f299a/an-75-solving-atari-and-go-with-learned-game-models-and-thoughts-from-a-miri-employee" TargetMode="External"/><Relationship Id="rId1364" Type="http://schemas.openxmlformats.org/officeDocument/2006/relationships/hyperlink" Target="https://mailchi.mp/7ad36e25be22/alignment-newsletter-11" TargetMode="External"/><Relationship Id="rId2695" Type="http://schemas.openxmlformats.org/officeDocument/2006/relationships/hyperlink" Target="https://mailchi.mp/bfd4b0ddf358/an-165when-large-models-are-more-likely-to-lie" TargetMode="External"/><Relationship Id="rId772" Type="http://schemas.openxmlformats.org/officeDocument/2006/relationships/hyperlink" Target="http://arxiv.org/abs/1905.12149" TargetMode="External"/><Relationship Id="rId1365" Type="http://schemas.openxmlformats.org/officeDocument/2006/relationships/hyperlink" Target="http://arxiv.org/abs/1806.04562" TargetMode="External"/><Relationship Id="rId2696" Type="http://schemas.openxmlformats.org/officeDocument/2006/relationships/hyperlink" Target="https://www.openphilanthropy.org/focus/global-catastrophic-risks/potential-risks-advanced-artificial-intelligence/the-open-phil-ai-fellowship" TargetMode="External"/><Relationship Id="rId771" Type="http://schemas.openxmlformats.org/officeDocument/2006/relationships/hyperlink" Target="https://mailchi.mp/d2f2d15b7114/an-77-double-descent-a-unification-of-statistical-theory-and-modern-ml-practice" TargetMode="External"/><Relationship Id="rId1366" Type="http://schemas.openxmlformats.org/officeDocument/2006/relationships/hyperlink" Target="https://mailchi.mp/7ad36e25be22/alignment-newsletter-11" TargetMode="External"/><Relationship Id="rId2697" Type="http://schemas.openxmlformats.org/officeDocument/2006/relationships/hyperlink" Target="https://mailchi.mp/bfd4b0ddf358/an-165when-large-models-are-more-likely-to-lie" TargetMode="External"/><Relationship Id="rId1390" Type="http://schemas.openxmlformats.org/officeDocument/2006/relationships/hyperlink" Target="https://bair.berkeley.edu/blog/2020/07/11/auction/" TargetMode="External"/><Relationship Id="rId1391" Type="http://schemas.openxmlformats.org/officeDocument/2006/relationships/hyperlink" Target="https://mailchi.mp/d31663e4d330/an-116-how-to-make-explanations-of-neurons-compositional" TargetMode="External"/><Relationship Id="rId1392" Type="http://schemas.openxmlformats.org/officeDocument/2006/relationships/hyperlink" Target="https://arxiv.org/abs/2007.02382" TargetMode="External"/><Relationship Id="rId1393" Type="http://schemas.openxmlformats.org/officeDocument/2006/relationships/hyperlink" Target="http://www.cs.toronto.edu/~rntoro/docs/LRM_paper.pdf" TargetMode="External"/><Relationship Id="rId1394" Type="http://schemas.openxmlformats.org/officeDocument/2006/relationships/hyperlink" Target="https://mailchi.mp/df363224d0e4/an-107-the-convergent-instrumental-subgoals-of-goal-directed-agents" TargetMode="External"/><Relationship Id="rId1395" Type="http://schemas.openxmlformats.org/officeDocument/2006/relationships/hyperlink" Target="https://ai.googleblog.com/2020/05/dads-unsupervised-reinforcement.html" TargetMode="External"/><Relationship Id="rId1396" Type="http://schemas.openxmlformats.org/officeDocument/2006/relationships/hyperlink" Target="https://mailchi.mp/2485e6b42012/an-102-meta-learning-by-gpt-3-and-a-list-of-full-proposals-for-ai-alignment" TargetMode="External"/><Relationship Id="rId1397" Type="http://schemas.openxmlformats.org/officeDocument/2006/relationships/hyperlink" Target="https://arxiv.org/abs/1907.01657" TargetMode="External"/><Relationship Id="rId1398" Type="http://schemas.openxmlformats.org/officeDocument/2006/relationships/hyperlink" Target="http://arxiv.org/abs/1907.10580" TargetMode="External"/><Relationship Id="rId1399" Type="http://schemas.openxmlformats.org/officeDocument/2006/relationships/hyperlink" Target="https://mailchi.mp/2abdf19aa813/an-61ai-policy-and-governance-from-two-people-in-the-field" TargetMode="External"/><Relationship Id="rId1389" Type="http://schemas.openxmlformats.org/officeDocument/2006/relationships/hyperlink" Target="https://mailchi.mp/bbd47ba94e84/alignment-newsletter-35" TargetMode="External"/><Relationship Id="rId799" Type="http://schemas.openxmlformats.org/officeDocument/2006/relationships/hyperlink" Target="https://mailchi.mp/0212425e5544/alignment-newsletter-27" TargetMode="External"/><Relationship Id="rId798" Type="http://schemas.openxmlformats.org/officeDocument/2006/relationships/hyperlink" Target="https://www.lesswrong.com/posts/PQu2YPtcm2dQLSsu9/the-unreasonable-effectiveness-of-deep-learning" TargetMode="External"/><Relationship Id="rId797" Type="http://schemas.openxmlformats.org/officeDocument/2006/relationships/hyperlink" Target="https://mailchi.mp/0212425e5544/alignment-newsletter-27" TargetMode="External"/><Relationship Id="rId1380" Type="http://schemas.openxmlformats.org/officeDocument/2006/relationships/hyperlink" Target="https://arxiv.org/abs/1805.08180" TargetMode="External"/><Relationship Id="rId792" Type="http://schemas.openxmlformats.org/officeDocument/2006/relationships/hyperlink" Target="https://ai.googleblog.com/2018/11/open-sourcing-bert-state-of-art-pre.html" TargetMode="External"/><Relationship Id="rId1381" Type="http://schemas.openxmlformats.org/officeDocument/2006/relationships/hyperlink" Target="https://mailchi.mp/15397ab6f65c/alignment-newsletter-8" TargetMode="External"/><Relationship Id="rId791" Type="http://schemas.openxmlformats.org/officeDocument/2006/relationships/hyperlink" Target="https://mailchi.mp/6eb8190e723f/alignment-newsletter-37" TargetMode="External"/><Relationship Id="rId1382" Type="http://schemas.openxmlformats.org/officeDocument/2006/relationships/hyperlink" Target="https://arxiv.org/abs/1904.01033" TargetMode="External"/><Relationship Id="rId790" Type="http://schemas.openxmlformats.org/officeDocument/2006/relationships/hyperlink" Target="https://blog.openai.com/science-of-ai/" TargetMode="External"/><Relationship Id="rId1383" Type="http://schemas.openxmlformats.org/officeDocument/2006/relationships/hyperlink" Target="https://mailchi.mp/894417149126/an-56-should-ml-researchers-stop-running-experiments-before-making-hypotheses" TargetMode="External"/><Relationship Id="rId1384" Type="http://schemas.openxmlformats.org/officeDocument/2006/relationships/hyperlink" Target="http://arxiv.org/abs/1903.01567" TargetMode="External"/><Relationship Id="rId796" Type="http://schemas.openxmlformats.org/officeDocument/2006/relationships/hyperlink" Target="http://arxiv.org/abs/1809.11096" TargetMode="External"/><Relationship Id="rId1385" Type="http://schemas.openxmlformats.org/officeDocument/2006/relationships/hyperlink" Target="https://mailchi.mp/efed27be268a/alignment-newsletter-49" TargetMode="External"/><Relationship Id="rId795" Type="http://schemas.openxmlformats.org/officeDocument/2006/relationships/hyperlink" Target="https://mailchi.mp/c1f376f3a12e/alignment-newsletter-30" TargetMode="External"/><Relationship Id="rId1386" Type="http://schemas.openxmlformats.org/officeDocument/2006/relationships/hyperlink" Target="http://arxiv.org/abs/1901.01365" TargetMode="External"/><Relationship Id="rId794" Type="http://schemas.openxmlformats.org/officeDocument/2006/relationships/hyperlink" Target="http://arxiv.org/abs/1806.01830" TargetMode="External"/><Relationship Id="rId1387" Type="http://schemas.openxmlformats.org/officeDocument/2006/relationships/hyperlink" Target="https://mailchi.mp/8c3f02cabccd/alignment-newsletter-41" TargetMode="External"/><Relationship Id="rId793" Type="http://schemas.openxmlformats.org/officeDocument/2006/relationships/hyperlink" Target="https://mailchi.mp/8f5d302499be/alignment-newsletter-32" TargetMode="External"/><Relationship Id="rId1388" Type="http://schemas.openxmlformats.org/officeDocument/2006/relationships/hyperlink" Target="http://arxiv.org/abs/1811.09656" TargetMode="External"/><Relationship Id="rId3191" Type="http://schemas.openxmlformats.org/officeDocument/2006/relationships/hyperlink" Target="https://mailchi.mp/e6a23da2760e/alignment-newsletter-3?e=f665c7b50a" TargetMode="External"/><Relationship Id="rId3190" Type="http://schemas.openxmlformats.org/officeDocument/2006/relationships/hyperlink" Target="https://ai-alignment.com/implicit-extortion-3c80c45af1e3" TargetMode="External"/><Relationship Id="rId3193" Type="http://schemas.openxmlformats.org/officeDocument/2006/relationships/hyperlink" Target="https://mailchi.mp/51717855ea27/alignment-newsletter-18" TargetMode="External"/><Relationship Id="rId3192" Type="http://schemas.openxmlformats.org/officeDocument/2006/relationships/hyperlink" Target="https://www.lesswrong.com/posts/cKfryXvyJ522iFuNF/a-gym-gridworld-environment-for-the-treacherous-turn" TargetMode="External"/><Relationship Id="rId3195" Type="http://schemas.openxmlformats.org/officeDocument/2006/relationships/hyperlink" Target="https://www.alignmentforum.org/posts/b6jJddSvWMdZHJHh3/environmental-structure-can-cause-instrumental-convergence" TargetMode="External"/><Relationship Id="rId3194" Type="http://schemas.openxmlformats.org/officeDocument/2006/relationships/hyperlink" Target="https://arxiv.org/abs/2112.04359" TargetMode="External"/><Relationship Id="rId3197" Type="http://schemas.openxmlformats.org/officeDocument/2006/relationships/hyperlink" Target="https://www.alignmentforum.org/posts/dSAJdi99XmqftqXXq/eight-claims-about-multi-agent-agi-safety" TargetMode="External"/><Relationship Id="rId3196" Type="http://schemas.openxmlformats.org/officeDocument/2006/relationships/hyperlink" Target="https://mailchi.mp/54987353654b/an-153experiments-that-demonstrate-failures-of-objective-robustness" TargetMode="External"/><Relationship Id="rId3199" Type="http://schemas.openxmlformats.org/officeDocument/2006/relationships/hyperlink" Target="https://www.alignmentforum.org/posts/saRRRdMnMPXXtQBNi/unsupervised-translation-as-a-safety-problem" TargetMode="External"/><Relationship Id="rId3198" Type="http://schemas.openxmlformats.org/officeDocument/2006/relationships/hyperlink" Target="https://mailchi.mp/c8b57f25d787/an-133building-machines-that-can-cooperate-with-humans-institutions-or-other-machines" TargetMode="External"/><Relationship Id="rId3180" Type="http://schemas.openxmlformats.org/officeDocument/2006/relationships/hyperlink" Target="https://www.alignmentforum.org/posts/brXr7PJ2W4Na2EW2q/the-commitment-races-problem" TargetMode="External"/><Relationship Id="rId3182" Type="http://schemas.openxmlformats.org/officeDocument/2006/relationships/hyperlink" Target="https://alignmentforum.org/posts/rASeoR7iZ9Fokzh7L/problems-in-ai-alignment-that-philosophers-could-potentially" TargetMode="External"/><Relationship Id="rId3181" Type="http://schemas.openxmlformats.org/officeDocument/2006/relationships/hyperlink" Target="https://mailchi.mp/533c646a4b21/an-63how-architecture-search-meta-learning-and-environment-design-could-lead-to-general-intelligence" TargetMode="External"/><Relationship Id="rId3184" Type="http://schemas.openxmlformats.org/officeDocument/2006/relationships/hyperlink" Target="http://www.overcomingbias.com/2019/04/agency-failure-ai-apocalypse.html" TargetMode="External"/><Relationship Id="rId3183" Type="http://schemas.openxmlformats.org/officeDocument/2006/relationships/hyperlink" Target="https://mailchi.mp/4a1b3c4249ae/an-62are-adversarial-examples-caused-by-real-but-imperceptible-features" TargetMode="External"/><Relationship Id="rId3186" Type="http://schemas.openxmlformats.org/officeDocument/2006/relationships/hyperlink" Target="https://www.alignmentforum.org/posts/WXvt8bxYnwBYpy9oT/the-main-sources-of-ai-risk" TargetMode="External"/><Relationship Id="rId3185" Type="http://schemas.openxmlformats.org/officeDocument/2006/relationships/hyperlink" Target="https://mailchi.mp/894417149126/an-56-should-ml-researchers-stop-running-experiments-before-making-hypotheses" TargetMode="External"/><Relationship Id="rId3188" Type="http://schemas.openxmlformats.org/officeDocument/2006/relationships/hyperlink" Target="https://www.lesswrong.com/posts/whRPLBZNQm3JD5Zv8/imitation-learning-considered-unsafe" TargetMode="External"/><Relationship Id="rId3187" Type="http://schemas.openxmlformats.org/officeDocument/2006/relationships/hyperlink" Target="https://mailchi.mp/93fe1a0a92da/alignment-newsletter-50" TargetMode="External"/><Relationship Id="rId3189" Type="http://schemas.openxmlformats.org/officeDocument/2006/relationships/hyperlink" Target="https://mailchi.mp/b649f32b07da/alignment-newsletter-40" TargetMode="External"/><Relationship Id="rId3151" Type="http://schemas.openxmlformats.org/officeDocument/2006/relationships/hyperlink" Target="https://mailchi.mp/2d838dcbd3b0/an-146plausible-stories-of-how-we-might-fail-to-avert-an-existential-catastrophe" TargetMode="External"/><Relationship Id="rId3150" Type="http://schemas.openxmlformats.org/officeDocument/2006/relationships/hyperlink" Target="https://www.alignmentforum.org/posts/LpM3EAakwYdS6aRKf/what-multipolar-failure-looks-like-and-robust-agent-agnostic" TargetMode="External"/><Relationship Id="rId3153" Type="http://schemas.openxmlformats.org/officeDocument/2006/relationships/hyperlink" Target="https://mailchi.mp/2d838dcbd3b0/an-146plausible-stories-of-how-we-might-fail-to-avert-an-existential-catastrophe" TargetMode="External"/><Relationship Id="rId3152" Type="http://schemas.openxmlformats.org/officeDocument/2006/relationships/hyperlink" Target="https://www.alignmentforum.org/posts/AyNHoTWWAJ5eb99ji/another-outer-alignment-failure-story" TargetMode="External"/><Relationship Id="rId3155" Type="http://schemas.openxmlformats.org/officeDocument/2006/relationships/hyperlink" Target="https://mailchi.mp/945690ef08b7/an-131-formalizing-the-argument-of-ignored-attributes-in-a-utility-function" TargetMode="External"/><Relationship Id="rId3154" Type="http://schemas.openxmlformats.org/officeDocument/2006/relationships/hyperlink" Target="https://proceedings.neurips.cc/paper/2020/file/b607ba543ad05417b8507ee86c54fcb7-Paper.pdf" TargetMode="External"/><Relationship Id="rId3157" Type="http://schemas.openxmlformats.org/officeDocument/2006/relationships/hyperlink" Target="https://mailchi.mp/2f9c49ea473f/an-115ai-safety-research-problems-in-the-ai-ga-framework" TargetMode="External"/><Relationship Id="rId3156" Type="http://schemas.openxmlformats.org/officeDocument/2006/relationships/hyperlink" Target="https://arxiv.org/abs/2006.07495" TargetMode="External"/><Relationship Id="rId3159" Type="http://schemas.openxmlformats.org/officeDocument/2006/relationships/hyperlink" Target="https://alignmentforum.org/posts/ZyWyAJbedvEgRT2uF/inaccessible-information" TargetMode="External"/><Relationship Id="rId3158" Type="http://schemas.openxmlformats.org/officeDocument/2006/relationships/hyperlink" Target="https://mailchi.mp/ee62c1c9e331/an-109teaching-neural-nets-to-generalize-the-way-humans-would" TargetMode="External"/><Relationship Id="rId3149" Type="http://schemas.openxmlformats.org/officeDocument/2006/relationships/hyperlink" Target="https://mailchi.mp/15ed28377c48/an-162-foundation-models-a-paradigm-shift-within-ai" TargetMode="External"/><Relationship Id="rId3140" Type="http://schemas.openxmlformats.org/officeDocument/2006/relationships/hyperlink" Target="https://mailchi.mp/083a96caafb4/an-171-disagreements-between-alignment-optimists-and-pessimists" TargetMode="External"/><Relationship Id="rId3142" Type="http://schemas.openxmlformats.org/officeDocument/2006/relationships/hyperlink" Target="https://mailchi.mp/6a288a3cd011/an-170analyzing-the-argument-for-risk-from-power-seeking-ai" TargetMode="External"/><Relationship Id="rId3141" Type="http://schemas.openxmlformats.org/officeDocument/2006/relationships/hyperlink" Target="https://www.alignmentforum.org/posts/HduCjmXTBD4xYTegv/draft-report-on-existential-risk-from-power-seeking-ai" TargetMode="External"/><Relationship Id="rId3144" Type="http://schemas.openxmlformats.org/officeDocument/2006/relationships/hyperlink" Target="https://mailchi.mp/6a288a3cd011/an-170analyzing-the-argument-for-risk-from-power-seeking-ai" TargetMode="External"/><Relationship Id="rId3143" Type="http://schemas.openxmlformats.org/officeDocument/2006/relationships/hyperlink" Target="https://www.alignmentforum.org/posts/cCMihiwtZx7kdcKgt/comments-on-carlsmith-s-is-power-seeking-ai-an-existential" TargetMode="External"/><Relationship Id="rId3146" Type="http://schemas.openxmlformats.org/officeDocument/2006/relationships/hyperlink" Target="https://mailchi.mp/bfd4b0ddf358/an-165when-large-models-are-more-likely-to-lie" TargetMode="External"/><Relationship Id="rId3145" Type="http://schemas.openxmlformats.org/officeDocument/2006/relationships/hyperlink" Target="https://arxiv.org/abs/2109.07958" TargetMode="External"/><Relationship Id="rId3148" Type="http://schemas.openxmlformats.org/officeDocument/2006/relationships/hyperlink" Target="https://arxiv.org/abs/2108.07258" TargetMode="External"/><Relationship Id="rId3147" Type="http://schemas.openxmlformats.org/officeDocument/2006/relationships/hyperlink" Target="https://www.alignmentforum.org/posts/PF58wEdztZFX2dSue/how-truthful-is-gpt-3-a-benchmark-for-language-models" TargetMode="External"/><Relationship Id="rId3171" Type="http://schemas.openxmlformats.org/officeDocument/2006/relationships/hyperlink" Target="https://www.alignmentforum.org/posts/v6Q7T335KCMxujhZu/clarifying-what-failure-looks-like-part-1" TargetMode="External"/><Relationship Id="rId3170" Type="http://schemas.openxmlformats.org/officeDocument/2006/relationships/hyperlink" Target="https://mailchi.mp/dba8371e9221/an-149-the-newsletters-editorial-policy" TargetMode="External"/><Relationship Id="rId3173" Type="http://schemas.openxmlformats.org/officeDocument/2006/relationships/hyperlink" Target="https://www.lesswrong.com/posts/iK2F9QDZvwWinsBYB/non-adversarial-goodhart-and-ai-risks" TargetMode="External"/><Relationship Id="rId3172" Type="http://schemas.openxmlformats.org/officeDocument/2006/relationships/hyperlink" Target="https://mailchi.mp/42ec72ef7e11/an-120tracing-the-intellectual-roots-of-ai-and-ai-alignment" TargetMode="External"/><Relationship Id="rId3175" Type="http://schemas.openxmlformats.org/officeDocument/2006/relationships/hyperlink" Target="https://www.lesserwrong.com/posts/EbFABnst8LsidYs5Y/goodhart-taxonomy" TargetMode="External"/><Relationship Id="rId3174" Type="http://schemas.openxmlformats.org/officeDocument/2006/relationships/hyperlink" Target="https://mailchi.mp/33af21f908b5/reconnaissance-5" TargetMode="External"/><Relationship Id="rId3177" Type="http://schemas.openxmlformats.org/officeDocument/2006/relationships/hyperlink" Target="https://mailchi.mp/1106d0ce6766/an-76how-dataset-size-affects-robustness-and-benchmarking-safe-exploration-by-measuring-constraint-violations" TargetMode="External"/><Relationship Id="rId3176" Type="http://schemas.openxmlformats.org/officeDocument/2006/relationships/hyperlink" Target="https://www.alignmentforum.org/posts/yXPT4nr4as7JvxLQa/classifying-specification-problems-as-variants-of-goodhart-s" TargetMode="External"/><Relationship Id="rId3179" Type="http://schemas.openxmlformats.org/officeDocument/2006/relationships/hyperlink" Target="https://mailchi.mp/3e34fa1f299a/an-75-solving-atari-and-go-with-learned-game-models-and-thoughts-from-a-miri-employee" TargetMode="External"/><Relationship Id="rId3178" Type="http://schemas.openxmlformats.org/officeDocument/2006/relationships/hyperlink" Target="https://www.alignmentforum.org/posts/vXzM5L6njDZSf4Ftk/defining-ai-wireheading" TargetMode="External"/><Relationship Id="rId3160" Type="http://schemas.openxmlformats.org/officeDocument/2006/relationships/hyperlink" Target="https://mailchi.mp/ba4d1765368f/an-104-the-perils-of-inaccessible-information-and-what-we-can-learn-about-ai-alignment-from-covid" TargetMode="External"/><Relationship Id="rId3162" Type="http://schemas.openxmlformats.org/officeDocument/2006/relationships/hyperlink" Target="https://mailchi.mp/ff6340049bd0/alignment-newsletter-1" TargetMode="External"/><Relationship Id="rId3161" Type="http://schemas.openxmlformats.org/officeDocument/2006/relationships/hyperlink" Target="https://vkrakovna.wordpress.com/2018/04/02/specification-gaming-examples-in-ai/" TargetMode="External"/><Relationship Id="rId3164" Type="http://schemas.openxmlformats.org/officeDocument/2006/relationships/hyperlink" Target="https://mailchi.mp/732eaa192df0/an-70-agents-that-help-humans-who-are-still-learning-about-their-own-preferences" TargetMode="External"/><Relationship Id="rId3163" Type="http://schemas.openxmlformats.org/officeDocument/2006/relationships/hyperlink" Target="https://www.mdpi.com/2504-2289/3/2/21/htm" TargetMode="External"/><Relationship Id="rId3166" Type="http://schemas.openxmlformats.org/officeDocument/2006/relationships/hyperlink" Target="https://mailchi.mp/6a288a3cd011/an-170analyzing-the-argument-for-risk-from-power-seeking-ai" TargetMode="External"/><Relationship Id="rId3165" Type="http://schemas.openxmlformats.org/officeDocument/2006/relationships/hyperlink" Target="https://openreview.net/forum?id=JYtwGwIL7ye" TargetMode="External"/><Relationship Id="rId3168" Type="http://schemas.openxmlformats.org/officeDocument/2006/relationships/hyperlink" Target="https://mailchi.mp/5fb91dfd758a/an-166-is-it-crazy-to-claim-were-in-the-most-important-century" TargetMode="External"/><Relationship Id="rId3167" Type="http://schemas.openxmlformats.org/officeDocument/2006/relationships/hyperlink" Target="https://www.cold-takes.com/why-ai-alignment-could-be-hard-with-modern-deep-learning/" TargetMode="External"/><Relationship Id="rId3169" Type="http://schemas.openxmlformats.org/officeDocument/2006/relationships/hyperlink" Target="https://ai-alignment.com/low-stakes-alignment-f3c36606937f" TargetMode="External"/><Relationship Id="rId2700" Type="http://schemas.openxmlformats.org/officeDocument/2006/relationships/hyperlink" Target="https://www.cooperativeai.com/neurips-2021/workshop-information" TargetMode="External"/><Relationship Id="rId2701" Type="http://schemas.openxmlformats.org/officeDocument/2006/relationships/hyperlink" Target="https://mailchi.mp/24cc937b2489/an-161creating-generalizable-reward-functions-for-multiple-tasks-by-learning-a-model-of-functional-similarity" TargetMode="External"/><Relationship Id="rId2702" Type="http://schemas.openxmlformats.org/officeDocument/2006/relationships/hyperlink" Target="https://forum.effectivealtruism.org/posts/oz4ZWh6xpgFheJror/you-can-now-apply-to-ea-funds-anytime-ltff-and-eaif-only" TargetMode="External"/><Relationship Id="rId2703" Type="http://schemas.openxmlformats.org/officeDocument/2006/relationships/hyperlink" Target="https://mailchi.mp/54987353654b/an-153experiments-that-demonstrate-failures-of-objective-robustness" TargetMode="External"/><Relationship Id="rId2704" Type="http://schemas.openxmlformats.org/officeDocument/2006/relationships/hyperlink" Target="https://www.sericonference.org/" TargetMode="External"/><Relationship Id="rId2705" Type="http://schemas.openxmlformats.org/officeDocument/2006/relationships/hyperlink" Target="https://mailchi.mp/23ad2781da2f/an-144how-language-models-can-also-be-finetuned-for-non-language-tasks" TargetMode="External"/><Relationship Id="rId2706" Type="http://schemas.openxmlformats.org/officeDocument/2006/relationships/hyperlink" Target="https://jobs.lever.co/openai/2cbafe18-54f7-43c1-b306-9877b36efb44" TargetMode="External"/><Relationship Id="rId2707" Type="http://schemas.openxmlformats.org/officeDocument/2006/relationships/hyperlink" Target="https://mailchi.mp/23ad2781da2f/an-144how-language-models-can-also-be-finetuned-for-non-language-tasks" TargetMode="External"/><Relationship Id="rId2708" Type="http://schemas.openxmlformats.org/officeDocument/2006/relationships/hyperlink" Target="https://www.sohu.com/a/427998491_464088." TargetMode="External"/><Relationship Id="rId2709" Type="http://schemas.openxmlformats.org/officeDocument/2006/relationships/hyperlink" Target="https://mailchi.mp/8aae224669a8/an-143how-to-make-embedded-agents-that-reason-probabilistically-about-their-environments" TargetMode="External"/><Relationship Id="rId2720" Type="http://schemas.openxmlformats.org/officeDocument/2006/relationships/hyperlink" Target="https://www.fhi.ox.ac.uk/researcher-hiring-2020/" TargetMode="External"/><Relationship Id="rId2721" Type="http://schemas.openxmlformats.org/officeDocument/2006/relationships/hyperlink" Target="https://mailchi.mp/c85a95604c5c/an-117how-neural-nets-would-fare-under-the-tevv-framework" TargetMode="External"/><Relationship Id="rId2722" Type="http://schemas.openxmlformats.org/officeDocument/2006/relationships/hyperlink" Target="https://www.cooperativeai.com/" TargetMode="External"/><Relationship Id="rId2723" Type="http://schemas.openxmlformats.org/officeDocument/2006/relationships/hyperlink" Target="https://mailchi.mp/d31663e4d330/an-116-how-to-make-explanations-of-neurons-compositional" TargetMode="External"/><Relationship Id="rId2724" Type="http://schemas.openxmlformats.org/officeDocument/2006/relationships/hyperlink" Target="https://jobs.lever.co/openai/994b4b81-d2ef-4d74-ae80-5cdb9b6e2dfa" TargetMode="External"/><Relationship Id="rId2725" Type="http://schemas.openxmlformats.org/officeDocument/2006/relationships/hyperlink" Target="https://mailchi.mp/d31663e4d330/an-116-how-to-make-explanations-of-neurons-compositional" TargetMode="External"/><Relationship Id="rId2726" Type="http://schemas.openxmlformats.org/officeDocument/2006/relationships/hyperlink" Target="https://www.openphilanthropy.org/focus/other-areas/early-career-funding-individuals-interested-improving-long-term-future?fbclid=IwAR3bA_4piJVHwSREGaH6g0O3CReNw3SlLNpd7jMAQTygSeMrkwyRfoPRbcA" TargetMode="External"/><Relationship Id="rId2727" Type="http://schemas.openxmlformats.org/officeDocument/2006/relationships/hyperlink" Target="https://mailchi.mp/d31663e4d330/an-116-how-to-make-explanations-of-neurons-compositional" TargetMode="External"/><Relationship Id="rId2728" Type="http://schemas.openxmlformats.org/officeDocument/2006/relationships/hyperlink" Target="https://www.alignmentforum.org/posts/w7mS6syTderWihHPM/looking-for-adversarial-collaborators-to-test-our-debate" TargetMode="External"/><Relationship Id="rId2729" Type="http://schemas.openxmlformats.org/officeDocument/2006/relationships/hyperlink" Target="https://mailchi.mp/dfb9aaad1c07/an-114-theory-inspired-safety-solutions-for-powerful-bayesian-rl-agents" TargetMode="External"/><Relationship Id="rId2710" Type="http://schemas.openxmlformats.org/officeDocument/2006/relationships/hyperlink" Target="https://www.fhi.ox.ac.uk/dphil-scholarships-applications-open/" TargetMode="External"/><Relationship Id="rId2711" Type="http://schemas.openxmlformats.org/officeDocument/2006/relationships/hyperlink" Target="https://mailchi.mp/35524c8e5e8d/an-134underspecification-as-a-cause-of-fragility-to-distribution-shift" TargetMode="External"/><Relationship Id="rId2712" Type="http://schemas.openxmlformats.org/officeDocument/2006/relationships/hyperlink" Target="https://humancompatible.ai/jobs" TargetMode="External"/><Relationship Id="rId2713" Type="http://schemas.openxmlformats.org/officeDocument/2006/relationships/hyperlink" Target="https://mailchi.mp/77121cab0cff/an-126-avoiding-wireheading-by-decoupling-action-feedback-from-action-effects" TargetMode="External"/><Relationship Id="rId2714" Type="http://schemas.openxmlformats.org/officeDocument/2006/relationships/hyperlink" Target="https://www.alignmentforum.org/posts/dJQo7xPn4TyGnKgeC/hiring-engineers-and-researchers-to-help-align-gpt-3" TargetMode="External"/><Relationship Id="rId2715" Type="http://schemas.openxmlformats.org/officeDocument/2006/relationships/hyperlink" Target="https://mailchi.mp/42ec72ef7e11/an-120tracing-the-intellectual-roots-of-ai-and-ai-alignment" TargetMode="External"/><Relationship Id="rId2716" Type="http://schemas.openxmlformats.org/officeDocument/2006/relationships/hyperlink" Target="https://www.openphilanthropy.org/focus/global-catastrophic-risks/potential-risks-advanced-artificial-intelligence/the-open-phil-ai-fellowship" TargetMode="External"/><Relationship Id="rId2717" Type="http://schemas.openxmlformats.org/officeDocument/2006/relationships/hyperlink" Target="https://mailchi.mp/d0b668319344/an-118risks-solutions-and-prioritization-in-a-world-with-many-ai-systems" TargetMode="External"/><Relationship Id="rId2718" Type="http://schemas.openxmlformats.org/officeDocument/2006/relationships/hyperlink" Target="https://nbiair.com/" TargetMode="External"/><Relationship Id="rId2719" Type="http://schemas.openxmlformats.org/officeDocument/2006/relationships/hyperlink" Target="https://mailchi.mp/d0b668319344/an-118risks-solutions-and-prioritization-in-a-world-with-many-ai-systems" TargetMode="External"/><Relationship Id="rId1455" Type="http://schemas.openxmlformats.org/officeDocument/2006/relationships/hyperlink" Target="https://mailchi.mp/15397ab6f65c/alignment-newsletter-8" TargetMode="External"/><Relationship Id="rId2786" Type="http://schemas.openxmlformats.org/officeDocument/2006/relationships/hyperlink" Target="https://mailchi.mp/469203093ca3/alignment-newsletter-22" TargetMode="External"/><Relationship Id="rId1456" Type="http://schemas.openxmlformats.org/officeDocument/2006/relationships/hyperlink" Target="https://arxiv.org/abs/1811.09722" TargetMode="External"/><Relationship Id="rId2787" Type="http://schemas.openxmlformats.org/officeDocument/2006/relationships/hyperlink" Target="https://deepmind.com/careers/1294000/" TargetMode="External"/><Relationship Id="rId1457" Type="http://schemas.openxmlformats.org/officeDocument/2006/relationships/hyperlink" Target="https://mailchi.mp/49c956f84771/an-74separating-beneficial-ai-into-competence-alignment-and-coping-with-impacts" TargetMode="External"/><Relationship Id="rId2788" Type="http://schemas.openxmlformats.org/officeDocument/2006/relationships/hyperlink" Target="https://mailchi.mp/5ad3a9643b6b/alignment-newsletter-21" TargetMode="External"/><Relationship Id="rId1458" Type="http://schemas.openxmlformats.org/officeDocument/2006/relationships/hyperlink" Target="https://arxiv.org/abs/1703.03717" TargetMode="External"/><Relationship Id="rId2789" Type="http://schemas.openxmlformats.org/officeDocument/2006/relationships/hyperlink" Target="https://www.facebook.com/groups/AISafetyCareers/permalink/1083973108416655/" TargetMode="External"/><Relationship Id="rId1459" Type="http://schemas.openxmlformats.org/officeDocument/2006/relationships/hyperlink" Target="https://mailchi.mp/534f448d6c8b/alignment-newsletter-53" TargetMode="External"/><Relationship Id="rId629" Type="http://schemas.openxmlformats.org/officeDocument/2006/relationships/hyperlink" Target="https://www.lesswrong.com/posts/8NBbq7xhyDXoDWM8e/don-t-condition-on-no-catastrophes" TargetMode="External"/><Relationship Id="rId624" Type="http://schemas.openxmlformats.org/officeDocument/2006/relationships/hyperlink" Target="https://www.lesswrong.com/posts/B6SstsM3cdKTaicbj/choosing-to-choose" TargetMode="External"/><Relationship Id="rId623" Type="http://schemas.openxmlformats.org/officeDocument/2006/relationships/hyperlink" Target="https://mailchi.mp/4920e52dd61b/alignment-newsletter-15" TargetMode="External"/><Relationship Id="rId622" Type="http://schemas.openxmlformats.org/officeDocument/2006/relationships/hyperlink" Target="https://www.lesswrong.com/posts/nu2KcjGf2EYyY2oRJ/bounding-goodhart-s-law" TargetMode="External"/><Relationship Id="rId621" Type="http://schemas.openxmlformats.org/officeDocument/2006/relationships/hyperlink" Target="https://mailchi.mp/4920e52dd61b/alignment-newsletter-15" TargetMode="External"/><Relationship Id="rId628" Type="http://schemas.openxmlformats.org/officeDocument/2006/relationships/hyperlink" Target="https://mailchi.mp/4920e52dd61b/alignment-newsletter-15" TargetMode="External"/><Relationship Id="rId627" Type="http://schemas.openxmlformats.org/officeDocument/2006/relationships/hyperlink" Target="https://www.lesswrong.com/posts/uQHAJ7TdBbweRR5iS/conditioning-counterfactuals-exploration-and-gears" TargetMode="External"/><Relationship Id="rId626" Type="http://schemas.openxmlformats.org/officeDocument/2006/relationships/hyperlink" Target="https://arxiv.org/abs/1605.03142" TargetMode="External"/><Relationship Id="rId625" Type="http://schemas.openxmlformats.org/officeDocument/2006/relationships/hyperlink" Target="https://mailchi.mp/4920e52dd61b/alignment-newsletter-15" TargetMode="External"/><Relationship Id="rId2780" Type="http://schemas.openxmlformats.org/officeDocument/2006/relationships/hyperlink" Target="https://www.openphilanthropy.org/focus/global-catastrophic-risks/potential-risks-advanced-artificial-intelligence/open-philanthropy-project-ai-fellows-program" TargetMode="External"/><Relationship Id="rId1450" Type="http://schemas.openxmlformats.org/officeDocument/2006/relationships/hyperlink" Target="https://mailchi.mp/a2b5efbcd3a7/an-97-are-there-historical-examples-of-large-robust-discontinuities" TargetMode="External"/><Relationship Id="rId2781" Type="http://schemas.openxmlformats.org/officeDocument/2006/relationships/hyperlink" Target="https://mailchi.mp/1ecd1b775703/alignment-newsletter-26" TargetMode="External"/><Relationship Id="rId620" Type="http://schemas.openxmlformats.org/officeDocument/2006/relationships/hyperlink" Target="https://www.lesswrong.com/posts/hhNH3knNHgdkonAKB/an-environment-for-studying-counterfactuals" TargetMode="External"/><Relationship Id="rId1451" Type="http://schemas.openxmlformats.org/officeDocument/2006/relationships/hyperlink" Target="https://arxiv.org/pdf/1703.04730.pdf" TargetMode="External"/><Relationship Id="rId2782" Type="http://schemas.openxmlformats.org/officeDocument/2006/relationships/hyperlink" Target="https://80000hours.org/job-board/ai-ml-safety-research/" TargetMode="External"/><Relationship Id="rId1452" Type="http://schemas.openxmlformats.org/officeDocument/2006/relationships/hyperlink" Target="https://distill.pub/2020/grand-tour/" TargetMode="External"/><Relationship Id="rId2783" Type="http://schemas.openxmlformats.org/officeDocument/2006/relationships/hyperlink" Target="https://mailchi.mp/469203093ca3/alignment-newsletter-22" TargetMode="External"/><Relationship Id="rId1453" Type="http://schemas.openxmlformats.org/officeDocument/2006/relationships/hyperlink" Target="https://mailchi.mp/8a9d080d5ce3/an-95-a-framework-for-thinking-about-how-to-make-ai-go-well" TargetMode="External"/><Relationship Id="rId2784" Type="http://schemas.openxmlformats.org/officeDocument/2006/relationships/hyperlink" Target="https://mailchi.mp/469203093ca3/alignment-newsletter-22" TargetMode="External"/><Relationship Id="rId1454" Type="http://schemas.openxmlformats.org/officeDocument/2006/relationships/hyperlink" Target="http://arxiv.org/abs/1805.07468" TargetMode="External"/><Relationship Id="rId2785" Type="http://schemas.openxmlformats.org/officeDocument/2006/relationships/hyperlink" Target="https://futureoflife.org/2018/08/31/state-of-california-endorses-asilomar-ai-principles/" TargetMode="External"/><Relationship Id="rId1444" Type="http://schemas.openxmlformats.org/officeDocument/2006/relationships/hyperlink" Target="https://mailchi.mp/d9e1db727875/an-100what-might-go-wrong-if-you-learn-a-reward-function-while-acting" TargetMode="External"/><Relationship Id="rId2775" Type="http://schemas.openxmlformats.org/officeDocument/2006/relationships/hyperlink" Target="http://www.floc2018.org/summit-on-machine-learning/" TargetMode="External"/><Relationship Id="rId1445" Type="http://schemas.openxmlformats.org/officeDocument/2006/relationships/hyperlink" Target="https://deepmind.com/blog/understanding-deep-learning-through-neuron-deletion/" TargetMode="External"/><Relationship Id="rId2776" Type="http://schemas.openxmlformats.org/officeDocument/2006/relationships/hyperlink" Target="https://mailchi.mp/32f89a74a7b6/alignment-newsletter-4" TargetMode="External"/><Relationship Id="rId1446" Type="http://schemas.openxmlformats.org/officeDocument/2006/relationships/hyperlink" Target="https://mailchi.mp/33af21f908b5/reconnaissance-5" TargetMode="External"/><Relationship Id="rId2777" Type="http://schemas.openxmlformats.org/officeDocument/2006/relationships/hyperlink" Target="https://www.alignmentforum.org/posts/a72owS5hz3acBK5xc/2018-ai-alignment-literature-review-and-charity-comparison" TargetMode="External"/><Relationship Id="rId1447" Type="http://schemas.openxmlformats.org/officeDocument/2006/relationships/hyperlink" Target="https://arxiv.org/abs/1904.01318" TargetMode="External"/><Relationship Id="rId2778" Type="http://schemas.openxmlformats.org/officeDocument/2006/relationships/hyperlink" Target="https://mailchi.mp/588354e4b91d/alignment-newsletter-38" TargetMode="External"/><Relationship Id="rId1448" Type="http://schemas.openxmlformats.org/officeDocument/2006/relationships/hyperlink" Target="https://mailchi.mp/a2b5efbcd3a7/an-97-are-there-historical-examples-of-large-robust-discontinuities" TargetMode="External"/><Relationship Id="rId2779" Type="http://schemas.openxmlformats.org/officeDocument/2006/relationships/hyperlink" Target="https://mailchi.mp/df2e472140b6/alignment-newsletter-28" TargetMode="External"/><Relationship Id="rId1449" Type="http://schemas.openxmlformats.org/officeDocument/2006/relationships/hyperlink" Target="https://arxiv.org/abs/2002.08484" TargetMode="External"/><Relationship Id="rId619" Type="http://schemas.openxmlformats.org/officeDocument/2006/relationships/hyperlink" Target="https://mailchi.mp/4920e52dd61b/alignment-newsletter-15" TargetMode="External"/><Relationship Id="rId618" Type="http://schemas.openxmlformats.org/officeDocument/2006/relationships/hyperlink" Target="https://www.lesswrong.com/posts/DfewqowdzDdCD7S9y/agents-that-learn-from-human-behavior-can-t-learn-human" TargetMode="External"/><Relationship Id="rId613" Type="http://schemas.openxmlformats.org/officeDocument/2006/relationships/hyperlink" Target="https://mailchi.mp/4920e52dd61b/alignment-newsletter-15" TargetMode="External"/><Relationship Id="rId612" Type="http://schemas.openxmlformats.org/officeDocument/2006/relationships/hyperlink" Target="https://www.lesswrong.com/posts/jP3vRbtvDtBtgvkeb/clarifying-consequentialists-in-the-solomonoff-prior" TargetMode="External"/><Relationship Id="rId611" Type="http://schemas.openxmlformats.org/officeDocument/2006/relationships/hyperlink" Target="https://mailchi.mp/ff6340049bd0/alignment-newsletter-1" TargetMode="External"/><Relationship Id="rId610" Type="http://schemas.openxmlformats.org/officeDocument/2006/relationships/hyperlink" Target="https://www.aiforhumanity.fr/pdfs/MissionVillani_Summary_ENG.pdf" TargetMode="External"/><Relationship Id="rId617" Type="http://schemas.openxmlformats.org/officeDocument/2006/relationships/hyperlink" Target="https://mailchi.mp/4920e52dd61b/alignment-newsletter-15" TargetMode="External"/><Relationship Id="rId616" Type="http://schemas.openxmlformats.org/officeDocument/2006/relationships/hyperlink" Target="https://www.lesswrong.com/posts/MbWDqFgojfnwhxRxr/a-framework-for-thinking-about-wireheading" TargetMode="External"/><Relationship Id="rId615" Type="http://schemas.openxmlformats.org/officeDocument/2006/relationships/hyperlink" Target="https://mailchi.mp/4920e52dd61b/alignment-newsletter-15" TargetMode="External"/><Relationship Id="rId614" Type="http://schemas.openxmlformats.org/officeDocument/2006/relationships/hyperlink" Target="https://ordinaryideas.wordpress.com/2016/11/30/what-does-the-universal-prior-actually-look-like/" TargetMode="External"/><Relationship Id="rId2770" Type="http://schemas.openxmlformats.org/officeDocument/2006/relationships/hyperlink" Target="https://mailchi.mp/c48f996a5db5/alignment-newsletter-46" TargetMode="External"/><Relationship Id="rId1440" Type="http://schemas.openxmlformats.org/officeDocument/2006/relationships/hyperlink" Target="https://mailchi.mp/f66847de2ef8/an-128prioritizing-research-on-ai-existential-safety-based-on-its-application-to-governance-demands" TargetMode="External"/><Relationship Id="rId2771" Type="http://schemas.openxmlformats.org/officeDocument/2006/relationships/hyperlink" Target="https://www.partnershiponai.org/call-for-applications-the-partnership-on-ai-fellowship-program/" TargetMode="External"/><Relationship Id="rId1441" Type="http://schemas.openxmlformats.org/officeDocument/2006/relationships/hyperlink" Target="https://arxiv.org/abs/1912.05743" TargetMode="External"/><Relationship Id="rId2772" Type="http://schemas.openxmlformats.org/officeDocument/2006/relationships/hyperlink" Target="https://mailchi.mp/6bfac400a0c3/alignment-newsletter-44" TargetMode="External"/><Relationship Id="rId1442" Type="http://schemas.openxmlformats.org/officeDocument/2006/relationships/hyperlink" Target="https://mailchi.mp/e4e430660ded/an-101-why-we-should-rigorously-measure-and-forecast-ai-progress" TargetMode="External"/><Relationship Id="rId2773" Type="http://schemas.openxmlformats.org/officeDocument/2006/relationships/hyperlink" Target="https://www.lesswrong.com/posts/nDHbgjdddG5EN6ocg/announcement-ai-alignment-prize-round-4-winners" TargetMode="External"/><Relationship Id="rId1443" Type="http://schemas.openxmlformats.org/officeDocument/2006/relationships/hyperlink" Target="https://arxiv.org/abs/2005.01831" TargetMode="External"/><Relationship Id="rId2774" Type="http://schemas.openxmlformats.org/officeDocument/2006/relationships/hyperlink" Target="https://mailchi.mp/f6488137d76c/alignment-newsletter-42" TargetMode="External"/><Relationship Id="rId1477" Type="http://schemas.openxmlformats.org/officeDocument/2006/relationships/hyperlink" Target="https://mailchi.mp/0212425e5544/alignment-newsletter-27" TargetMode="External"/><Relationship Id="rId1478" Type="http://schemas.openxmlformats.org/officeDocument/2006/relationships/hyperlink" Target="http://arxiv.org/abs/1809.05630" TargetMode="External"/><Relationship Id="rId1479" Type="http://schemas.openxmlformats.org/officeDocument/2006/relationships/hyperlink" Target="https://mailchi.mp/0c5eeec28f75/alignment-newsletter-25" TargetMode="External"/><Relationship Id="rId646" Type="http://schemas.openxmlformats.org/officeDocument/2006/relationships/hyperlink" Target="https://www.lesswrong.com/posts/SdKiq2jmZ3LD9G6CK/alignment-problems-for-economists" TargetMode="External"/><Relationship Id="rId645" Type="http://schemas.openxmlformats.org/officeDocument/2006/relationships/hyperlink" Target="https://mailchi.mp/4920e52dd61b/alignment-newsletter-15" TargetMode="External"/><Relationship Id="rId644" Type="http://schemas.openxmlformats.org/officeDocument/2006/relationships/hyperlink" Target="https://www.lesswrong.com/posts/vWfFDahpnY3tnCLrp/a-universal-score-for-optimizers" TargetMode="External"/><Relationship Id="rId643" Type="http://schemas.openxmlformats.org/officeDocument/2006/relationships/hyperlink" Target="https://mailchi.mp/4920e52dd61b/alignment-newsletter-15" TargetMode="External"/><Relationship Id="rId649" Type="http://schemas.openxmlformats.org/officeDocument/2006/relationships/hyperlink" Target="https://mailchi.mp/4920e52dd61b/alignment-newsletter-15" TargetMode="External"/><Relationship Id="rId648" Type="http://schemas.openxmlformats.org/officeDocument/2006/relationships/hyperlink" Target="https://www.lesswrong.com/posts/Nx4DsTpMaoTiTp4RQ/conceptual-problems-with-utility-functions" TargetMode="External"/><Relationship Id="rId647" Type="http://schemas.openxmlformats.org/officeDocument/2006/relationships/hyperlink" Target="https://mailchi.mp/4920e52dd61b/alignment-newsletter-15" TargetMode="External"/><Relationship Id="rId1470" Type="http://schemas.openxmlformats.org/officeDocument/2006/relationships/hyperlink" Target="http://arxiv.org/abs/1811.09720" TargetMode="External"/><Relationship Id="rId1471" Type="http://schemas.openxmlformats.org/officeDocument/2006/relationships/hyperlink" Target="https://mailchi.mp/bbd47ba94e84/alignment-newsletter-35" TargetMode="External"/><Relationship Id="rId1472" Type="http://schemas.openxmlformats.org/officeDocument/2006/relationships/hyperlink" Target="http://arxiv.org/abs/1811.04350" TargetMode="External"/><Relationship Id="rId642" Type="http://schemas.openxmlformats.org/officeDocument/2006/relationships/hyperlink" Target="https://www.lesswrong.com/posts/o7MXZgx3SGpqSxHYZ/no-i-won-t-go-there-it-feels-like-you-re-trying-to-pascal" TargetMode="External"/><Relationship Id="rId1473" Type="http://schemas.openxmlformats.org/officeDocument/2006/relationships/hyperlink" Target="https://mailchi.mp/b6dc636f6a1b/alignment-newsletter-33" TargetMode="External"/><Relationship Id="rId641" Type="http://schemas.openxmlformats.org/officeDocument/2006/relationships/hyperlink" Target="https://mailchi.mp/4920e52dd61b/alignment-newsletter-15" TargetMode="External"/><Relationship Id="rId1474" Type="http://schemas.openxmlformats.org/officeDocument/2006/relationships/hyperlink" Target="http://arxiv.org/abs/1811.01439" TargetMode="External"/><Relationship Id="rId640" Type="http://schemas.openxmlformats.org/officeDocument/2006/relationships/hyperlink" Target="https://www.lesswrong.com/posts/o7FBQkwgKJPDjDKnh/monk-treehouse-some-problems-defining-simulation" TargetMode="External"/><Relationship Id="rId1475" Type="http://schemas.openxmlformats.org/officeDocument/2006/relationships/hyperlink" Target="https://mailchi.mp/8f5d302499be/alignment-newsletter-32" TargetMode="External"/><Relationship Id="rId1476" Type="http://schemas.openxmlformats.org/officeDocument/2006/relationships/hyperlink" Target="http://arxiv.org/abs/1810.00869" TargetMode="External"/><Relationship Id="rId1466" Type="http://schemas.openxmlformats.org/officeDocument/2006/relationships/hyperlink" Target="http://arxiv.org/abs/1811.09722" TargetMode="External"/><Relationship Id="rId2797" Type="http://schemas.openxmlformats.org/officeDocument/2006/relationships/hyperlink" Target="https://epochai.org/careers" TargetMode="External"/><Relationship Id="rId1467" Type="http://schemas.openxmlformats.org/officeDocument/2006/relationships/hyperlink" Target="https://mailchi.mp/6751e45fbb48/alignment-newsletter-36" TargetMode="External"/><Relationship Id="rId2798" Type="http://schemas.openxmlformats.org/officeDocument/2006/relationships/hyperlink" Target="https://boards.eu.greenhouse.io/aisafetysupportltd/jobs/4057628101" TargetMode="External"/><Relationship Id="rId1468" Type="http://schemas.openxmlformats.org/officeDocument/2006/relationships/hyperlink" Target="http://arxiv.org/abs/1811.10154" TargetMode="External"/><Relationship Id="rId2799" Type="http://schemas.openxmlformats.org/officeDocument/2006/relationships/hyperlink" Target="https://www.cooperativeai.com/job-listing/postdoctoral-researcher-at-mit" TargetMode="External"/><Relationship Id="rId1469" Type="http://schemas.openxmlformats.org/officeDocument/2006/relationships/hyperlink" Target="https://mailchi.mp/bbd47ba94e84/alignment-newsletter-35" TargetMode="External"/><Relationship Id="rId635" Type="http://schemas.openxmlformats.org/officeDocument/2006/relationships/hyperlink" Target="https://mailchi.mp/4920e52dd61b/alignment-newsletter-15" TargetMode="External"/><Relationship Id="rId634" Type="http://schemas.openxmlformats.org/officeDocument/2006/relationships/hyperlink" Target="https://www.lesswrong.com/posts/Xfw2d5horPunP2MSK/dependent-type-theory-and-zero-shot-reasoning" TargetMode="External"/><Relationship Id="rId633" Type="http://schemas.openxmlformats.org/officeDocument/2006/relationships/hyperlink" Target="https://mailchi.mp/4920e52dd61b/alignment-newsletter-15" TargetMode="External"/><Relationship Id="rId632" Type="http://schemas.openxmlformats.org/officeDocument/2006/relationships/hyperlink" Target="https://www.lesswrong.com/posts/cWEhuXQBxRwxmhER5/decision-theoretic-problems-and-theories-an-incomplete" TargetMode="External"/><Relationship Id="rId639" Type="http://schemas.openxmlformats.org/officeDocument/2006/relationships/hyperlink" Target="https://mailchi.mp/4920e52dd61b/alignment-newsletter-15" TargetMode="External"/><Relationship Id="rId638" Type="http://schemas.openxmlformats.org/officeDocument/2006/relationships/hyperlink" Target="https://www.lesswrong.com/posts/wxBBRzR4FS7nGBjbD/mathematical-mindset" TargetMode="External"/><Relationship Id="rId637" Type="http://schemas.openxmlformats.org/officeDocument/2006/relationships/hyperlink" Target="https://mailchi.mp/4920e52dd61b/alignment-newsletter-15" TargetMode="External"/><Relationship Id="rId636" Type="http://schemas.openxmlformats.org/officeDocument/2006/relationships/hyperlink" Target="https://www.lesswrong.com/posts/jyeYdBXAwsc4LPs7m/logical-uncertainty-and-functional-decision-theory" TargetMode="External"/><Relationship Id="rId2790" Type="http://schemas.openxmlformats.org/officeDocument/2006/relationships/hyperlink" Target="https://mailchi.mp/5ad3a9643b6b/alignment-newsletter-21" TargetMode="External"/><Relationship Id="rId1460" Type="http://schemas.openxmlformats.org/officeDocument/2006/relationships/hyperlink" Target="https://distill.pub/2019/memorization-in-rnns/" TargetMode="External"/><Relationship Id="rId2791" Type="http://schemas.openxmlformats.org/officeDocument/2006/relationships/hyperlink" Target="https://intelligence.org/2018/04/10/april-2018-newsletter/" TargetMode="External"/><Relationship Id="rId1461" Type="http://schemas.openxmlformats.org/officeDocument/2006/relationships/hyperlink" Target="https://mailchi.mp/a90a547f06f2/alignment-newsletter-51" TargetMode="External"/><Relationship Id="rId2792" Type="http://schemas.openxmlformats.org/officeDocument/2006/relationships/hyperlink" Target="https://mailchi.mp/14782876a85d/alignment-newsletter-2" TargetMode="External"/><Relationship Id="rId631" Type="http://schemas.openxmlformats.org/officeDocument/2006/relationships/hyperlink" Target="https://mailchi.mp/4920e52dd61b/alignment-newsletter-15" TargetMode="External"/><Relationship Id="rId1462" Type="http://schemas.openxmlformats.org/officeDocument/2006/relationships/hyperlink" Target="https://arxiv.org/abs/1605.09304" TargetMode="External"/><Relationship Id="rId2793" Type="http://schemas.openxmlformats.org/officeDocument/2006/relationships/hyperlink" Target="https://findajob.dwp.gov.uk/details/498471?v=007629B6B3A32F6BE6BAE676E9AFE66733CBD1F6" TargetMode="External"/><Relationship Id="rId630" Type="http://schemas.openxmlformats.org/officeDocument/2006/relationships/hyperlink" Target="https://www.lesswrong.com/posts/xmzNAoWcYQfMv3j6J/conditions-under-which-misaligned-subagents-can-not-arise-in" TargetMode="External"/><Relationship Id="rId1463" Type="http://schemas.openxmlformats.org/officeDocument/2006/relationships/hyperlink" Target="https://mailchi.mp/3091c6e9405c/alignment-newsletter-48" TargetMode="External"/><Relationship Id="rId2794" Type="http://schemas.openxmlformats.org/officeDocument/2006/relationships/hyperlink" Target="https://mailchi.mp/51717855ea27/alignment-newsletter-18" TargetMode="External"/><Relationship Id="rId1464" Type="http://schemas.openxmlformats.org/officeDocument/2006/relationships/hyperlink" Target="http://arxiv.org/abs/1902.06787" TargetMode="External"/><Relationship Id="rId2795" Type="http://schemas.openxmlformats.org/officeDocument/2006/relationships/hyperlink" Target="https://forum.effectivealtruism.org/posts/p5qtmu7KfGKaa6Ydt/apply-to-the-open-philanthropy-technology-policy-fellowship" TargetMode="External"/><Relationship Id="rId1465" Type="http://schemas.openxmlformats.org/officeDocument/2006/relationships/hyperlink" Target="https://mailchi.mp/260cd31d5f03/alignment-newsletter-47" TargetMode="External"/><Relationship Id="rId2796" Type="http://schemas.openxmlformats.org/officeDocument/2006/relationships/hyperlink" Target="https://apply.workable.com/metaculus/" TargetMode="External"/><Relationship Id="rId1411" Type="http://schemas.openxmlformats.org/officeDocument/2006/relationships/hyperlink" Target="https://mailchi.mp/ad852629e45a/alignment-newsletter-17" TargetMode="External"/><Relationship Id="rId2742" Type="http://schemas.openxmlformats.org/officeDocument/2006/relationships/hyperlink" Target="https://www.fhi.ox.ac.uk/fellows/" TargetMode="External"/><Relationship Id="rId1412" Type="http://schemas.openxmlformats.org/officeDocument/2006/relationships/hyperlink" Target="https://distill.pub/2017/feature-visualization/" TargetMode="External"/><Relationship Id="rId2743" Type="http://schemas.openxmlformats.org/officeDocument/2006/relationships/hyperlink" Target="https://mailchi.mp/598f425b1533/an-86-improving-debate-and-factored-cognition-through-human-experiments" TargetMode="External"/><Relationship Id="rId1413" Type="http://schemas.openxmlformats.org/officeDocument/2006/relationships/hyperlink" Target="https://gradientscience.org/debugging/" TargetMode="External"/><Relationship Id="rId2744" Type="http://schemas.openxmlformats.org/officeDocument/2006/relationships/hyperlink" Target="https://aisafetyunconference.info/" TargetMode="External"/><Relationship Id="rId1414" Type="http://schemas.openxmlformats.org/officeDocument/2006/relationships/hyperlink" Target="https://mailchi.mp/921dbde2ffac/an-151how-sparsity-in-the-final-layer-makes-a-neural-net-debuggable" TargetMode="External"/><Relationship Id="rId2745" Type="http://schemas.openxmlformats.org/officeDocument/2006/relationships/hyperlink" Target="https://mailchi.mp/3e34fa1f299a/an-75-solving-atari-and-go-with-learned-game-models-and-thoughts-from-a-miri-employee" TargetMode="External"/><Relationship Id="rId1415" Type="http://schemas.openxmlformats.org/officeDocument/2006/relationships/hyperlink" Target="https://www.alignmentforum.org/posts/GEPX7jgLMB8vR2qaK/opinions-on-interpretable-machine-learning-and-70-summaries" TargetMode="External"/><Relationship Id="rId2746" Type="http://schemas.openxmlformats.org/officeDocument/2006/relationships/hyperlink" Target="https://humancompatible.ai/jobs" TargetMode="External"/><Relationship Id="rId1416" Type="http://schemas.openxmlformats.org/officeDocument/2006/relationships/hyperlink" Target="https://mailchi.mp/1d67a64ff361/an-147-an-overview-of-the-interpretability-landscape" TargetMode="External"/><Relationship Id="rId2747" Type="http://schemas.openxmlformats.org/officeDocument/2006/relationships/hyperlink" Target="https://mailchi.mp/49c956f84771/an-74separating-beneficial-ai-into-competence-alignment-and-coping-with-impacts" TargetMode="External"/><Relationship Id="rId1417" Type="http://schemas.openxmlformats.org/officeDocument/2006/relationships/hyperlink" Target="https://distill.pub/2020/circuits/" TargetMode="External"/><Relationship Id="rId2748" Type="http://schemas.openxmlformats.org/officeDocument/2006/relationships/hyperlink" Target="https://www.fhi.ox.ac.uk/scholarships/" TargetMode="External"/><Relationship Id="rId1418" Type="http://schemas.openxmlformats.org/officeDocument/2006/relationships/hyperlink" Target="https://mailchi.mp/cbbf94c4c3b7/an-142the-quest-to-understand-a-network-well-enough-to-reimplement-it-by-hand" TargetMode="External"/><Relationship Id="rId2749" Type="http://schemas.openxmlformats.org/officeDocument/2006/relationships/hyperlink" Target="https://mailchi.mp/732eaa192df0/an-70-agents-that-help-humans-who-are-still-learning-about-their-own-preferences" TargetMode="External"/><Relationship Id="rId1419" Type="http://schemas.openxmlformats.org/officeDocument/2006/relationships/hyperlink" Target="https://arxiv.org/abs/2006.14032" TargetMode="External"/><Relationship Id="rId2740" Type="http://schemas.openxmlformats.org/officeDocument/2006/relationships/hyperlink" Target="https://www.lesswrong.com/events/BPTzfeQeZZ6chHvtr/taisu-technical-ai-safety-unconference-1" TargetMode="External"/><Relationship Id="rId1410" Type="http://schemas.openxmlformats.org/officeDocument/2006/relationships/hyperlink" Target="https://distill.pub/2018/differentiable-parameterizations/" TargetMode="External"/><Relationship Id="rId2741" Type="http://schemas.openxmlformats.org/officeDocument/2006/relationships/hyperlink" Target="https://mailchi.mp/598f425b1533/an-86-improving-debate-and-factored-cognition-through-human-experiments" TargetMode="External"/><Relationship Id="rId1400" Type="http://schemas.openxmlformats.org/officeDocument/2006/relationships/hyperlink" Target="http://arxiv.org/abs/1810.11181" TargetMode="External"/><Relationship Id="rId2731" Type="http://schemas.openxmlformats.org/officeDocument/2006/relationships/hyperlink" Target="https://mailchi.mp/ba4d1765368f/an-104-the-perils-of-inaccessible-information-and-what-we-can-learn-about-ai-alignment-from-covid" TargetMode="External"/><Relationship Id="rId1401" Type="http://schemas.openxmlformats.org/officeDocument/2006/relationships/hyperlink" Target="https://mailchi.mp/7d0e3916e3d9/alignment-newsletter-31" TargetMode="External"/><Relationship Id="rId2732" Type="http://schemas.openxmlformats.org/officeDocument/2006/relationships/hyperlink" Target="https://www.waise2018.com/" TargetMode="External"/><Relationship Id="rId1402" Type="http://schemas.openxmlformats.org/officeDocument/2006/relationships/hyperlink" Target="https://arxiv.org/abs/1909.01440" TargetMode="External"/><Relationship Id="rId2733" Type="http://schemas.openxmlformats.org/officeDocument/2006/relationships/hyperlink" Target="https://mailchi.mp/33af21f908b5/reconnaissance-5" TargetMode="External"/><Relationship Id="rId1403" Type="http://schemas.openxmlformats.org/officeDocument/2006/relationships/hyperlink" Target="https://mailchi.mp/2fbece2a4915/an-98understanding-neural-net-training-by-seeing-which-gradients-were-helpful" TargetMode="External"/><Relationship Id="rId2734" Type="http://schemas.openxmlformats.org/officeDocument/2006/relationships/hyperlink" Target="https://longtermrisk.org/work-with-us/" TargetMode="External"/><Relationship Id="rId1404" Type="http://schemas.openxmlformats.org/officeDocument/2006/relationships/hyperlink" Target="https://distill.pub/2019/activation-atlas/" TargetMode="External"/><Relationship Id="rId2735" Type="http://schemas.openxmlformats.org/officeDocument/2006/relationships/hyperlink" Target="https://mailchi.mp/2fbece2a4915/an-98understanding-neural-net-training-by-seeing-which-gradients-were-helpful" TargetMode="External"/><Relationship Id="rId1405" Type="http://schemas.openxmlformats.org/officeDocument/2006/relationships/hyperlink" Target="https://mailchi.mp/efed27be268a/alignment-newsletter-49" TargetMode="External"/><Relationship Id="rId2736" Type="http://schemas.openxmlformats.org/officeDocument/2006/relationships/hyperlink" Target="https://www.alignmentforum.org/posts/CMnMaTxNAhXfcEtgm/announcing-web-taisu-may-13-17" TargetMode="External"/><Relationship Id="rId1406" Type="http://schemas.openxmlformats.org/officeDocument/2006/relationships/hyperlink" Target="https://medium.com/@vanhoucke/interpretability-and-post-rationalization-b812eda13783" TargetMode="External"/><Relationship Id="rId2737" Type="http://schemas.openxmlformats.org/officeDocument/2006/relationships/hyperlink" Target="https://mailchi.mp/8a9d080d5ce3/an-95-a-framework-for-thinking-about-how-to-make-ai-go-well" TargetMode="External"/><Relationship Id="rId1407" Type="http://schemas.openxmlformats.org/officeDocument/2006/relationships/hyperlink" Target="https://mailchi.mp/cfec6a0f6e73/alignment-newsletter-29" TargetMode="External"/><Relationship Id="rId2738" Type="http://schemas.openxmlformats.org/officeDocument/2006/relationships/hyperlink" Target="https://www.ai.mil/careers.html" TargetMode="External"/><Relationship Id="rId1408" Type="http://schemas.openxmlformats.org/officeDocument/2006/relationships/hyperlink" Target="https://ai.googleblog.com/2018/09/the-what-if-tool-code-free-probing-of.html" TargetMode="External"/><Relationship Id="rId2739" Type="http://schemas.openxmlformats.org/officeDocument/2006/relationships/hyperlink" Target="https://mailchi.mp/d7e950bc8dbd/an-92learning-good-representations-with-contrastive-predictive-coding?e=0e92156a6c" TargetMode="External"/><Relationship Id="rId1409" Type="http://schemas.openxmlformats.org/officeDocument/2006/relationships/hyperlink" Target="https://mailchi.mp/d7b5059d64ed/alignment-newsletter-24" TargetMode="External"/><Relationship Id="rId2730" Type="http://schemas.openxmlformats.org/officeDocument/2006/relationships/hyperlink" Target="https://openai.com/blog/openai-api/" TargetMode="External"/><Relationship Id="rId1433" Type="http://schemas.openxmlformats.org/officeDocument/2006/relationships/hyperlink" Target="https://arxiv.org/abs/1811.10597" TargetMode="External"/><Relationship Id="rId2764" Type="http://schemas.openxmlformats.org/officeDocument/2006/relationships/hyperlink" Target="https://easychair.org/cfp/AISafety2019" TargetMode="External"/><Relationship Id="rId1434" Type="http://schemas.openxmlformats.org/officeDocument/2006/relationships/hyperlink" Target="https://mailchi.mp/bbd47ba94e84/alignment-newsletter-35" TargetMode="External"/><Relationship Id="rId2765" Type="http://schemas.openxmlformats.org/officeDocument/2006/relationships/hyperlink" Target="http://rationality.org/workshops/apply-msfp" TargetMode="External"/><Relationship Id="rId1435" Type="http://schemas.openxmlformats.org/officeDocument/2006/relationships/hyperlink" Target="https://80000hours.org/podcast/episodes/chris-olah-interpretability-research/" TargetMode="External"/><Relationship Id="rId2766" Type="http://schemas.openxmlformats.org/officeDocument/2006/relationships/hyperlink" Target="https://mailchi.mp/260cd31d5f03/alignment-newsletter-47" TargetMode="External"/><Relationship Id="rId1436" Type="http://schemas.openxmlformats.org/officeDocument/2006/relationships/hyperlink" Target="https://mailchi.mp/2121f5135173/an-160-building-ais-that-learn-and-think-like-people" TargetMode="External"/><Relationship Id="rId2767" Type="http://schemas.openxmlformats.org/officeDocument/2006/relationships/hyperlink" Target="https://www.lesswrong.com/posts/WgnAEXw5fXaW9p5PS/raise-is-launching-their-mvp" TargetMode="External"/><Relationship Id="rId1437" Type="http://schemas.openxmlformats.org/officeDocument/2006/relationships/hyperlink" Target="https://arxiv.org/abs/1802.07810" TargetMode="External"/><Relationship Id="rId2768" Type="http://schemas.openxmlformats.org/officeDocument/2006/relationships/hyperlink" Target="https://mailchi.mp/260cd31d5f03/alignment-newsletter-47" TargetMode="External"/><Relationship Id="rId1438" Type="http://schemas.openxmlformats.org/officeDocument/2006/relationships/hyperlink" Target="https://mailchi.mp/35524c8e5e8d/an-134underspecification-as-a-cause-of-fragility-to-distribution-shift" TargetMode="External"/><Relationship Id="rId2769" Type="http://schemas.openxmlformats.org/officeDocument/2006/relationships/hyperlink" Target="http://www.fhi.ox.ac.uk/scholarships/" TargetMode="External"/><Relationship Id="rId1439" Type="http://schemas.openxmlformats.org/officeDocument/2006/relationships/hyperlink" Target="https://distill.pub/2020/understanding-rl-vision/" TargetMode="External"/><Relationship Id="rId609" Type="http://schemas.openxmlformats.org/officeDocument/2006/relationships/hyperlink" Target="https://mailchi.mp/ff6340049bd0/alignment-newsletter-1" TargetMode="External"/><Relationship Id="rId608" Type="http://schemas.openxmlformats.org/officeDocument/2006/relationships/hyperlink" Target="https://arxiv.org/abs/1803.10664" TargetMode="External"/><Relationship Id="rId607" Type="http://schemas.openxmlformats.org/officeDocument/2006/relationships/hyperlink" Target="https://mailchi.mp/d1a19c140226/alignment-newsletter-10" TargetMode="External"/><Relationship Id="rId602" Type="http://schemas.openxmlformats.org/officeDocument/2006/relationships/hyperlink" Target="https://www.chathamhouse.org/publication/artificial-intelligence-and-international-affairs" TargetMode="External"/><Relationship Id="rId601" Type="http://schemas.openxmlformats.org/officeDocument/2006/relationships/hyperlink" Target="https://mailchi.mp/4a4bc2286f53/alignment-newsletter-14" TargetMode="External"/><Relationship Id="rId600" Type="http://schemas.openxmlformats.org/officeDocument/2006/relationships/hyperlink" Target="https://breakingdefense.com/2018/06/joint-artificial-intelligence-center-created-under-dod-cio/" TargetMode="External"/><Relationship Id="rId606" Type="http://schemas.openxmlformats.org/officeDocument/2006/relationships/hyperlink" Target="http://www.scmp.com/tech/innovation/article/2146428/tianjin-city-china-eyes-us16-billion-fund-ai-work-dwarfing-eus-plan" TargetMode="External"/><Relationship Id="rId605" Type="http://schemas.openxmlformats.org/officeDocument/2006/relationships/hyperlink" Target="https://mailchi.mp/7ad36e25be22/alignment-newsletter-11" TargetMode="External"/><Relationship Id="rId604" Type="http://schemas.openxmlformats.org/officeDocument/2006/relationships/hyperlink" Target="http://www.niti.gov.in/writereaddata/files/document_publication/NationalStrategy-for-AI-Discussion-Paper.pdf" TargetMode="External"/><Relationship Id="rId603" Type="http://schemas.openxmlformats.org/officeDocument/2006/relationships/hyperlink" Target="https://mailchi.mp/7ad36e25be22/alignment-newsletter-11" TargetMode="External"/><Relationship Id="rId2760" Type="http://schemas.openxmlformats.org/officeDocument/2006/relationships/hyperlink" Target="http://humanaligned.ai/" TargetMode="External"/><Relationship Id="rId1430" Type="http://schemas.openxmlformats.org/officeDocument/2006/relationships/hyperlink" Target="https://mailchi.mp/35b451cb4d70/alignment-newsletter-45" TargetMode="External"/><Relationship Id="rId2761" Type="http://schemas.openxmlformats.org/officeDocument/2006/relationships/hyperlink" Target="https://mailchi.mp/392d2043e782/an-57why-we-should-focus-on-robustness-in-ai-safety-and-the-analogous-problems-in-programming" TargetMode="External"/><Relationship Id="rId1431" Type="http://schemas.openxmlformats.org/officeDocument/2006/relationships/hyperlink" Target="http://arxiv.org/abs/1811.07807" TargetMode="External"/><Relationship Id="rId2762" Type="http://schemas.openxmlformats.org/officeDocument/2006/relationships/hyperlink" Target="https://www.ai-safety.org/" TargetMode="External"/><Relationship Id="rId1432" Type="http://schemas.openxmlformats.org/officeDocument/2006/relationships/hyperlink" Target="https://mailchi.mp/bbd47ba94e84/alignment-newsletter-35" TargetMode="External"/><Relationship Id="rId2763" Type="http://schemas.openxmlformats.org/officeDocument/2006/relationships/hyperlink" Target="https://mailchi.mp/efed27be268a/alignment-newsletter-49" TargetMode="External"/><Relationship Id="rId1422" Type="http://schemas.openxmlformats.org/officeDocument/2006/relationships/hyperlink" Target="https://mailchi.mp/a5a5ec01e25b/an-111the-circuits-hypotheses-for-deep-learning" TargetMode="External"/><Relationship Id="rId2753" Type="http://schemas.openxmlformats.org/officeDocument/2006/relationships/hyperlink" Target="https://mailchi.mp/4a1b3c4249ae/an-62are-adversarial-examples-caused-by-real-but-imperceptible-features" TargetMode="External"/><Relationship Id="rId1423" Type="http://schemas.openxmlformats.org/officeDocument/2006/relationships/hyperlink" Target="https://arxiv.org/abs/2002.09815" TargetMode="External"/><Relationship Id="rId2754" Type="http://schemas.openxmlformats.org/officeDocument/2006/relationships/hyperlink" Target="https://www.fhi.ox.ac.uk/researcher-positions/" TargetMode="External"/><Relationship Id="rId1424" Type="http://schemas.openxmlformats.org/officeDocument/2006/relationships/hyperlink" Target="https://mailchi.mp/8a9d080d5ce3/an-95-a-framework-for-thinking-about-how-to-make-ai-go-well" TargetMode="External"/><Relationship Id="rId2755" Type="http://schemas.openxmlformats.org/officeDocument/2006/relationships/hyperlink" Target="https://mailchi.mp/0dd8eb63fe2d/an-60a-new-ai-challenge-minecraft-agents-that-assist-human-players-in-creative-mode" TargetMode="External"/><Relationship Id="rId1425" Type="http://schemas.openxmlformats.org/officeDocument/2006/relationships/hyperlink" Target="https://arxiv.org/abs/1905.12686" TargetMode="External"/><Relationship Id="rId2756" Type="http://schemas.openxmlformats.org/officeDocument/2006/relationships/hyperlink" Target="https://www.alignmentforum.org/posts/cSzaxcmeYW6z7cgtc/contest-usd1-000-for-good-questions-to-ask-to-an-oracle-ai" TargetMode="External"/><Relationship Id="rId1426" Type="http://schemas.openxmlformats.org/officeDocument/2006/relationships/hyperlink" Target="https://mailchi.mp/38af1edcd025/an-67creating-environments-in-which-to-study-inner-alignment-failures" TargetMode="External"/><Relationship Id="rId2757" Type="http://schemas.openxmlformats.org/officeDocument/2006/relationships/hyperlink" Target="https://mailchi.mp/b342d1a1bd06/an-59-how-arguments-for-ai-risk-have-changed-over-time" TargetMode="External"/><Relationship Id="rId1427" Type="http://schemas.openxmlformats.org/officeDocument/2006/relationships/hyperlink" Target="http://arxiv.org/abs/1706.05806" TargetMode="External"/><Relationship Id="rId2758" Type="http://schemas.openxmlformats.org/officeDocument/2006/relationships/hyperlink" Target="https://www.alignmentforum.org/posts/bSWavBThj6ebB62gD/offer-of-collaboration-and-or-mentorship" TargetMode="External"/><Relationship Id="rId1428" Type="http://schemas.openxmlformats.org/officeDocument/2006/relationships/hyperlink" Target="https://mailchi.mp/93fe1a0a92da/alignment-newsletter-50" TargetMode="External"/><Relationship Id="rId2759" Type="http://schemas.openxmlformats.org/officeDocument/2006/relationships/hyperlink" Target="https://mailchi.mp/392d2043e782/an-57why-we-should-focus-on-robustness-in-ai-safety-and-the-analogous-problems-in-programming" TargetMode="External"/><Relationship Id="rId1429" Type="http://schemas.openxmlformats.org/officeDocument/2006/relationships/hyperlink" Target="https://medium.com/bethgelab/neural-networks-seem-to-follow-a-puzzlingly-simple-strategy-to-classify-images-f4229317261f" TargetMode="External"/><Relationship Id="rId2750" Type="http://schemas.openxmlformats.org/officeDocument/2006/relationships/hyperlink" Target="https://www.openphilanthropy.org/focus/global-catastrophic-risks/potential-risks-advanced-artificial-intelligence/the-open-phil-ai-fellowship" TargetMode="External"/><Relationship Id="rId1420" Type="http://schemas.openxmlformats.org/officeDocument/2006/relationships/hyperlink" Target="https://mailchi.mp/d31663e4d330/an-116-how-to-make-explanations-of-neurons-compositional" TargetMode="External"/><Relationship Id="rId2751" Type="http://schemas.openxmlformats.org/officeDocument/2006/relationships/hyperlink" Target="https://mailchi.mp/c8ea4a5e842f/an-66-decomposing-robustness-into-capability-robustness-and-alignment-robustness" TargetMode="External"/><Relationship Id="rId1421" Type="http://schemas.openxmlformats.org/officeDocument/2006/relationships/hyperlink" Target="https://distill.pub/2020/circuits/" TargetMode="External"/><Relationship Id="rId2752" Type="http://schemas.openxmlformats.org/officeDocument/2006/relationships/hyperlink" Target="https://www.alignmentforum.org/posts/cpewqG3MjnKJpCr7E/ought-why-it-matters-and-ways-to-help" TargetMode="External"/><Relationship Id="rId3238" Type="http://schemas.openxmlformats.org/officeDocument/2006/relationships/hyperlink" Target="https://www.lesswrong.com/posts/mSYR46GZZPMmX7q93/superintelligent-messiahs-are-corrigible-and-probably" TargetMode="External"/><Relationship Id="rId3237" Type="http://schemas.openxmlformats.org/officeDocument/2006/relationships/hyperlink" Target="https://mailchi.mp/a1ae6b62df21/alignment-newsletter-9" TargetMode="External"/><Relationship Id="rId3239" Type="http://schemas.openxmlformats.org/officeDocument/2006/relationships/hyperlink" Target="https://mailchi.mp/ff6340049bd0/alignment-newsletter-1" TargetMode="External"/><Relationship Id="rId3230" Type="http://schemas.openxmlformats.org/officeDocument/2006/relationships/hyperlink" Target="https://link.springer.com/epdf/10.1007/s00146-018-0845-5?author_access_token=axvWBz8assRkZTb68rKI8fe4RwlQNchNByi7wbcMAY7vTIvwbJEX0PiUMDRT03QdZ4V2bKgA2YNB6xTlHcV9ODzMTCSqRNfgynavuDHjApIJ01ctt9voVUyLZ8MTqZlxHEZ1VdTr3hRMccZHWFV4hQ%3D%3D" TargetMode="External"/><Relationship Id="rId3232" Type="http://schemas.openxmlformats.org/officeDocument/2006/relationships/hyperlink" Target="https://www.lesswrong.com/posts/G2EupNcdtigdyNhL2/predictors-as-agents" TargetMode="External"/><Relationship Id="rId3231" Type="http://schemas.openxmlformats.org/officeDocument/2006/relationships/hyperlink" Target="https://mailchi.mp/d11bfd2ca5eb/alignment-newsletter-6" TargetMode="External"/><Relationship Id="rId3234" Type="http://schemas.openxmlformats.org/officeDocument/2006/relationships/hyperlink" Target="https://www.wired.com/story/when-bots-teach-themselves-to-cheat" TargetMode="External"/><Relationship Id="rId3233" Type="http://schemas.openxmlformats.org/officeDocument/2006/relationships/hyperlink" Target="https://mailchi.mp/b649f32b07da/alignment-newsletter-40" TargetMode="External"/><Relationship Id="rId3236" Type="http://schemas.openxmlformats.org/officeDocument/2006/relationships/hyperlink" Target="https://www.lesswrong.com/posts/WhNxG4r774bK32GcH/the-simple-picture-on-ai-safety" TargetMode="External"/><Relationship Id="rId3235" Type="http://schemas.openxmlformats.org/officeDocument/2006/relationships/hyperlink" Target="https://mailchi.mp/4b19d2caa5a9/alignment-newsletter-19" TargetMode="External"/><Relationship Id="rId3227" Type="http://schemas.openxmlformats.org/officeDocument/2006/relationships/hyperlink" Target="https://mailchi.mp/9887edab4e73/an-137-quantifying-the-benefits-of-pretraining-on-downstream-task-performance" TargetMode="External"/><Relationship Id="rId3226" Type="http://schemas.openxmlformats.org/officeDocument/2006/relationships/hyperlink" Target="https://www.ies.ee/bahps/acta-baltica/abhps-8-2/04_Sutrop-2020-2-04.pdf" TargetMode="External"/><Relationship Id="rId3229" Type="http://schemas.openxmlformats.org/officeDocument/2006/relationships/hyperlink" Target="https://mailchi.mp/15397ab6f65c/alignment-newsletter-8" TargetMode="External"/><Relationship Id="rId3228" Type="http://schemas.openxmlformats.org/officeDocument/2006/relationships/hyperlink" Target="https://www.theatlantic.com/magazine/archive/2018/06/henry-kissinger-ai-could-mean-the-end-of-human-history/559124/" TargetMode="External"/><Relationship Id="rId699" Type="http://schemas.openxmlformats.org/officeDocument/2006/relationships/hyperlink" Target="https://mailchi.mp/c29b3247da6f/4da2bu7tjd" TargetMode="External"/><Relationship Id="rId698" Type="http://schemas.openxmlformats.org/officeDocument/2006/relationships/hyperlink" Target="https://arxiv.org/abs/2001.08361" TargetMode="External"/><Relationship Id="rId693" Type="http://schemas.openxmlformats.org/officeDocument/2006/relationships/hyperlink" Target="https://mailchi.mp/87c0d944c461/an-68-the-attainable-utility-theory-of-impact" TargetMode="External"/><Relationship Id="rId692" Type="http://schemas.openxmlformats.org/officeDocument/2006/relationships/hyperlink" Target="https://www.alignmentforum.org/posts/WxW6Gc6f2z3mzmqKs/debate-on-instrumental-convergence-between-lecun-russell" TargetMode="External"/><Relationship Id="rId691" Type="http://schemas.openxmlformats.org/officeDocument/2006/relationships/hyperlink" Target="https://mailchi.mp/1106d0ce6766/an-76how-dataset-size-affects-robustness-and-benchmarking-safe-exploration-by-measuring-constraint-violations" TargetMode="External"/><Relationship Id="rId3221" Type="http://schemas.openxmlformats.org/officeDocument/2006/relationships/hyperlink" Target="https://mailchi.mp/35b451cb4d70/alignment-newsletter-45" TargetMode="External"/><Relationship Id="rId690" Type="http://schemas.openxmlformats.org/officeDocument/2006/relationships/hyperlink" Target="https://www.nytimes.com/2019/10/31/opinion/superintelligent-artificial-intelligence.html" TargetMode="External"/><Relationship Id="rId3220" Type="http://schemas.openxmlformats.org/officeDocument/2006/relationships/hyperlink" Target="https://www.lesswrong.com/posts/NwaNPHYhXDc9LkK8J/constructing-goodhart" TargetMode="External"/><Relationship Id="rId697" Type="http://schemas.openxmlformats.org/officeDocument/2006/relationships/hyperlink" Target="https://mailchi.mp/32f89a74a7b6/alignment-newsletter-4" TargetMode="External"/><Relationship Id="rId3223" Type="http://schemas.openxmlformats.org/officeDocument/2006/relationships/hyperlink" Target="https://mailchi.mp/b649f32b07da/alignment-newsletter-40" TargetMode="External"/><Relationship Id="rId696" Type="http://schemas.openxmlformats.org/officeDocument/2006/relationships/hyperlink" Target="https://www.technologyreview.com/s/609048/the-seven-deadly-sins-of-ai-predictions" TargetMode="External"/><Relationship Id="rId3222" Type="http://schemas.openxmlformats.org/officeDocument/2006/relationships/hyperlink" Target="https://www.lesswrong.com/posts/6RjL996E8Dsz3vHPk/two-more-decision-theory-problems-for-humans" TargetMode="External"/><Relationship Id="rId695" Type="http://schemas.openxmlformats.org/officeDocument/2006/relationships/hyperlink" Target="https://mailchi.mp/533c646a4b21/an-63how-architecture-search-meta-learning-and-environment-design-could-lead-to-general-intelligence" TargetMode="External"/><Relationship Id="rId3225" Type="http://schemas.openxmlformats.org/officeDocument/2006/relationships/hyperlink" Target="https://mailchi.mp/15ed28377c48/an-162-foundation-models-a-paradigm-shift-within-ai" TargetMode="External"/><Relationship Id="rId694" Type="http://schemas.openxmlformats.org/officeDocument/2006/relationships/hyperlink" Target="https://aiimpacts.org/conversation-with-ernie-davis/" TargetMode="External"/><Relationship Id="rId3224" Type="http://schemas.openxmlformats.org/officeDocument/2006/relationships/hyperlink" Target="https://www.alignmentforum.org/posts/8fpzBHt7e6n7Qjoo9/ai-risk-for-epistemic-minimalists" TargetMode="External"/><Relationship Id="rId3259" Type="http://schemas.openxmlformats.org/officeDocument/2006/relationships/hyperlink" Target="https://arxiv.org/abs/1805.07470" TargetMode="External"/><Relationship Id="rId3250" Type="http://schemas.openxmlformats.org/officeDocument/2006/relationships/hyperlink" Target="https://mailchi.mp/9dd2c875c362/an-159building-agents-that-know-how-to-experiment-by-training-on-procedurally-generated-games" TargetMode="External"/><Relationship Id="rId3252" Type="http://schemas.openxmlformats.org/officeDocument/2006/relationships/hyperlink" Target="https://mailchi.mp/9887edab4e73/an-137-quantifying-the-benefits-of-pretraining-on-downstream-task-performance" TargetMode="External"/><Relationship Id="rId3251" Type="http://schemas.openxmlformats.org/officeDocument/2006/relationships/hyperlink" Target="https://www.partnershiponai.org/beyond-engagement-aligning-algorithmic-recommendations-with-prosocial-goals/" TargetMode="External"/><Relationship Id="rId3254" Type="http://schemas.openxmlformats.org/officeDocument/2006/relationships/hyperlink" Target="https://mailchi.mp/9887edab4e73/an-137-quantifying-the-benefits-of-pretraining-on-downstream-task-performance" TargetMode="External"/><Relationship Id="rId3253" Type="http://schemas.openxmlformats.org/officeDocument/2006/relationships/hyperlink" Target="https://participatoryml.github.io/papers/2020/42.pdf" TargetMode="External"/><Relationship Id="rId3256" Type="http://schemas.openxmlformats.org/officeDocument/2006/relationships/hyperlink" Target="https://mailchi.mp/a1ae6b62df21/alignment-newsletter-9" TargetMode="External"/><Relationship Id="rId3255" Type="http://schemas.openxmlformats.org/officeDocument/2006/relationships/hyperlink" Target="http://arxiv.org/abs/1805.11592" TargetMode="External"/><Relationship Id="rId3258" Type="http://schemas.openxmlformats.org/officeDocument/2006/relationships/hyperlink" Target="https://mailchi.mp/7ba40faa7eed/an-82-how-openai-five-distributed-their-training-computation" TargetMode="External"/><Relationship Id="rId3257" Type="http://schemas.openxmlformats.org/officeDocument/2006/relationships/hyperlink" Target="http://arxiv.org/abs/1912.06680" TargetMode="External"/><Relationship Id="rId3249" Type="http://schemas.openxmlformats.org/officeDocument/2006/relationships/hyperlink" Target="https://jsteinhardt.stat.berkeley.edu/blog/recsys-deepdive" TargetMode="External"/><Relationship Id="rId3248" Type="http://schemas.openxmlformats.org/officeDocument/2006/relationships/hyperlink" Target="https://mailchi.mp/a08565612790/an-169collaborating-with-humans-without-human-data" TargetMode="External"/><Relationship Id="rId3241" Type="http://schemas.openxmlformats.org/officeDocument/2006/relationships/hyperlink" Target="https://arxiv.org/abs/2008.12623" TargetMode="External"/><Relationship Id="rId3240" Type="http://schemas.openxmlformats.org/officeDocument/2006/relationships/hyperlink" Target="https://arxiv.org/abs/1811.05590" TargetMode="External"/><Relationship Id="rId3243" Type="http://schemas.openxmlformats.org/officeDocument/2006/relationships/hyperlink" Target="https://medium.com/@PartnershipAI/aligning-ai-to-human-values-means-picking-the-right-metrics-855859e6f047" TargetMode="External"/><Relationship Id="rId3242" Type="http://schemas.openxmlformats.org/officeDocument/2006/relationships/hyperlink" Target="https://mailchi.mp/62ef1fe8c13a/an-123inferring-what-is-valuable-in-order-to-align-recommender-systems" TargetMode="External"/><Relationship Id="rId3245" Type="http://schemas.openxmlformats.org/officeDocument/2006/relationships/hyperlink" Target="https://arxiv.org/abs/2107.04953" TargetMode="External"/><Relationship Id="rId3244" Type="http://schemas.openxmlformats.org/officeDocument/2006/relationships/hyperlink" Target="https://mailchi.mp/f534bdc85c58/an-96-buck-and-i-discussargue-about-ai-alignment" TargetMode="External"/><Relationship Id="rId3247" Type="http://schemas.openxmlformats.org/officeDocument/2006/relationships/hyperlink" Target="https://arxiv.org/abs/2109.04083" TargetMode="External"/><Relationship Id="rId3246" Type="http://schemas.openxmlformats.org/officeDocument/2006/relationships/hyperlink" Target="https://mailchi.mp/9dd2c875c362/an-159building-agents-that-know-how-to-experiment-by-training-on-procedurally-generated-games" TargetMode="External"/><Relationship Id="rId1499" Type="http://schemas.openxmlformats.org/officeDocument/2006/relationships/hyperlink" Target="http://arxiv.org/abs/1806.05502" TargetMode="External"/><Relationship Id="rId668" Type="http://schemas.openxmlformats.org/officeDocument/2006/relationships/hyperlink" Target="https://arxiv.org/abs/1904.12901" TargetMode="External"/><Relationship Id="rId667" Type="http://schemas.openxmlformats.org/officeDocument/2006/relationships/hyperlink" Target="https://mailchi.mp/3d4e6c2c206f/an-65learning-useful-skills-by-watching-humans-play" TargetMode="External"/><Relationship Id="rId666" Type="http://schemas.openxmlformats.org/officeDocument/2006/relationships/hyperlink" Target="http://arxiv.org/abs/1906.05433" TargetMode="External"/><Relationship Id="rId665" Type="http://schemas.openxmlformats.org/officeDocument/2006/relationships/hyperlink" Target="https://mailchi.mp/4b19d2caa5a9/alignment-newsletter-19" TargetMode="External"/><Relationship Id="rId669" Type="http://schemas.openxmlformats.org/officeDocument/2006/relationships/hyperlink" Target="https://mailchi.mp/392d2043e782/an-57why-we-should-focus-on-robustness-in-ai-safety-and-the-analogous-problems-in-programming" TargetMode="External"/><Relationship Id="rId1490" Type="http://schemas.openxmlformats.org/officeDocument/2006/relationships/hyperlink" Target="https://medium.com/@deepmindsafetyresearch/what-mechanisms-drive-agent-behaviour-e7b8d9aee88" TargetMode="External"/><Relationship Id="rId660" Type="http://schemas.openxmlformats.org/officeDocument/2006/relationships/hyperlink" Target="http://arxiv.org/abs/1808.07903" TargetMode="External"/><Relationship Id="rId1491" Type="http://schemas.openxmlformats.org/officeDocument/2006/relationships/hyperlink" Target="https://mailchi.mp/93d2051b7d70/an-141the-case-for-practicing-alignment-work-on-gpt-3-and-other-large-models" TargetMode="External"/><Relationship Id="rId1492" Type="http://schemas.openxmlformats.org/officeDocument/2006/relationships/hyperlink" Target="https://arxiv.org/abs/2103.03938" TargetMode="External"/><Relationship Id="rId1493" Type="http://schemas.openxmlformats.org/officeDocument/2006/relationships/hyperlink" Target="http://glassmanlab.seas.harvard.edu/papers/bucinca_iui20_proxy.pdf" TargetMode="External"/><Relationship Id="rId1494" Type="http://schemas.openxmlformats.org/officeDocument/2006/relationships/hyperlink" Target="https://mailchi.mp/f66847de2ef8/an-128prioritizing-research-on-ai-existential-safety-based-on-its-application-to-governance-demands" TargetMode="External"/><Relationship Id="rId664" Type="http://schemas.openxmlformats.org/officeDocument/2006/relationships/hyperlink" Target="https://ai.googleblog.com/2018/08/the-machine-learning-behind-android.html" TargetMode="External"/><Relationship Id="rId1495" Type="http://schemas.openxmlformats.org/officeDocument/2006/relationships/hyperlink" Target="http://arxiv.org/abs/1806.07538" TargetMode="External"/><Relationship Id="rId663" Type="http://schemas.openxmlformats.org/officeDocument/2006/relationships/hyperlink" Target="https://mailchi.mp/d92bd0fefc83/alignment-newsletter-20" TargetMode="External"/><Relationship Id="rId1496" Type="http://schemas.openxmlformats.org/officeDocument/2006/relationships/hyperlink" Target="https://mailchi.mp/bcb2c6f1d507/alignment-newsletter-12" TargetMode="External"/><Relationship Id="rId662" Type="http://schemas.openxmlformats.org/officeDocument/2006/relationships/hyperlink" Target="https://deepmind.com/blog/moorfields-major-milestone/" TargetMode="External"/><Relationship Id="rId1497" Type="http://schemas.openxmlformats.org/officeDocument/2006/relationships/hyperlink" Target="http://arxiv.org/abs/1806.00069" TargetMode="External"/><Relationship Id="rId661" Type="http://schemas.openxmlformats.org/officeDocument/2006/relationships/hyperlink" Target="https://mailchi.mp/469203093ca3/alignment-newsletter-22" TargetMode="External"/><Relationship Id="rId1498" Type="http://schemas.openxmlformats.org/officeDocument/2006/relationships/hyperlink" Target="https://mailchi.mp/7ad36e25be22/alignment-newsletter-11" TargetMode="External"/><Relationship Id="rId1488" Type="http://schemas.openxmlformats.org/officeDocument/2006/relationships/hyperlink" Target="https://deepmind.com/blog/measuring-abstract-reasoning/" TargetMode="External"/><Relationship Id="rId1489" Type="http://schemas.openxmlformats.org/officeDocument/2006/relationships/hyperlink" Target="https://mailchi.mp/4920e52dd61b/alignment-newsletter-15" TargetMode="External"/><Relationship Id="rId657" Type="http://schemas.openxmlformats.org/officeDocument/2006/relationships/hyperlink" Target="https://mailchi.mp/6751e45fbb48/alignment-newsletter-36" TargetMode="External"/><Relationship Id="rId656" Type="http://schemas.openxmlformats.org/officeDocument/2006/relationships/hyperlink" Target="https://deepmind.com/blog/alphafold/" TargetMode="External"/><Relationship Id="rId655" Type="http://schemas.openxmlformats.org/officeDocument/2006/relationships/hyperlink" Target="https://mailchi.mp/4920e52dd61b/alignment-newsletter-15" TargetMode="External"/><Relationship Id="rId654" Type="http://schemas.openxmlformats.org/officeDocument/2006/relationships/hyperlink" Target="https://www.lesswrong.com/posts/zMHK9gFY6t48Exqup/two-agents-can-have-the-same-source-code-and-optimise" TargetMode="External"/><Relationship Id="rId659" Type="http://schemas.openxmlformats.org/officeDocument/2006/relationships/hyperlink" Target="https://mailchi.mp/0c5eeec28f75/alignment-newsletter-25" TargetMode="External"/><Relationship Id="rId658" Type="http://schemas.openxmlformats.org/officeDocument/2006/relationships/hyperlink" Target="http://arxiv.org/abs/1809.04059" TargetMode="External"/><Relationship Id="rId1480" Type="http://schemas.openxmlformats.org/officeDocument/2006/relationships/hyperlink" Target="http://arxiv.org/abs/1809.06061" TargetMode="External"/><Relationship Id="rId1481" Type="http://schemas.openxmlformats.org/officeDocument/2006/relationships/hyperlink" Target="https://mailchi.mp/0c5eeec28f75/alignment-newsletter-25" TargetMode="External"/><Relationship Id="rId1482" Type="http://schemas.openxmlformats.org/officeDocument/2006/relationships/hyperlink" Target="https://arxiv.org/abs/1804.02477" TargetMode="External"/><Relationship Id="rId1483" Type="http://schemas.openxmlformats.org/officeDocument/2006/relationships/hyperlink" Target="https://mailchi.mp/14782876a85d/alignment-newsletter-2" TargetMode="External"/><Relationship Id="rId653" Type="http://schemas.openxmlformats.org/officeDocument/2006/relationships/hyperlink" Target="https://mailchi.mp/4920e52dd61b/alignment-newsletter-15" TargetMode="External"/><Relationship Id="rId1484" Type="http://schemas.openxmlformats.org/officeDocument/2006/relationships/hyperlink" Target="http://arxiv.org/abs/1808.00033" TargetMode="External"/><Relationship Id="rId652" Type="http://schemas.openxmlformats.org/officeDocument/2006/relationships/hyperlink" Target="https://www.lesswrong.com/posts/gBeEt7YmaHd8dmif7/the-intentional-agency-experiment" TargetMode="External"/><Relationship Id="rId1485" Type="http://schemas.openxmlformats.org/officeDocument/2006/relationships/hyperlink" Target="https://mailchi.mp/4b19d2caa5a9/alignment-newsletter-19" TargetMode="External"/><Relationship Id="rId651" Type="http://schemas.openxmlformats.org/officeDocument/2006/relationships/hyperlink" Target="https://mailchi.mp/4920e52dd61b/alignment-newsletter-15" TargetMode="External"/><Relationship Id="rId1486" Type="http://schemas.openxmlformats.org/officeDocument/2006/relationships/hyperlink" Target="http://arxiv.org/abs/1711.11279" TargetMode="External"/><Relationship Id="rId650" Type="http://schemas.openxmlformats.org/officeDocument/2006/relationships/hyperlink" Target="https://www.lesswrong.com/posts/MeYeLEr4RNGreJZcB/on-the-role-of-counterfactuals-in-learning" TargetMode="External"/><Relationship Id="rId1487" Type="http://schemas.openxmlformats.org/officeDocument/2006/relationships/hyperlink" Target="https://mailchi.mp/4920e52dd61b/alignment-newsletter-15" TargetMode="External"/><Relationship Id="rId3216" Type="http://schemas.openxmlformats.org/officeDocument/2006/relationships/hyperlink" Target="https://www.alignmentforum.org/posts/EpdXLNXyL4EYLFwF8/an-increasingly-manipulative-newsfeed" TargetMode="External"/><Relationship Id="rId3215" Type="http://schemas.openxmlformats.org/officeDocument/2006/relationships/hyperlink" Target="https://mailchi.mp/d2f2d15b7114/an-77-double-descent-a-unification-of-statistical-theory-and-modern-ml-practice" TargetMode="External"/><Relationship Id="rId3218" Type="http://schemas.openxmlformats.org/officeDocument/2006/relationships/hyperlink" Target="https://arxiv.org/abs/1901.00064" TargetMode="External"/><Relationship Id="rId3217" Type="http://schemas.openxmlformats.org/officeDocument/2006/relationships/hyperlink" Target="https://mailchi.mp/938a7eed18c3/an-71avoiding-reward-tampering-through-current-rf-optimization" TargetMode="External"/><Relationship Id="rId3219" Type="http://schemas.openxmlformats.org/officeDocument/2006/relationships/hyperlink" Target="https://mailchi.mp/35b451cb4d70/alignment-newsletter-45" TargetMode="External"/><Relationship Id="rId689" Type="http://schemas.openxmlformats.org/officeDocument/2006/relationships/hyperlink" Target="https://mailchi.mp/05518aad6baf/an-108why-we-should-scrutinize-arguments-for-ai-risk" TargetMode="External"/><Relationship Id="rId688" Type="http://schemas.openxmlformats.org/officeDocument/2006/relationships/hyperlink" Target="https://80000hours.org/podcast/episodes/ben-garfinkel-classic-ai-risk-arguments/" TargetMode="External"/><Relationship Id="rId687" Type="http://schemas.openxmlformats.org/officeDocument/2006/relationships/hyperlink" Target="https://mailchi.mp/cfec6a0f6e73/alignment-newsletter-29" TargetMode="External"/><Relationship Id="rId682" Type="http://schemas.openxmlformats.org/officeDocument/2006/relationships/hyperlink" Target="https://arxiv.org/abs/2009.10385" TargetMode="External"/><Relationship Id="rId681" Type="http://schemas.openxmlformats.org/officeDocument/2006/relationships/hyperlink" Target="https://mailchi.mp/1ecd1b775703/alignment-newsletter-26" TargetMode="External"/><Relationship Id="rId680" Type="http://schemas.openxmlformats.org/officeDocument/2006/relationships/hyperlink" Target="https://www.lesswrong.com/posts/mbQSrox38WyT8c6tQ/deep-learning-deeper-flaws" TargetMode="External"/><Relationship Id="rId3210" Type="http://schemas.openxmlformats.org/officeDocument/2006/relationships/hyperlink" Target="https://mailchi.mp/ff6340049bd0/alignment-newsletter-1" TargetMode="External"/><Relationship Id="rId686" Type="http://schemas.openxmlformats.org/officeDocument/2006/relationships/hyperlink" Target="http://arxiv.org/abs/1810.04053" TargetMode="External"/><Relationship Id="rId3212" Type="http://schemas.openxmlformats.org/officeDocument/2006/relationships/hyperlink" Target="https://deepmind.com/blog/article/Specification-gaming-the-flip-side-of-AI-ingenuity" TargetMode="External"/><Relationship Id="rId685" Type="http://schemas.openxmlformats.org/officeDocument/2006/relationships/hyperlink" Target="https://mailchi.mp/3e550712419a/alignment-newsletter-7" TargetMode="External"/><Relationship Id="rId3211" Type="http://schemas.openxmlformats.org/officeDocument/2006/relationships/hyperlink" Target="https://ai-alignment.com/act-based-agents-8ec926c79e9c" TargetMode="External"/><Relationship Id="rId684" Type="http://schemas.openxmlformats.org/officeDocument/2006/relationships/hyperlink" Target="https://www.quantamagazine.org/to-build-truly-intelligent-machines-teach-them-cause-and-effect-20180515/" TargetMode="External"/><Relationship Id="rId3214" Type="http://schemas.openxmlformats.org/officeDocument/2006/relationships/hyperlink" Target="https://www.lesswrong.com/posts/EnN7cm3KaRrEAuWfa/comment-on-coherence-arguments-do-not-imply-goal-directed" TargetMode="External"/><Relationship Id="rId683" Type="http://schemas.openxmlformats.org/officeDocument/2006/relationships/hyperlink" Target="https://mailchi.mp/35524c8e5e8d/an-134underspecification-as-a-cause-of-fragility-to-distribution-shift" TargetMode="External"/><Relationship Id="rId3213" Type="http://schemas.openxmlformats.org/officeDocument/2006/relationships/hyperlink" Target="https://mailchi.mp/a2b5efbcd3a7/an-97-are-there-historical-examples-of-large-robust-discontinuities" TargetMode="External"/><Relationship Id="rId3205" Type="http://schemas.openxmlformats.org/officeDocument/2006/relationships/hyperlink" Target="https://futureoflife.org/2020/06/15/steven-pinker-and-stuart-russell-on-the-foundations-benefits-and-possible-existential-risk-of-ai/" TargetMode="External"/><Relationship Id="rId3204" Type="http://schemas.openxmlformats.org/officeDocument/2006/relationships/hyperlink" Target="https://mailchi.mp/2f9c49ea473f/an-115ai-safety-research-problems-in-the-ai-ga-framework" TargetMode="External"/><Relationship Id="rId3207" Type="http://schemas.openxmlformats.org/officeDocument/2006/relationships/hyperlink" Target="https://www.lesswrong.com/posts/CCgvJHpbvc7Lm8ZS8/metaphilosophical-competence-can-t-be-disentangled-from" TargetMode="External"/><Relationship Id="rId3206" Type="http://schemas.openxmlformats.org/officeDocument/2006/relationships/hyperlink" Target="https://mailchi.mp/ba4d1765368f/an-104-the-perils-of-inaccessible-information-and-what-we-can-learn-about-ai-alignment-from-covid" TargetMode="External"/><Relationship Id="rId3209" Type="http://schemas.openxmlformats.org/officeDocument/2006/relationships/hyperlink" Target="https://www.lesswrong.com/posts/ySSEz5CmSEo6MbokQ/reframing-misaligned-agi-s-well-intentioned-non-neurotypical" TargetMode="External"/><Relationship Id="rId3208" Type="http://schemas.openxmlformats.org/officeDocument/2006/relationships/hyperlink" Target="https://mailchi.mp/ff6340049bd0/alignment-newsletter-1" TargetMode="External"/><Relationship Id="rId679" Type="http://schemas.openxmlformats.org/officeDocument/2006/relationships/hyperlink" Target="https://mailchi.mp/e6a23da2760e/alignment-newsletter-3?e=f665c7b50a" TargetMode="External"/><Relationship Id="rId678" Type="http://schemas.openxmlformats.org/officeDocument/2006/relationships/hyperlink" Target="https://medium.com/@mijordan3/artificial-intelligence-the-revolution-hasnt-happened-yet-5e1d5812e1e7" TargetMode="External"/><Relationship Id="rId677" Type="http://schemas.openxmlformats.org/officeDocument/2006/relationships/hyperlink" Target="https://mailchi.mp/4a1b3c4249ae/an-62are-adversarial-examples-caused-by-real-but-imperceptible-features" TargetMode="External"/><Relationship Id="rId676" Type="http://schemas.openxmlformats.org/officeDocument/2006/relationships/hyperlink" Target="https://aiimpacts.org/evidence-against-current-methods-leading-to-human-level-artificial-intelligence/" TargetMode="External"/><Relationship Id="rId671" Type="http://schemas.openxmlformats.org/officeDocument/2006/relationships/hyperlink" Target="https://mailchi.mp/c1f376f3a12e/alignment-newsletter-30" TargetMode="External"/><Relationship Id="rId670" Type="http://schemas.openxmlformats.org/officeDocument/2006/relationships/hyperlink" Target="http://arxiv.org/abs/1810.09591" TargetMode="External"/><Relationship Id="rId675" Type="http://schemas.openxmlformats.org/officeDocument/2006/relationships/hyperlink" Target="https://mailchi.mp/0212425e5544/alignment-newsletter-27" TargetMode="External"/><Relationship Id="rId3201" Type="http://schemas.openxmlformats.org/officeDocument/2006/relationships/hyperlink" Target="https://www.alignmentforum.org/posts/k54rgSg7GcjtXnMHX/model-splintering-moving-from-one-imperfect-model-to-another-1" TargetMode="External"/><Relationship Id="rId674" Type="http://schemas.openxmlformats.org/officeDocument/2006/relationships/hyperlink" Target="http://arxiv.org/abs/1810.00619" TargetMode="External"/><Relationship Id="rId3200" Type="http://schemas.openxmlformats.org/officeDocument/2006/relationships/hyperlink" Target="https://mailchi.mp/42ec72ef7e11/an-120tracing-the-intellectual-roots-of-ai-and-ai-alignment" TargetMode="External"/><Relationship Id="rId673" Type="http://schemas.openxmlformats.org/officeDocument/2006/relationships/hyperlink" Target="https://mailchi.mp/df2e472140b6/alignment-newsletter-28" TargetMode="External"/><Relationship Id="rId3203" Type="http://schemas.openxmlformats.org/officeDocument/2006/relationships/hyperlink" Target="https://www.garymcgraw.com/wp-content/uploads/2020/02/BIML-ARA.pdf" TargetMode="External"/><Relationship Id="rId672" Type="http://schemas.openxmlformats.org/officeDocument/2006/relationships/hyperlink" Target="http://arxiv.org/abs/1810.01963" TargetMode="External"/><Relationship Id="rId3202" Type="http://schemas.openxmlformats.org/officeDocument/2006/relationships/hyperlink" Target="https://mailchi.mp/2f9c49ea473f/an-115ai-safety-research-problems-in-the-ai-ga-framework" TargetMode="External"/><Relationship Id="rId190" Type="http://schemas.openxmlformats.org/officeDocument/2006/relationships/hyperlink" Target="https://mailchi.mp/5ad3a9643b6b/alignment-newsletter-21" TargetMode="External"/><Relationship Id="rId194" Type="http://schemas.openxmlformats.org/officeDocument/2006/relationships/hyperlink" Target="https://mailchi.mp/ad852629e45a/alignment-newsletter-17" TargetMode="External"/><Relationship Id="rId193" Type="http://schemas.openxmlformats.org/officeDocument/2006/relationships/hyperlink" Target="https://www.lesswrong.com/posts/bEa4FuLS4r7hExoty/stable-pointers-to-value-iii-recursive-quantilization" TargetMode="External"/><Relationship Id="rId192" Type="http://schemas.openxmlformats.org/officeDocument/2006/relationships/hyperlink" Target="https://mailchi.mp/ad852629e45a/alignment-newsletter-17" TargetMode="External"/><Relationship Id="rId191" Type="http://schemas.openxmlformats.org/officeDocument/2006/relationships/hyperlink" Target="https://www.lesswrong.com/posts/WXCBFpLj894dEte8Q/computational-efficiency-reasons-not-to-model-vnm-rational" TargetMode="External"/><Relationship Id="rId187" Type="http://schemas.openxmlformats.org/officeDocument/2006/relationships/hyperlink" Target="https://www.alignmentforum.org/posts/SgkaXQn3xqJkGQ2D8/cooperative-oracles" TargetMode="External"/><Relationship Id="rId186" Type="http://schemas.openxmlformats.org/officeDocument/2006/relationships/hyperlink" Target="https://mailchi.mp/469203093ca3/alignment-newsletter-22" TargetMode="External"/><Relationship Id="rId185" Type="http://schemas.openxmlformats.org/officeDocument/2006/relationships/hyperlink" Target="https://arxiv.org/abs/1805.12387" TargetMode="External"/><Relationship Id="rId184" Type="http://schemas.openxmlformats.org/officeDocument/2006/relationships/hyperlink" Target="https://mailchi.mp/469203093ca3/alignment-newsletter-22" TargetMode="External"/><Relationship Id="rId189" Type="http://schemas.openxmlformats.org/officeDocument/2006/relationships/hyperlink" Target="https://www.alignmentforum.org/posts/JKSS8GEu7DGX4YuxN/reducing-collective-rationality-to-individual-optimization" TargetMode="External"/><Relationship Id="rId188" Type="http://schemas.openxmlformats.org/officeDocument/2006/relationships/hyperlink" Target="https://mailchi.mp/469203093ca3/alignment-newsletter-22" TargetMode="External"/><Relationship Id="rId183" Type="http://schemas.openxmlformats.org/officeDocument/2006/relationships/hyperlink" Target="https://www.alignmentforum.org/posts/urZzJPwHtjewdKKHc/using-expected-utility-for-good-hart" TargetMode="External"/><Relationship Id="rId182" Type="http://schemas.openxmlformats.org/officeDocument/2006/relationships/hyperlink" Target="https://mailchi.mp/469203093ca3/alignment-newsletter-22" TargetMode="External"/><Relationship Id="rId181" Type="http://schemas.openxmlformats.org/officeDocument/2006/relationships/hyperlink" Target="https://www.alignmentforum.org/posts/nbhTzEosM9sqEvr6P/corrigibility-doesn-t-always-have-a-good-action-to-take" TargetMode="External"/><Relationship Id="rId180" Type="http://schemas.openxmlformats.org/officeDocument/2006/relationships/hyperlink" Target="https://mailchi.mp/469203093ca3/alignment-newsletter-22" TargetMode="External"/><Relationship Id="rId176" Type="http://schemas.openxmlformats.org/officeDocument/2006/relationships/hyperlink" Target="https://mailchi.mp/9295c961b39b/alignment-newsletter-23" TargetMode="External"/><Relationship Id="rId175" Type="http://schemas.openxmlformats.org/officeDocument/2006/relationships/hyperlink" Target="https://www.alignmentforum.org/posts/pgTioHEzaSddx5csN/counterfactuals-and-reflective-oracles" TargetMode="External"/><Relationship Id="rId174" Type="http://schemas.openxmlformats.org/officeDocument/2006/relationships/hyperlink" Target="https://mailchi.mp/9295c961b39b/alignment-newsletter-23" TargetMode="External"/><Relationship Id="rId173" Type="http://schemas.openxmlformats.org/officeDocument/2006/relationships/hyperlink" Target="https://www.alignmentforum.org/posts/KbCHcb8yyjAMFAAPJ/when-wishful-thinking-works" TargetMode="External"/><Relationship Id="rId179" Type="http://schemas.openxmlformats.org/officeDocument/2006/relationships/hyperlink" Target="https://www.alignmentforum.org/posts/3YYChdX29SMG6kQf6/computational-complexity-of-rl-with-traps" TargetMode="External"/><Relationship Id="rId178" Type="http://schemas.openxmlformats.org/officeDocument/2006/relationships/hyperlink" Target="https://mailchi.mp/469203093ca3/alignment-newsletter-22" TargetMode="External"/><Relationship Id="rId177" Type="http://schemas.openxmlformats.org/officeDocument/2006/relationships/hyperlink" Target="https://www.alignmentforum.org/posts/26eupx3Byc8swRS7f/bottle-caps-aren-t-optimisers" TargetMode="External"/><Relationship Id="rId198" Type="http://schemas.openxmlformats.org/officeDocument/2006/relationships/hyperlink" Target="https://mailchi.mp/f2950ed2ac4b/alignment-newsletter-16" TargetMode="External"/><Relationship Id="rId197" Type="http://schemas.openxmlformats.org/officeDocument/2006/relationships/hyperlink" Target="https://www.lesswrong.com/posts/4xpDnGaKz472qB4LY/buridan-s-ass-in-coordination-games" TargetMode="External"/><Relationship Id="rId196" Type="http://schemas.openxmlformats.org/officeDocument/2006/relationships/hyperlink" Target="https://mailchi.mp/dcab1b7edaa3/an-164-how-well-can-language-models-write-code" TargetMode="External"/><Relationship Id="rId195" Type="http://schemas.openxmlformats.org/officeDocument/2006/relationships/hyperlink" Target="https://www.alignmentforum.org/posts/QEfbg6vbjGgfFzJM4/countable-factored-spaces" TargetMode="External"/><Relationship Id="rId199" Type="http://schemas.openxmlformats.org/officeDocument/2006/relationships/hyperlink" Target="https://www.lesswrong.com/posts/oheKfWA7SsvpK7SGp/probability-is-real-and-value-is-complex" TargetMode="External"/><Relationship Id="rId150" Type="http://schemas.openxmlformats.org/officeDocument/2006/relationships/hyperlink" Target="https://mailchi.mp/533c646a4b21/an-63how-architecture-search-meta-learning-and-environment-design-could-lead-to-general-intelligence" TargetMode="External"/><Relationship Id="rId149" Type="http://schemas.openxmlformats.org/officeDocument/2006/relationships/hyperlink" Target="https://www.alignmentforum.org/posts/rvxcSc6wdcCfaX6GZ/two-senses-of-optimizer" TargetMode="External"/><Relationship Id="rId148" Type="http://schemas.openxmlformats.org/officeDocument/2006/relationships/hyperlink" Target="https://mailchi.mp/7ba40faa7eed/an-82-how-openai-five-distributed-their-training-computation" TargetMode="External"/><Relationship Id="rId3270" Type="http://schemas.openxmlformats.org/officeDocument/2006/relationships/hyperlink" Target="https://blog.openai.com/spinning-up-in-deep-rl/" TargetMode="External"/><Relationship Id="rId3272" Type="http://schemas.openxmlformats.org/officeDocument/2006/relationships/hyperlink" Target="https://arxiv.org/abs/1809.05214" TargetMode="External"/><Relationship Id="rId3271" Type="http://schemas.openxmlformats.org/officeDocument/2006/relationships/hyperlink" Target="https://mailchi.mp/8f5d302499be/alignment-newsletter-32" TargetMode="External"/><Relationship Id="rId143" Type="http://schemas.openxmlformats.org/officeDocument/2006/relationships/hyperlink" Target="https://www.lesswrong.com/posts/xoQRz8tBvsznMXTkt/dissolving-confusion-around-functional-decision-theory" TargetMode="External"/><Relationship Id="rId3274" Type="http://schemas.openxmlformats.org/officeDocument/2006/relationships/hyperlink" Target="https://deepmind.com/blog/preserving-outputs-precisely-while-adaptively-rescaling-targets/" TargetMode="External"/><Relationship Id="rId142" Type="http://schemas.openxmlformats.org/officeDocument/2006/relationships/hyperlink" Target="https://mailchi.mp/0f80d83f9c44/an-94ai-alignment-as-translation-between-humans-and-machines" TargetMode="External"/><Relationship Id="rId3273" Type="http://schemas.openxmlformats.org/officeDocument/2006/relationships/hyperlink" Target="https://mailchi.mp/1ecd1b775703/alignment-newsletter-26" TargetMode="External"/><Relationship Id="rId141" Type="http://schemas.openxmlformats.org/officeDocument/2006/relationships/hyperlink" Target="https://www.alignmentforum.org/posts/yBdDXXmLYejrcPPv2/two-alternatives-to-logical-counterfactuals" TargetMode="External"/><Relationship Id="rId3276" Type="http://schemas.openxmlformats.org/officeDocument/2006/relationships/hyperlink" Target="https://bair.berkeley.edu/blog/2018/09/06/rig/" TargetMode="External"/><Relationship Id="rId140" Type="http://schemas.openxmlformats.org/officeDocument/2006/relationships/hyperlink" Target="https://mailchi.mp/93d2051b7d70/an-141the-case-for-practicing-alignment-work-on-gpt-3-and-other-large-models" TargetMode="External"/><Relationship Id="rId3275" Type="http://schemas.openxmlformats.org/officeDocument/2006/relationships/hyperlink" Target="https://mailchi.mp/d7b5059d64ed/alignment-newsletter-24" TargetMode="External"/><Relationship Id="rId147" Type="http://schemas.openxmlformats.org/officeDocument/2006/relationships/hyperlink" Target="https://www.alignmentforum.org/posts/ySLYSsNeFL5CoAQzN/a-critique-of-functional-decision-theory" TargetMode="External"/><Relationship Id="rId3278" Type="http://schemas.openxmlformats.org/officeDocument/2006/relationships/hyperlink" Target="http://arxiv.org/abs/1809.01999" TargetMode="External"/><Relationship Id="rId146" Type="http://schemas.openxmlformats.org/officeDocument/2006/relationships/hyperlink" Target="https://mailchi.mp/7ba40faa7eed/an-82-how-openai-five-distributed-their-training-computation" TargetMode="External"/><Relationship Id="rId3277" Type="http://schemas.openxmlformats.org/officeDocument/2006/relationships/hyperlink" Target="https://mailchi.mp/9295c961b39b/alignment-newsletter-23" TargetMode="External"/><Relationship Id="rId145" Type="http://schemas.openxmlformats.org/officeDocument/2006/relationships/hyperlink" Target="https://www.alignmentforum.org/posts/9sYzoRnmqmxZm4Whf/conceptual-problems-with-udt-and-policy-selection" TargetMode="External"/><Relationship Id="rId144" Type="http://schemas.openxmlformats.org/officeDocument/2006/relationships/hyperlink" Target="https://mailchi.mp/ff565f097630/an-83-sample-efficient-deep-learning-with-remixmatch" TargetMode="External"/><Relationship Id="rId3279" Type="http://schemas.openxmlformats.org/officeDocument/2006/relationships/hyperlink" Target="https://mailchi.mp/9295c961b39b/alignment-newsletter-23" TargetMode="External"/><Relationship Id="rId139" Type="http://schemas.openxmlformats.org/officeDocument/2006/relationships/hyperlink" Target="https://www.alignmentforum.org/posts/EL4HNa92Z95FKL9R2/a-semitechnical-introductory-dialogue-on-solomonoff-1" TargetMode="External"/><Relationship Id="rId138" Type="http://schemas.openxmlformats.org/officeDocument/2006/relationships/hyperlink" Target="https://mailchi.mp/da3c3152e561/an-156the-scaling-hypothesis-a-plan-for-building-agi" TargetMode="External"/><Relationship Id="rId137" Type="http://schemas.openxmlformats.org/officeDocument/2006/relationships/hyperlink" Target="https://www.alignmentforum.org/s/H6kiZXJwYgxZubtmD" TargetMode="External"/><Relationship Id="rId3261" Type="http://schemas.openxmlformats.org/officeDocument/2006/relationships/hyperlink" Target="https://arxiv.org/abs/1911.08265" TargetMode="External"/><Relationship Id="rId3260" Type="http://schemas.openxmlformats.org/officeDocument/2006/relationships/hyperlink" Target="https://mailchi.mp/15397ab6f65c/alignment-newsletter-8" TargetMode="External"/><Relationship Id="rId132" Type="http://schemas.openxmlformats.org/officeDocument/2006/relationships/hyperlink" Target="https://mailchi.mp/1e757d9b05cb/alignment-newsletter-52" TargetMode="External"/><Relationship Id="rId3263" Type="http://schemas.openxmlformats.org/officeDocument/2006/relationships/hyperlink" Target="https://learning-from-play.github.io/" TargetMode="External"/><Relationship Id="rId131" Type="http://schemas.openxmlformats.org/officeDocument/2006/relationships/hyperlink" Target="https://www.alignmentforum.org/posts/XTgkhjNTEi97WHMi6/pavlov-generalizes" TargetMode="External"/><Relationship Id="rId3262" Type="http://schemas.openxmlformats.org/officeDocument/2006/relationships/hyperlink" Target="https://mailchi.mp/3e34fa1f299a/an-75-solving-atari-and-go-with-learned-game-models-and-thoughts-from-a-miri-employee" TargetMode="External"/><Relationship Id="rId130" Type="http://schemas.openxmlformats.org/officeDocument/2006/relationships/hyperlink" Target="https://mailchi.mp/92b3a9458c2d/an-58-mesa-optimization-what-it-is-and-why-we-should-care" TargetMode="External"/><Relationship Id="rId3265" Type="http://schemas.openxmlformats.org/officeDocument/2006/relationships/hyperlink" Target="https://arxiv.org/abs/1903.01973" TargetMode="External"/><Relationship Id="rId3264" Type="http://schemas.openxmlformats.org/officeDocument/2006/relationships/hyperlink" Target="https://mailchi.mp/3d4e6c2c206f/an-65learning-useful-skills-by-watching-humans-play" TargetMode="External"/><Relationship Id="rId136" Type="http://schemas.openxmlformats.org/officeDocument/2006/relationships/hyperlink" Target="https://mailchi.mp/dcab1b7edaa3/an-164-how-well-can-language-models-write-code" TargetMode="External"/><Relationship Id="rId3267" Type="http://schemas.openxmlformats.org/officeDocument/2006/relationships/hyperlink" Target="https://mailchi.mp/a90a547f06f2/alignment-newsletter-51" TargetMode="External"/><Relationship Id="rId135" Type="http://schemas.openxmlformats.org/officeDocument/2006/relationships/hyperlink" Target="https://www.alignmentforum.org/posts/jHSi6BwDKTLt5dmsG/grokking-the-intentional-stance" TargetMode="External"/><Relationship Id="rId3266" Type="http://schemas.openxmlformats.org/officeDocument/2006/relationships/hyperlink" Target="https://arxiv.org/abs/1903.08894" TargetMode="External"/><Relationship Id="rId134" Type="http://schemas.openxmlformats.org/officeDocument/2006/relationships/hyperlink" Target="https://mailchi.mp/f6488137d76c/alignment-newsletter-42" TargetMode="External"/><Relationship Id="rId3269" Type="http://schemas.openxmlformats.org/officeDocument/2006/relationships/hyperlink" Target="https://mailchi.mp/768a8130013f/alignment-newsletter-43" TargetMode="External"/><Relationship Id="rId133" Type="http://schemas.openxmlformats.org/officeDocument/2006/relationships/hyperlink" Target="https://www.alignmentforum.org/posts/WkPf6XCzfJLCm2pbK/cdt-edt-udt" TargetMode="External"/><Relationship Id="rId3268" Type="http://schemas.openxmlformats.org/officeDocument/2006/relationships/hyperlink" Target="https://deepmind.com/blog/alphastar-mastering-real-time-strategy-game-starcraft-ii/" TargetMode="External"/><Relationship Id="rId172" Type="http://schemas.openxmlformats.org/officeDocument/2006/relationships/hyperlink" Target="https://mailchi.mp/0c5eeec28f75/alignment-newsletter-25" TargetMode="External"/><Relationship Id="rId171" Type="http://schemas.openxmlformats.org/officeDocument/2006/relationships/hyperlink" Target="https://www.alignmentforum.org/posts/dKAJqBDZRMMsaaYo5/in-logical-time-all-games-are-iterated-games" TargetMode="External"/><Relationship Id="rId170" Type="http://schemas.openxmlformats.org/officeDocument/2006/relationships/hyperlink" Target="https://mailchi.mp/1ecd1b775703/alignment-newsletter-26" TargetMode="External"/><Relationship Id="rId3290" Type="http://schemas.openxmlformats.org/officeDocument/2006/relationships/hyperlink" Target="http://arxiv.org/abs/1807.10299" TargetMode="External"/><Relationship Id="rId3292" Type="http://schemas.openxmlformats.org/officeDocument/2006/relationships/hyperlink" Target="https://blog.openai.com/learning-dexterity/" TargetMode="External"/><Relationship Id="rId3291" Type="http://schemas.openxmlformats.org/officeDocument/2006/relationships/hyperlink" Target="https://mailchi.mp/51717855ea27/alignment-newsletter-18" TargetMode="External"/><Relationship Id="rId3294" Type="http://schemas.openxmlformats.org/officeDocument/2006/relationships/hyperlink" Target="https://arxiv.org/abs/2107.12544" TargetMode="External"/><Relationship Id="rId3293" Type="http://schemas.openxmlformats.org/officeDocument/2006/relationships/hyperlink" Target="https://mailchi.mp/51717855ea27/alignment-newsletter-18" TargetMode="External"/><Relationship Id="rId165" Type="http://schemas.openxmlformats.org/officeDocument/2006/relationships/hyperlink" Target="https://www.alignmentforum.org/posts/XW6Qi2LitMDb2MF8c/a-rationality-condition-for-cdt-is-that-it-equal-edt-part-1" TargetMode="External"/><Relationship Id="rId3296" Type="http://schemas.openxmlformats.org/officeDocument/2006/relationships/hyperlink" Target="https://deepmind.com/blog/capture-the-flag/" TargetMode="External"/><Relationship Id="rId164" Type="http://schemas.openxmlformats.org/officeDocument/2006/relationships/hyperlink" Target="https://mailchi.mp/df2e472140b6/alignment-newsletter-28" TargetMode="External"/><Relationship Id="rId3295" Type="http://schemas.openxmlformats.org/officeDocument/2006/relationships/hyperlink" Target="https://mailchi.mp/2121f5135173/an-160-building-ais-that-learn-and-think-like-people" TargetMode="External"/><Relationship Id="rId163" Type="http://schemas.openxmlformats.org/officeDocument/2006/relationships/hyperlink" Target="https://www.alignmentforum.org/posts/tpWfDLZy2tk97MJ3F/a-rationality-condition-for-cdt-is-that-it-equal-edt-part-2" TargetMode="External"/><Relationship Id="rId3298" Type="http://schemas.openxmlformats.org/officeDocument/2006/relationships/hyperlink" Target="https://blog.openai.com/openai-five/" TargetMode="External"/><Relationship Id="rId162" Type="http://schemas.openxmlformats.org/officeDocument/2006/relationships/hyperlink" Target="https://mailchi.mp/bbd47ba94e84/alignment-newsletter-35" TargetMode="External"/><Relationship Id="rId3297" Type="http://schemas.openxmlformats.org/officeDocument/2006/relationships/hyperlink" Target="https://mailchi.mp/4a4bc2286f53/alignment-newsletter-14" TargetMode="External"/><Relationship Id="rId169" Type="http://schemas.openxmlformats.org/officeDocument/2006/relationships/hyperlink" Target="https://www.alignmentforum.org/posts/yXCvYqTZCsfN7WRrg/asymptotic-decision-theory-improved-writeup" TargetMode="External"/><Relationship Id="rId168" Type="http://schemas.openxmlformats.org/officeDocument/2006/relationships/hyperlink" Target="https://mailchi.mp/0212425e5544/alignment-newsletter-27" TargetMode="External"/><Relationship Id="rId3299" Type="http://schemas.openxmlformats.org/officeDocument/2006/relationships/hyperlink" Target="https://mailchi.mp/8234356e4b7f/alignment-newsletter-13" TargetMode="External"/><Relationship Id="rId167" Type="http://schemas.openxmlformats.org/officeDocument/2006/relationships/hyperlink" Target="https://www.alignmentforum.org/posts/Rcwv6SPsmhkgzfkDw/edt-solves-5-and-10-with-conditional-oracles" TargetMode="External"/><Relationship Id="rId166" Type="http://schemas.openxmlformats.org/officeDocument/2006/relationships/hyperlink" Target="https://mailchi.mp/0212425e5544/alignment-newsletter-27" TargetMode="External"/><Relationship Id="rId161" Type="http://schemas.openxmlformats.org/officeDocument/2006/relationships/hyperlink" Target="https://link.springer.com/article/10.1007/s11238-018-9679-3" TargetMode="External"/><Relationship Id="rId160" Type="http://schemas.openxmlformats.org/officeDocument/2006/relationships/hyperlink" Target="https://mailchi.mp/bbd47ba94e84/alignment-newsletter-35" TargetMode="External"/><Relationship Id="rId159" Type="http://schemas.openxmlformats.org/officeDocument/2006/relationships/hyperlink" Target="https://www.alignmentforum.org/posts/MgLeAWSeLbzx8mkZ2/bounded-oracle-induction" TargetMode="External"/><Relationship Id="rId3281" Type="http://schemas.openxmlformats.org/officeDocument/2006/relationships/hyperlink" Target="https://mailchi.mp/5ad3a9643b6b/alignment-newsletter-21" TargetMode="External"/><Relationship Id="rId3280" Type="http://schemas.openxmlformats.org/officeDocument/2006/relationships/hyperlink" Target="https://arxiv.org/abs/1805.00909" TargetMode="External"/><Relationship Id="rId3283" Type="http://schemas.openxmlformats.org/officeDocument/2006/relationships/hyperlink" Target="https://mailchi.mp/d92bd0fefc83/alignment-newsletter-20" TargetMode="External"/><Relationship Id="rId3282" Type="http://schemas.openxmlformats.org/officeDocument/2006/relationships/hyperlink" Target="https://pathak22.github.io/large-scale-curiosity/" TargetMode="External"/><Relationship Id="rId154" Type="http://schemas.openxmlformats.org/officeDocument/2006/relationships/hyperlink" Target="https://mailchi.mp/f6488137d76c/alignment-newsletter-42" TargetMode="External"/><Relationship Id="rId3285" Type="http://schemas.openxmlformats.org/officeDocument/2006/relationships/hyperlink" Target="http://amid.fish/reproducing-deep-rl" TargetMode="External"/><Relationship Id="rId153" Type="http://schemas.openxmlformats.org/officeDocument/2006/relationships/hyperlink" Target="https://www.alignmentforum.org/posts/wkNQdYj47HX33noKv/cdt-dutch-book" TargetMode="External"/><Relationship Id="rId3284" Type="http://schemas.openxmlformats.org/officeDocument/2006/relationships/hyperlink" Target="https://arxiv.org/abs/1808.04355" TargetMode="External"/><Relationship Id="rId152" Type="http://schemas.openxmlformats.org/officeDocument/2006/relationships/hyperlink" Target="https://mailchi.mp/768a8130013f/alignment-newsletter-43" TargetMode="External"/><Relationship Id="rId3287" Type="http://schemas.openxmlformats.org/officeDocument/2006/relationships/hyperlink" Target="https://www.alexirpan.com/2018/02/14/rl-hard.html" TargetMode="External"/><Relationship Id="rId151" Type="http://schemas.openxmlformats.org/officeDocument/2006/relationships/hyperlink" Target="https://www.lesswrong.com/posts/BRuWm4GxcTNPn4XDX/clarifying-logical-counterfactuals" TargetMode="External"/><Relationship Id="rId3286" Type="http://schemas.openxmlformats.org/officeDocument/2006/relationships/hyperlink" Target="https://mailchi.mp/14782876a85d/alignment-newsletter-2" TargetMode="External"/><Relationship Id="rId158" Type="http://schemas.openxmlformats.org/officeDocument/2006/relationships/hyperlink" Target="https://mailchi.mp/588354e4b91d/alignment-newsletter-38" TargetMode="External"/><Relationship Id="rId3289" Type="http://schemas.openxmlformats.org/officeDocument/2006/relationships/hyperlink" Target="https://mailchi.mp/4b19d2caa5a9/alignment-newsletter-19" TargetMode="External"/><Relationship Id="rId157" Type="http://schemas.openxmlformats.org/officeDocument/2006/relationships/hyperlink" Target="https://www.alignmentforum.org/posts/uzb3u3zMTkrSEhCaf/anthropic-probabilities-and-cost-functions" TargetMode="External"/><Relationship Id="rId3288" Type="http://schemas.openxmlformats.org/officeDocument/2006/relationships/hyperlink" Target="https://blog.openai.com/openai-five-benchmark-results/" TargetMode="External"/><Relationship Id="rId156" Type="http://schemas.openxmlformats.org/officeDocument/2006/relationships/hyperlink" Target="https://mailchi.mp/588354e4b91d/alignment-newsletter-38" TargetMode="External"/><Relationship Id="rId155" Type="http://schemas.openxmlformats.org/officeDocument/2006/relationships/hyperlink" Target="https://www.alignmentforum.org/posts/PgsxXNSDsyz4DFEuw/anthropic-paradoxes-transposed-into-anthropic-decision" TargetMode="External"/><Relationship Id="rId2820" Type="http://schemas.openxmlformats.org/officeDocument/2006/relationships/hyperlink" Target="https://mailchi.mp/ad852629e45a/alignment-newsletter-17" TargetMode="External"/><Relationship Id="rId2821" Type="http://schemas.openxmlformats.org/officeDocument/2006/relationships/hyperlink" Target="https://www.alignmentforum.org/posts/YDF7XhMThhNfHfim9/ai-safety-needs-great-engineers" TargetMode="External"/><Relationship Id="rId2822" Type="http://schemas.openxmlformats.org/officeDocument/2006/relationships/hyperlink" Target="https://mailchi.mp/a08565612790/an-169collaborating-with-humans-without-human-data" TargetMode="External"/><Relationship Id="rId2823" Type="http://schemas.openxmlformats.org/officeDocument/2006/relationships/hyperlink" Target="http://www.aisafety.camp/" TargetMode="External"/><Relationship Id="rId2824" Type="http://schemas.openxmlformats.org/officeDocument/2006/relationships/hyperlink" Target="https://mailchi.mp/a08565612790/an-169collaborating-with-humans-without-human-data" TargetMode="External"/><Relationship Id="rId2825" Type="http://schemas.openxmlformats.org/officeDocument/2006/relationships/hyperlink" Target="https://www.aisafetysupport.org/events/grad" TargetMode="External"/><Relationship Id="rId2826" Type="http://schemas.openxmlformats.org/officeDocument/2006/relationships/hyperlink" Target="https://mailchi.mp/0634a39158ce/an-168-four-technical-topics-for-which-open-phil-is-soliciting-grant-proposals" TargetMode="External"/><Relationship Id="rId2827" Type="http://schemas.openxmlformats.org/officeDocument/2006/relationships/hyperlink" Target="https://safeai.webs.upv.es/index.php/submissions/" TargetMode="External"/><Relationship Id="rId2828" Type="http://schemas.openxmlformats.org/officeDocument/2006/relationships/hyperlink" Target="https://mailchi.mp/0634a39158ce/an-168-four-technical-topics-for-which-open-phil-is-soliciting-grant-proposals" TargetMode="External"/><Relationship Id="rId2829" Type="http://schemas.openxmlformats.org/officeDocument/2006/relationships/hyperlink" Target="https://www.youtube.com/watch?v=JPcPayJiWm8" TargetMode="External"/><Relationship Id="rId2810" Type="http://schemas.openxmlformats.org/officeDocument/2006/relationships/hyperlink" Target="https://mailchi.mp/083a96caafb4/an-171-disagreements-between-alignment-optimists-and-pessimists" TargetMode="External"/><Relationship Id="rId2811" Type="http://schemas.openxmlformats.org/officeDocument/2006/relationships/hyperlink" Target="https://www.nist.gov/system/files/documents/2021/12/14/AI%20RMF%20Concept%20Paper_13Dec2021_posted.pdf" TargetMode="External"/><Relationship Id="rId2812" Type="http://schemas.openxmlformats.org/officeDocument/2006/relationships/hyperlink" Target="https://mailchi.mp/083a96caafb4/an-171-disagreements-between-alignment-optimists-and-pessimists" TargetMode="External"/><Relationship Id="rId2813" Type="http://schemas.openxmlformats.org/officeDocument/2006/relationships/hyperlink" Target="https://forum.effectivealtruism.org/posts/hhLbFmhXbmaX5PcCa/extended-deadline-jan-23rd-announcing-the-pibbss-summer" TargetMode="External"/><Relationship Id="rId2814" Type="http://schemas.openxmlformats.org/officeDocument/2006/relationships/hyperlink" Target="https://mailchi.mp/083a96caafb4/an-171-disagreements-between-alignment-optimists-and-pessimists" TargetMode="External"/><Relationship Id="rId2815" Type="http://schemas.openxmlformats.org/officeDocument/2006/relationships/hyperlink" Target="https://forum.effectivealtruism.org/posts/LKdtHdETxSYAXwoW6/public-reports-are-now-optional-for-ea-funds-grantees" TargetMode="External"/><Relationship Id="rId2816" Type="http://schemas.openxmlformats.org/officeDocument/2006/relationships/hyperlink" Target="https://mailchi.mp/6a288a3cd011/an-170analyzing-the-argument-for-risk-from-power-seeking-ai" TargetMode="External"/><Relationship Id="rId2817" Type="http://schemas.openxmlformats.org/officeDocument/2006/relationships/hyperlink" Target="https://forum.effectivealtruism.org/posts/QrwnajRpteBZhQZnu/sydney-ai-safety-fellowship" TargetMode="External"/><Relationship Id="rId2818" Type="http://schemas.openxmlformats.org/officeDocument/2006/relationships/hyperlink" Target="https://mailchi.mp/6a288a3cd011/an-170analyzing-the-argument-for-risk-from-power-seeking-ai" TargetMode="External"/><Relationship Id="rId2819" Type="http://schemas.openxmlformats.org/officeDocument/2006/relationships/hyperlink" Target="https://futureoflife.org/2018/07/25/2-million-donated-to-keep-artificial-general-intelligence-beneficial-and-robust/" TargetMode="External"/><Relationship Id="rId1510" Type="http://schemas.openxmlformats.org/officeDocument/2006/relationships/hyperlink" Target="https://mailchi.mp/d9e1db727875/an-100what-might-go-wrong-if-you-learn-a-reward-function-while-acting" TargetMode="External"/><Relationship Id="rId2841" Type="http://schemas.openxmlformats.org/officeDocument/2006/relationships/hyperlink" Target="https://docs.google.com/document/d/1jr92v2Xt6znq6_otCXZ-5JyklofpjytR0N7v-08R76E/edit" TargetMode="External"/><Relationship Id="rId1511" Type="http://schemas.openxmlformats.org/officeDocument/2006/relationships/hyperlink" Target="https://sites.google.com/view/s3ta" TargetMode="External"/><Relationship Id="rId2842" Type="http://schemas.openxmlformats.org/officeDocument/2006/relationships/hyperlink" Target="https://mailchi.mp/2121f5135173/an-160-building-ais-that-learn-and-think-like-people" TargetMode="External"/><Relationship Id="rId1512" Type="http://schemas.openxmlformats.org/officeDocument/2006/relationships/hyperlink" Target="https://www.alignmentforum.org/posts/rSMbGFfsLMB3GWZtX/what-is-interpretability" TargetMode="External"/><Relationship Id="rId2843" Type="http://schemas.openxmlformats.org/officeDocument/2006/relationships/hyperlink" Target="https://ought.org/blog/2018-07-16-progress-update" TargetMode="External"/><Relationship Id="rId1513" Type="http://schemas.openxmlformats.org/officeDocument/2006/relationships/hyperlink" Target="https://mailchi.mp/976b1f69179c/an-93the-precipice-were-standing-at-and-how-we-can-back-away-from-it" TargetMode="External"/><Relationship Id="rId2844" Type="http://schemas.openxmlformats.org/officeDocument/2006/relationships/hyperlink" Target="https://mailchi.mp/f2950ed2ac4b/alignment-newsletter-16" TargetMode="External"/><Relationship Id="rId1514" Type="http://schemas.openxmlformats.org/officeDocument/2006/relationships/hyperlink" Target="http://arxiv.org/abs/1902.10186" TargetMode="External"/><Relationship Id="rId2845" Type="http://schemas.openxmlformats.org/officeDocument/2006/relationships/hyperlink" Target="https://perls-workshop.github.io/" TargetMode="External"/><Relationship Id="rId1515" Type="http://schemas.openxmlformats.org/officeDocument/2006/relationships/hyperlink" Target="https://mailchi.mp/534f448d6c8b/alignment-newsletter-53" TargetMode="External"/><Relationship Id="rId2846" Type="http://schemas.openxmlformats.org/officeDocument/2006/relationships/hyperlink" Target="https://mailchi.mp/9dd2c875c362/an-159building-agents-that-know-how-to-experiment-by-training-on-procedurally-generated-games" TargetMode="External"/><Relationship Id="rId1516" Type="http://schemas.openxmlformats.org/officeDocument/2006/relationships/hyperlink" Target="https://www.alignmentforum.org/posts/Q7WiHdSSShkNsgDpa/how-much-can-value-learning-be-disentangled" TargetMode="External"/><Relationship Id="rId2847" Type="http://schemas.openxmlformats.org/officeDocument/2006/relationships/hyperlink" Target="https://ers-workshop.com/" TargetMode="External"/><Relationship Id="rId1517" Type="http://schemas.openxmlformats.org/officeDocument/2006/relationships/hyperlink" Target="https://mailchi.mp/6bfac400a0c3/alignment-newsletter-44" TargetMode="External"/><Relationship Id="rId2848" Type="http://schemas.openxmlformats.org/officeDocument/2006/relationships/hyperlink" Target="https://mailchi.mp/7f4d6ceb2ac4/an-158-should-we-be-optimistic-about-generalization" TargetMode="External"/><Relationship Id="rId1518" Type="http://schemas.openxmlformats.org/officeDocument/2006/relationships/hyperlink" Target="http://arxiv.org/abs/1901.00770" TargetMode="External"/><Relationship Id="rId2849" Type="http://schemas.openxmlformats.org/officeDocument/2006/relationships/hyperlink" Target="https://www.openphilanthropy.org/focus/global-catastrophic-risks/technology-policy-fellowship" TargetMode="External"/><Relationship Id="rId1519" Type="http://schemas.openxmlformats.org/officeDocument/2006/relationships/hyperlink" Target="https://mailchi.mp/8c3f02cabccd/alignment-newsletter-41" TargetMode="External"/><Relationship Id="rId2840" Type="http://schemas.openxmlformats.org/officeDocument/2006/relationships/hyperlink" Target="https://mailchi.mp/2121f5135173/an-160-building-ais-that-learn-and-think-like-people" TargetMode="External"/><Relationship Id="rId2830" Type="http://schemas.openxmlformats.org/officeDocument/2006/relationships/hyperlink" Target="https://mailchi.mp/0634a39158ce/an-168-four-technical-topics-for-which-open-phil-is-soliciting-grant-proposals" TargetMode="External"/><Relationship Id="rId1500" Type="http://schemas.openxmlformats.org/officeDocument/2006/relationships/hyperlink" Target="https://mailchi.mp/7ad36e25be22/alignment-newsletter-11" TargetMode="External"/><Relationship Id="rId2831" Type="http://schemas.openxmlformats.org/officeDocument/2006/relationships/hyperlink" Target="https://forum.effectivealtruism.org/posts/3vXXthjBKhNo8sgFv/" TargetMode="External"/><Relationship Id="rId1501" Type="http://schemas.openxmlformats.org/officeDocument/2006/relationships/hyperlink" Target="https://arxiv.org/abs/1702.08608" TargetMode="External"/><Relationship Id="rId2832" Type="http://schemas.openxmlformats.org/officeDocument/2006/relationships/hyperlink" Target="https://mailchi.mp/5fb91dfd758a/an-166-is-it-crazy-to-claim-were-in-the-most-important-century" TargetMode="External"/><Relationship Id="rId1502" Type="http://schemas.openxmlformats.org/officeDocument/2006/relationships/hyperlink" Target="https://mailchi.mp/dd7dd9157abe/an-106-evaluating-generalization-ability-of-learned-reward-models" TargetMode="External"/><Relationship Id="rId2833" Type="http://schemas.openxmlformats.org/officeDocument/2006/relationships/hyperlink" Target="https://iaa.jhu.edu/icaa/" TargetMode="External"/><Relationship Id="rId1503" Type="http://schemas.openxmlformats.org/officeDocument/2006/relationships/hyperlink" Target="https://www.alignmentforum.org/posts/maBNBgopYxb9YZP8B/sparsity-and-interpretability-1" TargetMode="External"/><Relationship Id="rId2834" Type="http://schemas.openxmlformats.org/officeDocument/2006/relationships/hyperlink" Target="https://mailchi.mp/dcab1b7edaa3/an-164-how-well-can-language-models-write-code" TargetMode="External"/><Relationship Id="rId1504" Type="http://schemas.openxmlformats.org/officeDocument/2006/relationships/hyperlink" Target="https://mailchi.mp/ba4d1765368f/an-104-the-perils-of-inaccessible-information-and-what-we-can-learn-about-ai-alignment-from-covid" TargetMode="External"/><Relationship Id="rId2835" Type="http://schemas.openxmlformats.org/officeDocument/2006/relationships/hyperlink" Target="https://www.jobs.cam.ac.uk/job/31055/" TargetMode="External"/><Relationship Id="rId1505" Type="http://schemas.openxmlformats.org/officeDocument/2006/relationships/hyperlink" Target="https://www.alignmentforum.org/posts/uRnprGSiLGXv35foX/how-can-interpretability-help-alignment" TargetMode="External"/><Relationship Id="rId2836" Type="http://schemas.openxmlformats.org/officeDocument/2006/relationships/hyperlink" Target="https://mailchi.mp/dcab1b7edaa3/an-164-how-well-can-language-models-write-code" TargetMode="External"/><Relationship Id="rId1506" Type="http://schemas.openxmlformats.org/officeDocument/2006/relationships/hyperlink" Target="https://mailchi.mp/e4e430660ded/an-101-why-we-should-rigorously-measure-and-forecast-ai-progress" TargetMode="External"/><Relationship Id="rId2837" Type="http://schemas.openxmlformats.org/officeDocument/2006/relationships/hyperlink" Target="https://www.nist.gov/itl/ai-risk-management-framework" TargetMode="External"/><Relationship Id="rId1507" Type="http://schemas.openxmlformats.org/officeDocument/2006/relationships/hyperlink" Target="https://arxiv.org/abs/1806.10758" TargetMode="External"/><Relationship Id="rId2838" Type="http://schemas.openxmlformats.org/officeDocument/2006/relationships/hyperlink" Target="https://mailchi.mp/24cc937b2489/an-161creating-generalizable-reward-functions-for-multiple-tasks-by-learning-a-model-of-functional-similarity" TargetMode="External"/><Relationship Id="rId1508" Type="http://schemas.openxmlformats.org/officeDocument/2006/relationships/hyperlink" Target="https://mailchi.mp/e4e430660ded/an-101-why-we-should-rigorously-measure-and-forecast-ai-progress" TargetMode="External"/><Relationship Id="rId2839" Type="http://schemas.openxmlformats.org/officeDocument/2006/relationships/hyperlink" Target="https://ai.objectives.institute/blog/ai-and-the-transformation-of-capitalism" TargetMode="External"/><Relationship Id="rId1509" Type="http://schemas.openxmlformats.org/officeDocument/2006/relationships/hyperlink" Target="http://papers.nips.cc/paper/9400-towards-interpretable-reinforcement-learning-using-attention-augmented-agents" TargetMode="External"/><Relationship Id="rId2800" Type="http://schemas.openxmlformats.org/officeDocument/2006/relationships/hyperlink" Target="https://mailchi.mp/56689cc2223c/an-172-sorry-for-the-long-hiatus" TargetMode="External"/><Relationship Id="rId2801" Type="http://schemas.openxmlformats.org/officeDocument/2006/relationships/hyperlink" Target="https://www.jobs.cam.ac.uk/job/35317/" TargetMode="External"/><Relationship Id="rId2802" Type="http://schemas.openxmlformats.org/officeDocument/2006/relationships/hyperlink" Target="https://mailchi.mp/56689cc2223c/an-172-sorry-for-the-long-hiatus" TargetMode="External"/><Relationship Id="rId2803" Type="http://schemas.openxmlformats.org/officeDocument/2006/relationships/hyperlink" Target="https://docs.google.com/document/d/1nANH_DKQXAUZL67uiIVyZ4NcHQiSTTncsXhRok28b30/edit" TargetMode="External"/><Relationship Id="rId2804" Type="http://schemas.openxmlformats.org/officeDocument/2006/relationships/hyperlink" Target="https://mailchi.mp/56689cc2223c/an-172-sorry-for-the-long-hiatus" TargetMode="External"/><Relationship Id="rId2805" Type="http://schemas.openxmlformats.org/officeDocument/2006/relationships/hyperlink" Target="https://www.cser.ac.uk/about-us/careers/director-fixed-term/" TargetMode="External"/><Relationship Id="rId2806" Type="http://schemas.openxmlformats.org/officeDocument/2006/relationships/hyperlink" Target="https://mailchi.mp/56689cc2223c/an-172-sorry-for-the-long-hiatus" TargetMode="External"/><Relationship Id="rId2807" Type="http://schemas.openxmlformats.org/officeDocument/2006/relationships/hyperlink" Target="https://alignmentfund.org/" TargetMode="External"/><Relationship Id="rId2808" Type="http://schemas.openxmlformats.org/officeDocument/2006/relationships/hyperlink" Target="https://mailchi.mp/56689cc2223c/an-172-sorry-for-the-long-hiatus" TargetMode="External"/><Relationship Id="rId2809" Type="http://schemas.openxmlformats.org/officeDocument/2006/relationships/hyperlink" Target="https://www.cooperativeai.com/seminars" TargetMode="External"/><Relationship Id="rId1576" Type="http://schemas.openxmlformats.org/officeDocument/2006/relationships/hyperlink" Target="https://ai-alignment.com/iterated-distillation-and-amplification-157debfd1616" TargetMode="External"/><Relationship Id="rId1577" Type="http://schemas.openxmlformats.org/officeDocument/2006/relationships/hyperlink" Target="https://www.alignmentforum.org/posts/PJLABqQ962hZEqhdB/debate-update-obfuscated-arguments-problem" TargetMode="External"/><Relationship Id="rId1578" Type="http://schemas.openxmlformats.org/officeDocument/2006/relationships/hyperlink" Target="https://mailchi.mp/395179bd3c3d/an-132complex-and-subtly-incorrect-arguments-as-an-obstacle-to-debate" TargetMode="External"/><Relationship Id="rId1579" Type="http://schemas.openxmlformats.org/officeDocument/2006/relationships/hyperlink" Target="https://www.lesswrong.com/posts/Djs38EWYZG8o7JMWY/paul-s-research-agenda-faq" TargetMode="External"/><Relationship Id="rId987" Type="http://schemas.openxmlformats.org/officeDocument/2006/relationships/hyperlink" Target="https://arxiv.org/abs/1903.01611" TargetMode="External"/><Relationship Id="rId986" Type="http://schemas.openxmlformats.org/officeDocument/2006/relationships/hyperlink" Target="https://mailchi.mp/d11bfd2ca5eb/alignment-newsletter-6" TargetMode="External"/><Relationship Id="rId985" Type="http://schemas.openxmlformats.org/officeDocument/2006/relationships/hyperlink" Target="https://arxiv.org/abs/1805.00932" TargetMode="External"/><Relationship Id="rId984" Type="http://schemas.openxmlformats.org/officeDocument/2006/relationships/hyperlink" Target="https://mailchi.mp/e402599bfb1f/reconnaissance-4" TargetMode="External"/><Relationship Id="rId989" Type="http://schemas.openxmlformats.org/officeDocument/2006/relationships/hyperlink" Target="https://arxiv.org/abs/1804.04241" TargetMode="External"/><Relationship Id="rId988" Type="http://schemas.openxmlformats.org/officeDocument/2006/relationships/hyperlink" Target="https://mailchi.mp/1e757d9b05cb/alignment-newsletter-52" TargetMode="External"/><Relationship Id="rId1570" Type="http://schemas.openxmlformats.org/officeDocument/2006/relationships/hyperlink" Target="https://blog.openai.com/debate/" TargetMode="External"/><Relationship Id="rId1571" Type="http://schemas.openxmlformats.org/officeDocument/2006/relationships/hyperlink" Target="https://mailchi.mp/0ae5d69de63b/alignment-newsletter-5" TargetMode="External"/><Relationship Id="rId983" Type="http://schemas.openxmlformats.org/officeDocument/2006/relationships/hyperlink" Target="https://arxiv.org/abs/1803.01164" TargetMode="External"/><Relationship Id="rId1572" Type="http://schemas.openxmlformats.org/officeDocument/2006/relationships/hyperlink" Target="https://blog.openai.com/amplifying-ai-training/" TargetMode="External"/><Relationship Id="rId982" Type="http://schemas.openxmlformats.org/officeDocument/2006/relationships/hyperlink" Target="https://mailchi.mp/33af21f908b5/reconnaissance-5" TargetMode="External"/><Relationship Id="rId1573" Type="http://schemas.openxmlformats.org/officeDocument/2006/relationships/hyperlink" Target="https://mailchi.mp/c1f376f3a12e/alignment-newsletter-30" TargetMode="External"/><Relationship Id="rId981" Type="http://schemas.openxmlformats.org/officeDocument/2006/relationships/hyperlink" Target="https://arxiv.org/abs/1803.05859" TargetMode="External"/><Relationship Id="rId1574" Type="http://schemas.openxmlformats.org/officeDocument/2006/relationships/hyperlink" Target="https://www.lesswrong.com/posts/yxzrKb2vFXRkwndQ4/understanding-iterated-distillation-and-amplification-claims" TargetMode="External"/><Relationship Id="rId980" Type="http://schemas.openxmlformats.org/officeDocument/2006/relationships/hyperlink" Target="https://mailchi.mp/79ac4ef6d9da/an-154what-economic-growth-theory-has-to-say-about-transformative-ai" TargetMode="External"/><Relationship Id="rId1575" Type="http://schemas.openxmlformats.org/officeDocument/2006/relationships/hyperlink" Target="https://mailchi.mp/e6a23da2760e/alignment-newsletter-3?e=f665c7b50a" TargetMode="External"/><Relationship Id="rId1565" Type="http://schemas.openxmlformats.org/officeDocument/2006/relationships/hyperlink" Target="https://www.lesswrong.com/posts/S7csET9CgBtpi7sCh/challenges-to-christiano-s-capability-amplification-proposal" TargetMode="External"/><Relationship Id="rId2896" Type="http://schemas.openxmlformats.org/officeDocument/2006/relationships/hyperlink" Target="https://aisafetycamp.com/ai-safety-camp-toronto/" TargetMode="External"/><Relationship Id="rId1566" Type="http://schemas.openxmlformats.org/officeDocument/2006/relationships/hyperlink" Target="https://mailchi.mp/3e550712419a/alignment-newsletter-7" TargetMode="External"/><Relationship Id="rId2897" Type="http://schemas.openxmlformats.org/officeDocument/2006/relationships/hyperlink" Target="https://mailchi.mp/d2f2d15b7114/an-77-double-descent-a-unification-of-statistical-theory-and-modern-ml-practice" TargetMode="External"/><Relationship Id="rId1567" Type="http://schemas.openxmlformats.org/officeDocument/2006/relationships/hyperlink" Target="https://www.lesswrong.com/posts/h9ZWrrCBgK64pAvxC/thoughts-on-ai-safety-via-debate" TargetMode="External"/><Relationship Id="rId2898" Type="http://schemas.openxmlformats.org/officeDocument/2006/relationships/hyperlink" Target="https://mila.quebec/en/2019/06/call-for-application-post-doctoral-fellowship-on-ethically-aligned-artificial-intelligence/" TargetMode="External"/><Relationship Id="rId1568" Type="http://schemas.openxmlformats.org/officeDocument/2006/relationships/hyperlink" Target="https://mailchi.mp/d11bfd2ca5eb/alignment-newsletter-6" TargetMode="External"/><Relationship Id="rId2899" Type="http://schemas.openxmlformats.org/officeDocument/2006/relationships/hyperlink" Target="https://mailchi.mp/732eaa192df0/an-70-agents-that-help-humans-who-are-still-learning-about-their-own-preferences" TargetMode="External"/><Relationship Id="rId1569" Type="http://schemas.openxmlformats.org/officeDocument/2006/relationships/hyperlink" Target="https://blog.openai.com/debate/" TargetMode="External"/><Relationship Id="rId976" Type="http://schemas.openxmlformats.org/officeDocument/2006/relationships/hyperlink" Target="https://mailchi.mp/7d0e3916e3d9/alignment-newsletter-31" TargetMode="External"/><Relationship Id="rId975" Type="http://schemas.openxmlformats.org/officeDocument/2006/relationships/hyperlink" Target="http://arxiv.org/abs/1810.10180" TargetMode="External"/><Relationship Id="rId974" Type="http://schemas.openxmlformats.org/officeDocument/2006/relationships/hyperlink" Target="https://mailchi.mp/c48f996a5db5/alignment-newsletter-46" TargetMode="External"/><Relationship Id="rId973" Type="http://schemas.openxmlformats.org/officeDocument/2006/relationships/hyperlink" Target="https://arxiv.org/abs/1902.06162" TargetMode="External"/><Relationship Id="rId979" Type="http://schemas.openxmlformats.org/officeDocument/2006/relationships/hyperlink" Target="https://www.lesswrong.com/posts/2dG7vXDZjd6crkdLa/beijing-academy-of-artificial-intelligence-announces-1-75" TargetMode="External"/><Relationship Id="rId978" Type="http://schemas.openxmlformats.org/officeDocument/2006/relationships/hyperlink" Target="https://mailchi.mp/0c5eeec28f75/alignment-newsletter-25" TargetMode="External"/><Relationship Id="rId977" Type="http://schemas.openxmlformats.org/officeDocument/2006/relationships/hyperlink" Target="http://arxiv.org/abs/1809.04682" TargetMode="External"/><Relationship Id="rId2890" Type="http://schemas.openxmlformats.org/officeDocument/2006/relationships/hyperlink" Target="https://mailchi.mp/d1a19c140226/alignment-newsletter-10" TargetMode="External"/><Relationship Id="rId1560" Type="http://schemas.openxmlformats.org/officeDocument/2006/relationships/hyperlink" Target="https://mailchi.mp/6078fe4f9928/an-81-universality-as-a-potential-solution-to-conceptual-difficulties-in-intent-alignment" TargetMode="External"/><Relationship Id="rId2891" Type="http://schemas.openxmlformats.org/officeDocument/2006/relationships/hyperlink" Target="https://blog.openai.com/openai-fellows/" TargetMode="External"/><Relationship Id="rId972" Type="http://schemas.openxmlformats.org/officeDocument/2006/relationships/hyperlink" Target="https://mailchi.mp/d2f2d15b7114/an-77-double-descent-a-unification-of-statistical-theory-and-modern-ml-practice" TargetMode="External"/><Relationship Id="rId1561" Type="http://schemas.openxmlformats.org/officeDocument/2006/relationships/hyperlink" Target="https://ai-alignment.com/universality-and-consequentialism-within-hch-c0bee00365bd" TargetMode="External"/><Relationship Id="rId2892" Type="http://schemas.openxmlformats.org/officeDocument/2006/relationships/hyperlink" Target="https://mailchi.mp/d1a19c140226/alignment-newsletter-10" TargetMode="External"/><Relationship Id="rId971" Type="http://schemas.openxmlformats.org/officeDocument/2006/relationships/hyperlink" Target="https://www.alignmentforum.org/posts/KrQvZM8uFjSTJ7hq3/recent-progress-in-the-theory-of-neural-networks-1" TargetMode="External"/><Relationship Id="rId1562" Type="http://schemas.openxmlformats.org/officeDocument/2006/relationships/hyperlink" Target="https://mailchi.mp/6078fe4f9928/an-81-universality-as-a-potential-solution-to-conceptual-difficulties-in-intent-alignment" TargetMode="External"/><Relationship Id="rId2893" Type="http://schemas.openxmlformats.org/officeDocument/2006/relationships/hyperlink" Target="http://gcrinstitute.org/job-posting-junior-research-assistant-and-project-manager/" TargetMode="External"/><Relationship Id="rId970" Type="http://schemas.openxmlformats.org/officeDocument/2006/relationships/hyperlink" Target="https://mailchi.mp/d2f2d15b7114/an-77-double-descent-a-unification-of-statistical-theory-and-modern-ml-practice" TargetMode="External"/><Relationship Id="rId1563" Type="http://schemas.openxmlformats.org/officeDocument/2006/relationships/hyperlink" Target="https://ai-alignment.com/towards-formalizing-universality-409ab893a456" TargetMode="External"/><Relationship Id="rId2894" Type="http://schemas.openxmlformats.org/officeDocument/2006/relationships/hyperlink" Target="https://mailchi.mp/84b4235cfa34/an-85-the-normative-questions-we-should-be-asking-for-ai-alignment-and-a-surprisingly-good-chatbot" TargetMode="External"/><Relationship Id="rId1564" Type="http://schemas.openxmlformats.org/officeDocument/2006/relationships/hyperlink" Target="https://mailchi.mp/6078fe4f9928/an-81-universality-as-a-potential-solution-to-conceptual-difficulties-in-intent-alignment" TargetMode="External"/><Relationship Id="rId2895" Type="http://schemas.openxmlformats.org/officeDocument/2006/relationships/hyperlink" Target="https://mailchi.mp/84b4235cfa34/an-85-the-normative-questions-we-should-be-asking-for-ai-alignment-and-a-surprisingly-good-chatbot" TargetMode="External"/><Relationship Id="rId1598" Type="http://schemas.openxmlformats.org/officeDocument/2006/relationships/hyperlink" Target="https://www.alignmentforum.org/posts/behyPgMWFhXpKi73P/axrp-episode-6-debate-and-imitative-generalization-with-beth" TargetMode="External"/><Relationship Id="rId1599" Type="http://schemas.openxmlformats.org/officeDocument/2006/relationships/hyperlink" Target="https://mailchi.mp/2d838dcbd3b0/an-146plausible-stories-of-how-we-might-fail-to-avert-an-existential-catastrophe" TargetMode="External"/><Relationship Id="rId1590" Type="http://schemas.openxmlformats.org/officeDocument/2006/relationships/hyperlink" Target="https://www.alignmentforum.org/posts/FdfzFcRvqLf4k5eoQ/list-of-resolved-confusions-about-ida" TargetMode="External"/><Relationship Id="rId1591" Type="http://schemas.openxmlformats.org/officeDocument/2006/relationships/hyperlink" Target="https://mailchi.mp/38af1edcd025/an-67creating-environments-in-which-to-study-inner-alignment-failures" TargetMode="External"/><Relationship Id="rId1592" Type="http://schemas.openxmlformats.org/officeDocument/2006/relationships/hyperlink" Target="https://www.alignmentforum.org/posts/H5gXpFtg93qDMZ6Xn/aligning-a-toy-model-of-optimization" TargetMode="External"/><Relationship Id="rId1593" Type="http://schemas.openxmlformats.org/officeDocument/2006/relationships/hyperlink" Target="https://mailchi.mp/3d4e6c2c206f/an-65learning-useful-skills-by-watching-humans-play" TargetMode="External"/><Relationship Id="rId1594" Type="http://schemas.openxmlformats.org/officeDocument/2006/relationships/hyperlink" Target="https://futureoflife.org/2019/03/06/ai-alignment-through-debate-with-geoffrey-irving/" TargetMode="External"/><Relationship Id="rId1595" Type="http://schemas.openxmlformats.org/officeDocument/2006/relationships/hyperlink" Target="https://mailchi.mp/1e757d9b05cb/alignment-newsletter-52" TargetMode="External"/><Relationship Id="rId1596" Type="http://schemas.openxmlformats.org/officeDocument/2006/relationships/hyperlink" Target="https://arxiv.org/abs/2103.03872" TargetMode="External"/><Relationship Id="rId1597" Type="http://schemas.openxmlformats.org/officeDocument/2006/relationships/hyperlink" Target="https://mailchi.mp/2d838dcbd3b0/an-146plausible-stories-of-how-we-might-fail-to-avert-an-existential-catastrophe" TargetMode="External"/><Relationship Id="rId1587" Type="http://schemas.openxmlformats.org/officeDocument/2006/relationships/hyperlink" Target="https://www.alignmentforum.org/posts/Y9xD78kufNsF7wL6f/machine-learning-projects-on-ida" TargetMode="External"/><Relationship Id="rId1588" Type="http://schemas.openxmlformats.org/officeDocument/2006/relationships/hyperlink" Target="https://mailchi.mp/38af1edcd025/an-67creating-environments-in-which-to-study-inner-alignment-failures" TargetMode="External"/><Relationship Id="rId1589" Type="http://schemas.openxmlformats.org/officeDocument/2006/relationships/hyperlink" Target="https://www.alignmentforum.org/posts/Y9xD78kufNsF7wL6f/machine-learning-projects-on-ida" TargetMode="External"/><Relationship Id="rId998" Type="http://schemas.openxmlformats.org/officeDocument/2006/relationships/hyperlink" Target="https://mailchi.mp/b6dc636f6a1b/alignment-newsletter-33" TargetMode="External"/><Relationship Id="rId997" Type="http://schemas.openxmlformats.org/officeDocument/2006/relationships/hyperlink" Target="https://www.alignmentforum.org/posts/i3BTagvt3HbPMx6PN/embedded-agency-full-text-version" TargetMode="External"/><Relationship Id="rId996" Type="http://schemas.openxmlformats.org/officeDocument/2006/relationships/hyperlink" Target="https://mailchi.mp/4b19d2caa5a9/alignment-newsletter-19" TargetMode="External"/><Relationship Id="rId995" Type="http://schemas.openxmlformats.org/officeDocument/2006/relationships/hyperlink" Target="http://arxiv.org/abs/1808.01174" TargetMode="External"/><Relationship Id="rId999" Type="http://schemas.openxmlformats.org/officeDocument/2006/relationships/hyperlink" Target="http://arxiv.org/abs/1902.09469" TargetMode="External"/><Relationship Id="rId990" Type="http://schemas.openxmlformats.org/officeDocument/2006/relationships/hyperlink" Target="https://mailchi.mp/e6a23da2760e/alignment-newsletter-3?e=f665c7b50a" TargetMode="External"/><Relationship Id="rId1580" Type="http://schemas.openxmlformats.org/officeDocument/2006/relationships/hyperlink" Target="https://mailchi.mp/8234356e4b7f/alignment-newsletter-13" TargetMode="External"/><Relationship Id="rId1581" Type="http://schemas.openxmlformats.org/officeDocument/2006/relationships/hyperlink" Target="https://ought.org/presentations/factored-cognition-2018-05" TargetMode="External"/><Relationship Id="rId1582" Type="http://schemas.openxmlformats.org/officeDocument/2006/relationships/hyperlink" Target="https://mailchi.mp/bcb2c6f1d507/alignment-newsletter-12" TargetMode="External"/><Relationship Id="rId994" Type="http://schemas.openxmlformats.org/officeDocument/2006/relationships/hyperlink" Target="https://mailchi.mp/14782876a85d/alignment-newsletter-2" TargetMode="External"/><Relationship Id="rId1583" Type="http://schemas.openxmlformats.org/officeDocument/2006/relationships/hyperlink" Target="https://www.alignmentforum.org/posts/R5Euq7gZgobJi5S25/nuances-with-ascription-universality" TargetMode="External"/><Relationship Id="rId993" Type="http://schemas.openxmlformats.org/officeDocument/2006/relationships/hyperlink" Target="https://arxiv.org/abs/1804.00222" TargetMode="External"/><Relationship Id="rId1584" Type="http://schemas.openxmlformats.org/officeDocument/2006/relationships/hyperlink" Target="https://mailchi.mp/6078fe4f9928/an-81-universality-as-a-potential-solution-to-conceptual-difficulties-in-intent-alignment" TargetMode="External"/><Relationship Id="rId992" Type="http://schemas.openxmlformats.org/officeDocument/2006/relationships/hyperlink" Target="https://mailchi.mp/5ad3a9643b6b/alignment-newsletter-21" TargetMode="External"/><Relationship Id="rId1585" Type="http://schemas.openxmlformats.org/officeDocument/2006/relationships/hyperlink" Target="https://ought.org/updates/2019-10-28-progress-update" TargetMode="External"/><Relationship Id="rId991" Type="http://schemas.openxmlformats.org/officeDocument/2006/relationships/hyperlink" Target="http://arxiv.org/abs/1808.04888" TargetMode="External"/><Relationship Id="rId1586" Type="http://schemas.openxmlformats.org/officeDocument/2006/relationships/hyperlink" Target="https://mailchi.mp/cac125522aa3/an-72-alignment-robustness-methodology-and-system-building-as-research-priorities-for-ai-safety" TargetMode="External"/><Relationship Id="rId1532" Type="http://schemas.openxmlformats.org/officeDocument/2006/relationships/hyperlink" Target="http://arxiv.org/abs/1809.06995" TargetMode="External"/><Relationship Id="rId2863" Type="http://schemas.openxmlformats.org/officeDocument/2006/relationships/hyperlink" Target="https://mailchi.mp/dba8371e9221/an-149-the-newsletters-editorial-policy" TargetMode="External"/><Relationship Id="rId1533" Type="http://schemas.openxmlformats.org/officeDocument/2006/relationships/hyperlink" Target="https://mailchi.mp/1ecd1b775703/alignment-newsletter-26" TargetMode="External"/><Relationship Id="rId2864" Type="http://schemas.openxmlformats.org/officeDocument/2006/relationships/hyperlink" Target="https://futureoflife.org/job-postings/" TargetMode="External"/><Relationship Id="rId1534" Type="http://schemas.openxmlformats.org/officeDocument/2006/relationships/hyperlink" Target="http://arxiv.org/abs/1808.07074" TargetMode="External"/><Relationship Id="rId2865" Type="http://schemas.openxmlformats.org/officeDocument/2006/relationships/hyperlink" Target="https://mailchi.mp/2d838dcbd3b0/an-146plausible-stories-of-how-we-might-fail-to-avert-an-existential-catastrophe" TargetMode="External"/><Relationship Id="rId1535" Type="http://schemas.openxmlformats.org/officeDocument/2006/relationships/hyperlink" Target="https://mailchi.mp/469203093ca3/alignment-newsletter-22" TargetMode="External"/><Relationship Id="rId2866" Type="http://schemas.openxmlformats.org/officeDocument/2006/relationships/hyperlink" Target="https://humancompatible.ai/jobs" TargetMode="External"/><Relationship Id="rId1536" Type="http://schemas.openxmlformats.org/officeDocument/2006/relationships/hyperlink" Target="http://arxiv.org/abs/1808.04127" TargetMode="External"/><Relationship Id="rId2867" Type="http://schemas.openxmlformats.org/officeDocument/2006/relationships/hyperlink" Target="https://mailchi.mp/e7cec4ed9117/an-138why-ai-governance-should-find-problems-rather-than-just-solving-them" TargetMode="External"/><Relationship Id="rId1537" Type="http://schemas.openxmlformats.org/officeDocument/2006/relationships/hyperlink" Target="https://mailchi.mp/5ad3a9643b6b/alignment-newsletter-21" TargetMode="External"/><Relationship Id="rId2868" Type="http://schemas.openxmlformats.org/officeDocument/2006/relationships/hyperlink" Target="https://forum.effectivealtruism.org/posts/NfkdSooNiHcdCBSJs/apply-to-ea-funds-now-1" TargetMode="External"/><Relationship Id="rId1538" Type="http://schemas.openxmlformats.org/officeDocument/2006/relationships/hyperlink" Target="http://arxiv.org/abs/1807.08706" TargetMode="External"/><Relationship Id="rId2869" Type="http://schemas.openxmlformats.org/officeDocument/2006/relationships/hyperlink" Target="https://mailchi.mp/e7cec4ed9117/an-138why-ai-governance-should-find-problems-rather-than-just-solving-them" TargetMode="External"/><Relationship Id="rId1539" Type="http://schemas.openxmlformats.org/officeDocument/2006/relationships/hyperlink" Target="https://mailchi.mp/ad852629e45a/alignment-newsletter-17" TargetMode="External"/><Relationship Id="rId949" Type="http://schemas.openxmlformats.org/officeDocument/2006/relationships/hyperlink" Target="https://www.alignmentforum.org/posts/YSFJosoHYFyXjoYWa/why-neural-networks-generalise-and-why-they-are-kind-of" TargetMode="External"/><Relationship Id="rId948" Type="http://schemas.openxmlformats.org/officeDocument/2006/relationships/hyperlink" Target="https://mailchi.mp/9ca67b5f5b72/an-139how-the-simplicity-of-reality-explains-the-success-of-neural-nets" TargetMode="External"/><Relationship Id="rId943" Type="http://schemas.openxmlformats.org/officeDocument/2006/relationships/hyperlink" Target="https://arxiv.org/abs/2103.03386" TargetMode="External"/><Relationship Id="rId942" Type="http://schemas.openxmlformats.org/officeDocument/2006/relationships/hyperlink" Target="https://mailchi.mp/4920e52dd61b/alignment-newsletter-15" TargetMode="External"/><Relationship Id="rId941" Type="http://schemas.openxmlformats.org/officeDocument/2006/relationships/hyperlink" Target="https://thegradient.pub/nlp-imagenet/" TargetMode="External"/><Relationship Id="rId940" Type="http://schemas.openxmlformats.org/officeDocument/2006/relationships/hyperlink" Target="https://mailchi.mp/4920e52dd61b/alignment-newsletter-15" TargetMode="External"/><Relationship Id="rId947" Type="http://schemas.openxmlformats.org/officeDocument/2006/relationships/hyperlink" Target="https://arxiv.org/abs/2006.15191" TargetMode="External"/><Relationship Id="rId946" Type="http://schemas.openxmlformats.org/officeDocument/2006/relationships/hyperlink" Target="https://mailchi.mp/1d67a64ff361/an-147-an-overview-of-the-interpretability-landscape" TargetMode="External"/><Relationship Id="rId945" Type="http://schemas.openxmlformats.org/officeDocument/2006/relationships/hyperlink" Target="https://distill.pub/2020/circuits/weight-banding/" TargetMode="External"/><Relationship Id="rId944" Type="http://schemas.openxmlformats.org/officeDocument/2006/relationships/hyperlink" Target="https://mailchi.mp/1d67a64ff361/an-147-an-overview-of-the-interpretability-landscape" TargetMode="External"/><Relationship Id="rId2860" Type="http://schemas.openxmlformats.org/officeDocument/2006/relationships/hyperlink" Target="http://gcrinstitute.org/open-call-for-advisees-and-collaborators-may-2021/" TargetMode="External"/><Relationship Id="rId1530" Type="http://schemas.openxmlformats.org/officeDocument/2006/relationships/hyperlink" Target="http://arxiv.org/abs/1909.12969" TargetMode="External"/><Relationship Id="rId2861" Type="http://schemas.openxmlformats.org/officeDocument/2006/relationships/hyperlink" Target="https://mailchi.mp/921dbde2ffac/an-151how-sparsity-in-the-final-layer-makes-a-neural-net-debuggable" TargetMode="External"/><Relationship Id="rId1531" Type="http://schemas.openxmlformats.org/officeDocument/2006/relationships/hyperlink" Target="https://mailchi.mp/87c0d944c461/an-68-the-attainable-utility-theory-of-impact" TargetMode="External"/><Relationship Id="rId2862" Type="http://schemas.openxmlformats.org/officeDocument/2006/relationships/hyperlink" Target="https://existence.org/2021/04/29/new-university-collaborators.html" TargetMode="External"/><Relationship Id="rId1521" Type="http://schemas.openxmlformats.org/officeDocument/2006/relationships/hyperlink" Target="https://mailchi.mp/cfec6a0f6e73/alignment-newsletter-29" TargetMode="External"/><Relationship Id="rId2852" Type="http://schemas.openxmlformats.org/officeDocument/2006/relationships/hyperlink" Target="https://mailchi.mp/hypermind/new-high-stakes-forecasting-challenge-will-ai-surprise-us?e=edb1b4a37c" TargetMode="External"/><Relationship Id="rId1522" Type="http://schemas.openxmlformats.org/officeDocument/2006/relationships/hyperlink" Target="http://arxiv.org/abs/1810.00184" TargetMode="External"/><Relationship Id="rId2853" Type="http://schemas.openxmlformats.org/officeDocument/2006/relationships/hyperlink" Target="https://mailchi.mp/aa6782968981/an-155a-minecraft-benchmark-for-algorithms-that-learn-without-reward-functions" TargetMode="External"/><Relationship Id="rId1523" Type="http://schemas.openxmlformats.org/officeDocument/2006/relationships/hyperlink" Target="https://mailchi.mp/0212425e5544/alignment-newsletter-27" TargetMode="External"/><Relationship Id="rId2854" Type="http://schemas.openxmlformats.org/officeDocument/2006/relationships/hyperlink" Target="https://www.alignmentforum.org/posts/f69LK7CndhSNA7oPn/ai-safety-research-project-ideas" TargetMode="External"/><Relationship Id="rId1524" Type="http://schemas.openxmlformats.org/officeDocument/2006/relationships/hyperlink" Target="https://www.alignmentforum.org/posts/cQwT8asti3kyA62zc/automating-auditing-an-ambitious-concrete-technical-research" TargetMode="External"/><Relationship Id="rId2855" Type="http://schemas.openxmlformats.org/officeDocument/2006/relationships/hyperlink" Target="https://mailchi.mp/459b1e4f860d/an-152how-weve-overestimated-few-shot-learning-capabilities" TargetMode="External"/><Relationship Id="rId1525" Type="http://schemas.openxmlformats.org/officeDocument/2006/relationships/hyperlink" Target="https://mailchi.mp/15ed28377c48/an-162-foundation-models-a-paradigm-shift-within-ai" TargetMode="External"/><Relationship Id="rId2856" Type="http://schemas.openxmlformats.org/officeDocument/2006/relationships/hyperlink" Target="https://cset.georgetown.edu/job/research-fellow-tevv/" TargetMode="External"/><Relationship Id="rId1526" Type="http://schemas.openxmlformats.org/officeDocument/2006/relationships/hyperlink" Target="https://arxiv.org/abs/1803.04765" TargetMode="External"/><Relationship Id="rId2857" Type="http://schemas.openxmlformats.org/officeDocument/2006/relationships/hyperlink" Target="https://mailchi.mp/459b1e4f860d/an-152how-weve-overestimated-few-shot-learning-capabilities" TargetMode="External"/><Relationship Id="rId1527" Type="http://schemas.openxmlformats.org/officeDocument/2006/relationships/hyperlink" Target="https://mailchi.mp/e402599bfb1f/reconnaissance-4" TargetMode="External"/><Relationship Id="rId2858" Type="http://schemas.openxmlformats.org/officeDocument/2006/relationships/hyperlink" Target="https://www.jobs.cam.ac.uk/job/29900/" TargetMode="External"/><Relationship Id="rId1528" Type="http://schemas.openxmlformats.org/officeDocument/2006/relationships/hyperlink" Target="https://arxiv.org/abs/1803.04263" TargetMode="External"/><Relationship Id="rId2859" Type="http://schemas.openxmlformats.org/officeDocument/2006/relationships/hyperlink" Target="https://mailchi.mp/459b1e4f860d/an-152how-weve-overestimated-few-shot-learning-capabilities" TargetMode="External"/><Relationship Id="rId1529" Type="http://schemas.openxmlformats.org/officeDocument/2006/relationships/hyperlink" Target="https://mailchi.mp/e402599bfb1f/reconnaissance-4" TargetMode="External"/><Relationship Id="rId939" Type="http://schemas.openxmlformats.org/officeDocument/2006/relationships/hyperlink" Target="http://arxiv.org/abs/1807.03247" TargetMode="External"/><Relationship Id="rId938" Type="http://schemas.openxmlformats.org/officeDocument/2006/relationships/hyperlink" Target="https://mailchi.mp/4920e52dd61b/alignment-newsletter-15" TargetMode="External"/><Relationship Id="rId937" Type="http://schemas.openxmlformats.org/officeDocument/2006/relationships/hyperlink" Target="https://blog.openai.com/glow/" TargetMode="External"/><Relationship Id="rId932" Type="http://schemas.openxmlformats.org/officeDocument/2006/relationships/hyperlink" Target="https://mailchi.mp/f2950ed2ac4b/alignment-newsletter-16" TargetMode="External"/><Relationship Id="rId931" Type="http://schemas.openxmlformats.org/officeDocument/2006/relationships/hyperlink" Target="http://arxiv.org/abs/1807.04640" TargetMode="External"/><Relationship Id="rId930" Type="http://schemas.openxmlformats.org/officeDocument/2006/relationships/hyperlink" Target="https://mailchi.mp/f2950ed2ac4b/alignment-newsletter-16" TargetMode="External"/><Relationship Id="rId936" Type="http://schemas.openxmlformats.org/officeDocument/2006/relationships/hyperlink" Target="https://mailchi.mp/459b1e4f860d/an-152how-weve-overestimated-few-shot-learning-capabilities" TargetMode="External"/><Relationship Id="rId935" Type="http://schemas.openxmlformats.org/officeDocument/2006/relationships/hyperlink" Target="https://arxiv.org/abs/2104.08691" TargetMode="External"/><Relationship Id="rId934" Type="http://schemas.openxmlformats.org/officeDocument/2006/relationships/hyperlink" Target="https://mailchi.mp/f2950ed2ac4b/alignment-newsletter-16" TargetMode="External"/><Relationship Id="rId933" Type="http://schemas.openxmlformats.org/officeDocument/2006/relationships/hyperlink" Target="http://arxiv.org/abs/1807.03819" TargetMode="External"/><Relationship Id="rId2850" Type="http://schemas.openxmlformats.org/officeDocument/2006/relationships/hyperlink" Target="https://mailchi.mp/bea92b186ef9/an-157-measuring-misalignment-in-the-technology-underlying-copilot" TargetMode="External"/><Relationship Id="rId1520" Type="http://schemas.openxmlformats.org/officeDocument/2006/relationships/hyperlink" Target="http://arxiv.org/abs/1810.03292" TargetMode="External"/><Relationship Id="rId2851" Type="http://schemas.openxmlformats.org/officeDocument/2006/relationships/hyperlink" Target="https://forum.effectivealtruism.org/posts/4H7j4PQjTDK4W6u79/apply-to-the-new-open-philanthropy-technology-policy" TargetMode="External"/><Relationship Id="rId1554" Type="http://schemas.openxmlformats.org/officeDocument/2006/relationships/hyperlink" Target="https://mailchi.mp/6078fe4f9928/an-81-universality-as-a-potential-solution-to-conceptual-difficulties-in-intent-alignment" TargetMode="External"/><Relationship Id="rId2885" Type="http://schemas.openxmlformats.org/officeDocument/2006/relationships/hyperlink" Target="https://mailchi.mp/2f9c49ea473f/an-115ai-safety-research-problems-in-the-ai-ga-framework" TargetMode="External"/><Relationship Id="rId1555" Type="http://schemas.openxmlformats.org/officeDocument/2006/relationships/hyperlink" Target="https://ai-alignment.com/informed-oversight-18fcb5d3d1e1" TargetMode="External"/><Relationship Id="rId2886" Type="http://schemas.openxmlformats.org/officeDocument/2006/relationships/hyperlink" Target="https://www.fhi.ox.ac.uk/fhis-research-scholars-programme-applications-open/" TargetMode="External"/><Relationship Id="rId1556" Type="http://schemas.openxmlformats.org/officeDocument/2006/relationships/hyperlink" Target="https://mailchi.mp/6078fe4f9928/an-81-universality-as-a-potential-solution-to-conceptual-difficulties-in-intent-alignment" TargetMode="External"/><Relationship Id="rId2887" Type="http://schemas.openxmlformats.org/officeDocument/2006/relationships/hyperlink" Target="https://www.fhi.ox.ac.uk/rsp/" TargetMode="External"/><Relationship Id="rId1557" Type="http://schemas.openxmlformats.org/officeDocument/2006/relationships/hyperlink" Target="https://ai-alignment.com/training-robust-corrigibility-ce0e0a3b9b4d" TargetMode="External"/><Relationship Id="rId2888" Type="http://schemas.openxmlformats.org/officeDocument/2006/relationships/hyperlink" Target="https://mailchi.mp/7ad36e25be22/alignment-newsletter-11" TargetMode="External"/><Relationship Id="rId1558" Type="http://schemas.openxmlformats.org/officeDocument/2006/relationships/hyperlink" Target="https://mailchi.mp/6078fe4f9928/an-81-universality-as-a-potential-solution-to-conceptual-difficulties-in-intent-alignment" TargetMode="External"/><Relationship Id="rId2889" Type="http://schemas.openxmlformats.org/officeDocument/2006/relationships/hyperlink" Target="https://www.openphilanthropy.org/focus/global-catastrophic-risks/potential-risks-advanced-artificial-intelligence/announcing-2018-ai-fellows" TargetMode="External"/><Relationship Id="rId1559" Type="http://schemas.openxmlformats.org/officeDocument/2006/relationships/hyperlink" Target="https://ai-alignment.com/universality-and-model-based-rl-b08701394ddd" TargetMode="External"/><Relationship Id="rId965" Type="http://schemas.openxmlformats.org/officeDocument/2006/relationships/hyperlink" Target="https://arxiv.org/abs/1905.10498" TargetMode="External"/><Relationship Id="rId964" Type="http://schemas.openxmlformats.org/officeDocument/2006/relationships/hyperlink" Target="https://mailchi.mp/05518aad6baf/an-108why-we-should-scrutinize-arguments-for-ai-risk" TargetMode="External"/><Relationship Id="rId963" Type="http://schemas.openxmlformats.org/officeDocument/2006/relationships/hyperlink" Target="https://www.gwern.net/GPT-3" TargetMode="External"/><Relationship Id="rId962" Type="http://schemas.openxmlformats.org/officeDocument/2006/relationships/hyperlink" Target="https://mailchi.mp/7ad36e25be22/alignment-newsletter-11" TargetMode="External"/><Relationship Id="rId969" Type="http://schemas.openxmlformats.org/officeDocument/2006/relationships/hyperlink" Target="https://arxiv.org/abs/1812.11118" TargetMode="External"/><Relationship Id="rId968" Type="http://schemas.openxmlformats.org/officeDocument/2006/relationships/hyperlink" Target="https://mailchi.mp/76ad355daab7/an-89-a-unifying-formalism-for-preference-learning-algorithms" TargetMode="External"/><Relationship Id="rId967" Type="http://schemas.openxmlformats.org/officeDocument/2006/relationships/hyperlink" Target="https://arxiv.org/abs/2002.06177" TargetMode="External"/><Relationship Id="rId966" Type="http://schemas.openxmlformats.org/officeDocument/2006/relationships/hyperlink" Target="https://mailchi.mp/60475c277263/an-103-arches-an-agenda-for-existential-safety-and-combining-natural-language-with-deep-rl" TargetMode="External"/><Relationship Id="rId2880" Type="http://schemas.openxmlformats.org/officeDocument/2006/relationships/hyperlink" Target="https://safeandtrustedai.org/" TargetMode="External"/><Relationship Id="rId961" Type="http://schemas.openxmlformats.org/officeDocument/2006/relationships/hyperlink" Target="https://deepmind.com/blog/neural-scene-representation-and-rendering/" TargetMode="External"/><Relationship Id="rId1550" Type="http://schemas.openxmlformats.org/officeDocument/2006/relationships/hyperlink" Target="https://www.alignmentforum.org/posts/Br4xDbYu4Frwrb64a/writeup-progress-on-ai-safety-via-debate-1" TargetMode="External"/><Relationship Id="rId2881" Type="http://schemas.openxmlformats.org/officeDocument/2006/relationships/hyperlink" Target="https://mailchi.mp/051273eb96eb/an-122arguing-for-agi-driven-existential-risk-from-first-principles" TargetMode="External"/><Relationship Id="rId960" Type="http://schemas.openxmlformats.org/officeDocument/2006/relationships/hyperlink" Target="https://mailchi.mp/7ad36e25be22/alignment-newsletter-11" TargetMode="External"/><Relationship Id="rId1551" Type="http://schemas.openxmlformats.org/officeDocument/2006/relationships/hyperlink" Target="https://mailchi.mp/598f425b1533/an-86-improving-debate-and-factored-cognition-through-human-experiments" TargetMode="External"/><Relationship Id="rId2882" Type="http://schemas.openxmlformats.org/officeDocument/2006/relationships/hyperlink" Target="https://openai.com/blog/openai-licenses-gpt-3-technology-to-microsoft/" TargetMode="External"/><Relationship Id="rId1552" Type="http://schemas.openxmlformats.org/officeDocument/2006/relationships/hyperlink" Target="https://ought.org/updates/2020-01-11-arguments" TargetMode="External"/><Relationship Id="rId2883" Type="http://schemas.openxmlformats.org/officeDocument/2006/relationships/hyperlink" Target="https://mailchi.mp/30b144930924/an-119ai-safety-when-agents-are-shaped-by-environments-not-rewards" TargetMode="External"/><Relationship Id="rId1553" Type="http://schemas.openxmlformats.org/officeDocument/2006/relationships/hyperlink" Target="https://mailchi.mp/598f425b1533/an-86-improving-debate-and-factored-cognition-through-human-experiments" TargetMode="External"/><Relationship Id="rId2884" Type="http://schemas.openxmlformats.org/officeDocument/2006/relationships/hyperlink" Target="https://www.fhi.ox.ac.uk/ai-governance-project-manager/" TargetMode="External"/><Relationship Id="rId1543" Type="http://schemas.openxmlformats.org/officeDocument/2006/relationships/hyperlink" Target="https://mailchi.mp/8234356e4b7f/alignment-newsletter-13" TargetMode="External"/><Relationship Id="rId2874" Type="http://schemas.openxmlformats.org/officeDocument/2006/relationships/hyperlink" Target="https://www.metaculus.com/ai-progress-tournament/" TargetMode="External"/><Relationship Id="rId1544" Type="http://schemas.openxmlformats.org/officeDocument/2006/relationships/hyperlink" Target="http://arxiv.org/abs/1806.09936" TargetMode="External"/><Relationship Id="rId2875" Type="http://schemas.openxmlformats.org/officeDocument/2006/relationships/hyperlink" Target="https://mailchi.mp/f66847de2ef8/an-128prioritizing-research-on-ai-existential-safety-based-on-its-application-to-governance-demands" TargetMode="External"/><Relationship Id="rId1545" Type="http://schemas.openxmlformats.org/officeDocument/2006/relationships/hyperlink" Target="https://mailchi.mp/8234356e4b7f/alignment-newsletter-13" TargetMode="External"/><Relationship Id="rId2876" Type="http://schemas.openxmlformats.org/officeDocument/2006/relationships/hyperlink" Target="https://aisafety.camp/" TargetMode="External"/><Relationship Id="rId1546" Type="http://schemas.openxmlformats.org/officeDocument/2006/relationships/hyperlink" Target="https://ai.googleblog.com/2018/06/how-can-neural-network-similarity-help.html" TargetMode="External"/><Relationship Id="rId2877" Type="http://schemas.openxmlformats.org/officeDocument/2006/relationships/hyperlink" Target="https://mailchi.mp/77121cab0cff/an-126-avoiding-wireheading-by-decoupling-action-feedback-from-action-effects" TargetMode="External"/><Relationship Id="rId1547" Type="http://schemas.openxmlformats.org/officeDocument/2006/relationships/hyperlink" Target="https://mailchi.mp/bcb2c6f1d507/alignment-newsletter-12" TargetMode="External"/><Relationship Id="rId2878" Type="http://schemas.openxmlformats.org/officeDocument/2006/relationships/hyperlink" Target="https://www.lesswrong.com/posts/3aHESQA4xdP6ydefN/european-master-s-programs-in-machine-learning-artificial" TargetMode="External"/><Relationship Id="rId1548" Type="http://schemas.openxmlformats.org/officeDocument/2006/relationships/hyperlink" Target="https://ai-alignment.com/universality-and-security-amplification-551b314a3bab" TargetMode="External"/><Relationship Id="rId2879" Type="http://schemas.openxmlformats.org/officeDocument/2006/relationships/hyperlink" Target="https://mailchi.mp/77121cab0cff/an-126-avoiding-wireheading-by-decoupling-action-feedback-from-action-effects" TargetMode="External"/><Relationship Id="rId1549" Type="http://schemas.openxmlformats.org/officeDocument/2006/relationships/hyperlink" Target="https://mailchi.mp/33af21f908b5/reconnaissance-5" TargetMode="External"/><Relationship Id="rId959" Type="http://schemas.openxmlformats.org/officeDocument/2006/relationships/hyperlink" Target="https://blog.openai.com/language-unsupervised/" TargetMode="External"/><Relationship Id="rId954" Type="http://schemas.openxmlformats.org/officeDocument/2006/relationships/hyperlink" Target="https://ai.googleblog.com/2020/12/transformers-for-image-recognition-at.html" TargetMode="External"/><Relationship Id="rId953" Type="http://schemas.openxmlformats.org/officeDocument/2006/relationships/hyperlink" Target="https://mailchi.mp/8234356e4b7f/alignment-newsletter-13" TargetMode="External"/><Relationship Id="rId952" Type="http://schemas.openxmlformats.org/officeDocument/2006/relationships/hyperlink" Target="https://arxiv.org/abs/1806.07912" TargetMode="External"/><Relationship Id="rId951" Type="http://schemas.openxmlformats.org/officeDocument/2006/relationships/hyperlink" Target="https://mailchi.mp/8234356e4b7f/alignment-newsletter-13" TargetMode="External"/><Relationship Id="rId958" Type="http://schemas.openxmlformats.org/officeDocument/2006/relationships/hyperlink" Target="https://mailchi.mp/d31663e4d330/an-116-how-to-make-explanations-of-neurons-compositional" TargetMode="External"/><Relationship Id="rId957" Type="http://schemas.openxmlformats.org/officeDocument/2006/relationships/hyperlink" Target="https://arxiv.org/abs/2008.08076" TargetMode="External"/><Relationship Id="rId956" Type="http://schemas.openxmlformats.org/officeDocument/2006/relationships/hyperlink" Target="https://arxiv.org/abs/2010.11929" TargetMode="External"/><Relationship Id="rId955" Type="http://schemas.openxmlformats.org/officeDocument/2006/relationships/hyperlink" Target="https://mailchi.mp/f66847de2ef8/an-128prioritizing-research-on-ai-existential-safety-based-on-its-application-to-governance-demands" TargetMode="External"/><Relationship Id="rId950" Type="http://schemas.openxmlformats.org/officeDocument/2006/relationships/hyperlink" Target="https://arxiv.org/abs/1806.09055" TargetMode="External"/><Relationship Id="rId2870" Type="http://schemas.openxmlformats.org/officeDocument/2006/relationships/hyperlink" Target="https://www.aisu.io/" TargetMode="External"/><Relationship Id="rId1540" Type="http://schemas.openxmlformats.org/officeDocument/2006/relationships/hyperlink" Target="http://arxiv.org/abs/1806.10574" TargetMode="External"/><Relationship Id="rId2871" Type="http://schemas.openxmlformats.org/officeDocument/2006/relationships/hyperlink" Target="https://mailchi.mp/ca80338dad5a/an-136how-well-will-gpt-n-perform-on-downstream-tasks" TargetMode="External"/><Relationship Id="rId1541" Type="http://schemas.openxmlformats.org/officeDocument/2006/relationships/hyperlink" Target="https://mailchi.mp/4a4bc2286f53/alignment-newsletter-14" TargetMode="External"/><Relationship Id="rId2872" Type="http://schemas.openxmlformats.org/officeDocument/2006/relationships/hyperlink" Target="https://www.researchgate.net/job/947492_MIT_Postdoc-Economics_Computer_Science_AI" TargetMode="External"/><Relationship Id="rId1542" Type="http://schemas.openxmlformats.org/officeDocument/2006/relationships/hyperlink" Target="http://arxiv.org/abs/1806.08340" TargetMode="External"/><Relationship Id="rId2873" Type="http://schemas.openxmlformats.org/officeDocument/2006/relationships/hyperlink" Target="https://mailchi.mp/bc9b18b1f0be/an-129explaining-double-descent-by-measuring-bias-and-variance" TargetMode="External"/><Relationship Id="rId2027" Type="http://schemas.openxmlformats.org/officeDocument/2006/relationships/hyperlink" Target="http://arxiv.org/abs/1806.08479" TargetMode="External"/><Relationship Id="rId3359" Type="http://schemas.openxmlformats.org/officeDocument/2006/relationships/hyperlink" Target="http://proceedings.mlr.press/v123/crosby20a/crosby20a.pdf" TargetMode="External"/><Relationship Id="rId2028" Type="http://schemas.openxmlformats.org/officeDocument/2006/relationships/hyperlink" Target="https://mailchi.mp/8234356e4b7f/alignment-newsletter-13" TargetMode="External"/><Relationship Id="rId3358" Type="http://schemas.openxmlformats.org/officeDocument/2006/relationships/hyperlink" Target="https://mailchi.mp/42ec72ef7e11/an-120tracing-the-intellectual-roots-of-ai-and-ai-alignment" TargetMode="External"/><Relationship Id="rId2029" Type="http://schemas.openxmlformats.org/officeDocument/2006/relationships/hyperlink" Target="http://arxiv.org/abs/1806.09795" TargetMode="External"/><Relationship Id="rId107" Type="http://schemas.openxmlformats.org/officeDocument/2006/relationships/hyperlink" Target="https://mailchi.mp/33af21f908b5/reconnaissance-5" TargetMode="External"/><Relationship Id="rId106" Type="http://schemas.openxmlformats.org/officeDocument/2006/relationships/hyperlink" Target="https://deepmind.com/blog/learning-to-generate-images/" TargetMode="External"/><Relationship Id="rId105" Type="http://schemas.openxmlformats.org/officeDocument/2006/relationships/hyperlink" Target="https://mailchi.mp/33af21f908b5/reconnaissance-5" TargetMode="External"/><Relationship Id="rId104" Type="http://schemas.openxmlformats.org/officeDocument/2006/relationships/hyperlink" Target="https://arxiv.org/abs/1803.06373" TargetMode="External"/><Relationship Id="rId109" Type="http://schemas.openxmlformats.org/officeDocument/2006/relationships/hyperlink" Target="https://mailchi.mp/6751e45fbb48/alignment-newsletter-36" TargetMode="External"/><Relationship Id="rId108" Type="http://schemas.openxmlformats.org/officeDocument/2006/relationships/hyperlink" Target="http://arxiv.org/abs/1811.03571" TargetMode="External"/><Relationship Id="rId3351" Type="http://schemas.openxmlformats.org/officeDocument/2006/relationships/hyperlink" Target="https://mailchi.mp/bbd47ba94e84/alignment-newsletter-35" TargetMode="External"/><Relationship Id="rId2020" Type="http://schemas.openxmlformats.org/officeDocument/2006/relationships/hyperlink" Target="https://arxiv.org/pdf/2012.05672.pdf" TargetMode="External"/><Relationship Id="rId3350" Type="http://schemas.openxmlformats.org/officeDocument/2006/relationships/hyperlink" Target="http://arxiv.org/abs/1811.07819" TargetMode="External"/><Relationship Id="rId2021" Type="http://schemas.openxmlformats.org/officeDocument/2006/relationships/hyperlink" Target="https://www.alignmentforum.org/posts/2JGu9yxiJkoGdQR4s/learning-normativity-a-research-agenda" TargetMode="External"/><Relationship Id="rId3353" Type="http://schemas.openxmlformats.org/officeDocument/2006/relationships/hyperlink" Target="https://mailchi.mp/df2e472140b6/alignment-newsletter-28" TargetMode="External"/><Relationship Id="rId2022" Type="http://schemas.openxmlformats.org/officeDocument/2006/relationships/hyperlink" Target="https://mailchi.mp/c8b57f25d787/an-133building-machines-that-can-cooperate-with-humans-institutions-or-other-machines" TargetMode="External"/><Relationship Id="rId3352" Type="http://schemas.openxmlformats.org/officeDocument/2006/relationships/hyperlink" Target="http://ai.googleblog.com/2018/10/open-sourcing-active-question.html" TargetMode="External"/><Relationship Id="rId103" Type="http://schemas.openxmlformats.org/officeDocument/2006/relationships/hyperlink" Target="https://mailchi.mp/cfec6a0f6e73/alignment-newsletter-29" TargetMode="External"/><Relationship Id="rId2023" Type="http://schemas.openxmlformats.org/officeDocument/2006/relationships/hyperlink" Target="https://www.alignmentforum.org/posts/YNuJjRuxsWWzfvder/recursive-quantilizers-ii" TargetMode="External"/><Relationship Id="rId3355" Type="http://schemas.openxmlformats.org/officeDocument/2006/relationships/hyperlink" Target="https://mailchi.mp/0212425e5544/alignment-newsletter-27" TargetMode="External"/><Relationship Id="rId102" Type="http://schemas.openxmlformats.org/officeDocument/2006/relationships/hyperlink" Target="https://arxiv.org/abs/1801.02612" TargetMode="External"/><Relationship Id="rId2024" Type="http://schemas.openxmlformats.org/officeDocument/2006/relationships/hyperlink" Target="https://mailchi.mp/c8b57f25d787/an-133building-machines-that-can-cooperate-with-humans-institutions-or-other-machines" TargetMode="External"/><Relationship Id="rId3354" Type="http://schemas.openxmlformats.org/officeDocument/2006/relationships/hyperlink" Target="http://arxiv.org/abs/1810.01257" TargetMode="External"/><Relationship Id="rId101" Type="http://schemas.openxmlformats.org/officeDocument/2006/relationships/hyperlink" Target="https://mailchi.mp/cfec6a0f6e73/alignment-newsletter-29" TargetMode="External"/><Relationship Id="rId2025" Type="http://schemas.openxmlformats.org/officeDocument/2006/relationships/hyperlink" Target="https://arxiv.org/abs/2012.05862" TargetMode="External"/><Relationship Id="rId3357" Type="http://schemas.openxmlformats.org/officeDocument/2006/relationships/hyperlink" Target="http://arxiv.org/abs/2005.01643" TargetMode="External"/><Relationship Id="rId100" Type="http://schemas.openxmlformats.org/officeDocument/2006/relationships/hyperlink" Target="https://arxiv.org/abs/1810.05162" TargetMode="External"/><Relationship Id="rId2026" Type="http://schemas.openxmlformats.org/officeDocument/2006/relationships/hyperlink" Target="https://mailchi.mp/395179bd3c3d/an-132complex-and-subtly-incorrect-arguments-as-an-obstacle-to-debate" TargetMode="External"/><Relationship Id="rId3356" Type="http://schemas.openxmlformats.org/officeDocument/2006/relationships/hyperlink" Target="https://arxiv.org/abs/2203.00715" TargetMode="External"/><Relationship Id="rId2016" Type="http://schemas.openxmlformats.org/officeDocument/2006/relationships/hyperlink" Target="http://arxiv.org/abs/2009.14715" TargetMode="External"/><Relationship Id="rId3348" Type="http://schemas.openxmlformats.org/officeDocument/2006/relationships/hyperlink" Target="https://deepmind.com/blog/alphazero-shedding-new-light-grand-games-chess-shogi-and-go/" TargetMode="External"/><Relationship Id="rId2017" Type="http://schemas.openxmlformats.org/officeDocument/2006/relationships/hyperlink" Target="https://mailchi.mp/ca80338dad5a/an-136how-well-will-gpt-n-perform-on-downstream-tasks" TargetMode="External"/><Relationship Id="rId3347" Type="http://schemas.openxmlformats.org/officeDocument/2006/relationships/hyperlink" Target="https://mailchi.mp/6751e45fbb48/alignment-newsletter-36" TargetMode="External"/><Relationship Id="rId2018" Type="http://schemas.openxmlformats.org/officeDocument/2006/relationships/hyperlink" Target="https://arxiv.org/abs/2012.05672" TargetMode="External"/><Relationship Id="rId2019" Type="http://schemas.openxmlformats.org/officeDocument/2006/relationships/hyperlink" Target="https://mailchi.mp/b8b755c3f8f5/an-135five-properties-of-goal-directed-systems" TargetMode="External"/><Relationship Id="rId3349" Type="http://schemas.openxmlformats.org/officeDocument/2006/relationships/hyperlink" Target="https://mailchi.mp/6751e45fbb48/alignment-newsletter-36" TargetMode="External"/><Relationship Id="rId3340" Type="http://schemas.openxmlformats.org/officeDocument/2006/relationships/hyperlink" Target="http://ai.googleblog.com/2019/02/introducing-planet-deep-planning.html" TargetMode="External"/><Relationship Id="rId2010" Type="http://schemas.openxmlformats.org/officeDocument/2006/relationships/hyperlink" Target="https://blog.openai.com/learning-montezumas-revenge-from-a-single-demonstration/" TargetMode="External"/><Relationship Id="rId3342" Type="http://schemas.openxmlformats.org/officeDocument/2006/relationships/hyperlink" Target="https://ai.googleblog.com/2019/01/soft-actor-critic-deep-reinforcement.html" TargetMode="External"/><Relationship Id="rId2011" Type="http://schemas.openxmlformats.org/officeDocument/2006/relationships/hyperlink" Target="https://mailchi.mp/4a4bc2286f53/alignment-newsletter-14" TargetMode="External"/><Relationship Id="rId3341" Type="http://schemas.openxmlformats.org/officeDocument/2006/relationships/hyperlink" Target="https://mailchi.mp/c48f996a5db5/alignment-newsletter-46" TargetMode="External"/><Relationship Id="rId2012" Type="http://schemas.openxmlformats.org/officeDocument/2006/relationships/hyperlink" Target="https://arxiv.org/abs/2011.00517" TargetMode="External"/><Relationship Id="rId3344" Type="http://schemas.openxmlformats.org/officeDocument/2006/relationships/hyperlink" Target="http://arxiv.org/abs/1812.02900" TargetMode="External"/><Relationship Id="rId2013" Type="http://schemas.openxmlformats.org/officeDocument/2006/relationships/hyperlink" Target="https://mailchi.mp/ca80338dad5a/an-136how-well-will-gpt-n-perform-on-downstream-tasks" TargetMode="External"/><Relationship Id="rId3343" Type="http://schemas.openxmlformats.org/officeDocument/2006/relationships/hyperlink" Target="https://mailchi.mp/f6488137d76c/alignment-newsletter-42" TargetMode="External"/><Relationship Id="rId2014" Type="http://schemas.openxmlformats.org/officeDocument/2006/relationships/hyperlink" Target="https://arxiv.org/abs/1911.00497" TargetMode="External"/><Relationship Id="rId3346" Type="http://schemas.openxmlformats.org/officeDocument/2006/relationships/hyperlink" Target="https://bair.berkeley.edu/blog/2018/11/30/visual-rl/" TargetMode="External"/><Relationship Id="rId2015" Type="http://schemas.openxmlformats.org/officeDocument/2006/relationships/hyperlink" Target="https://mailchi.mp/ca80338dad5a/an-136how-well-will-gpt-n-perform-on-downstream-tasks" TargetMode="External"/><Relationship Id="rId3345" Type="http://schemas.openxmlformats.org/officeDocument/2006/relationships/hyperlink" Target="https://mailchi.mp/6eb8190e723f/alignment-newsletter-37" TargetMode="External"/><Relationship Id="rId2049" Type="http://schemas.openxmlformats.org/officeDocument/2006/relationships/hyperlink" Target="http://arxiv.org/abs/1805.12573" TargetMode="External"/><Relationship Id="rId129" Type="http://schemas.openxmlformats.org/officeDocument/2006/relationships/hyperlink" Target="https://www.alignmentforum.org/posts/ZDZmopKquzHYPRNxq/selection-vs-control" TargetMode="External"/><Relationship Id="rId128" Type="http://schemas.openxmlformats.org/officeDocument/2006/relationships/hyperlink" Target="https://mailchi.mp/533c646a4b21/an-63how-architecture-search-meta-learning-and-environment-design-could-lead-to-general-intelligence" TargetMode="External"/><Relationship Id="rId127" Type="http://schemas.openxmlformats.org/officeDocument/2006/relationships/hyperlink" Target="https://www.alignmentforum.org/posts/hpAbfXtqYC2BrpeiC/troll-bridge-5" TargetMode="External"/><Relationship Id="rId126" Type="http://schemas.openxmlformats.org/officeDocument/2006/relationships/hyperlink" Target="https://mailchi.mp/c8ea4a5e842f/an-66-decomposing-robustness-into-capability-robustness-and-alignment-robustness" TargetMode="External"/><Relationship Id="rId3371" Type="http://schemas.openxmlformats.org/officeDocument/2006/relationships/hyperlink" Target="https://mailchi.mp/d9e1db727875/an-100what-might-go-wrong-if-you-learn-a-reward-function-while-acting" TargetMode="External"/><Relationship Id="rId2040" Type="http://schemas.openxmlformats.org/officeDocument/2006/relationships/hyperlink" Target="https://arxiv.org/abs/2006.07532" TargetMode="External"/><Relationship Id="rId3370" Type="http://schemas.openxmlformats.org/officeDocument/2006/relationships/hyperlink" Target="http://arxiv.org/abs/2003.02979" TargetMode="External"/><Relationship Id="rId121" Type="http://schemas.openxmlformats.org/officeDocument/2006/relationships/hyperlink" Target="https://www.alignmentforum.org/posts/znfkdCoHMANwqc2WE/the-ground-of-optimization-1" TargetMode="External"/><Relationship Id="rId2041" Type="http://schemas.openxmlformats.org/officeDocument/2006/relationships/hyperlink" Target="https://mailchi.mp/a5a5ec01e25b/an-111the-circuits-hypotheses-for-deep-learning" TargetMode="External"/><Relationship Id="rId3373" Type="http://schemas.openxmlformats.org/officeDocument/2006/relationships/hyperlink" Target="https://mailchi.mp/d9e1db727875/an-100what-might-go-wrong-if-you-learn-a-reward-function-while-acting" TargetMode="External"/><Relationship Id="rId120" Type="http://schemas.openxmlformats.org/officeDocument/2006/relationships/hyperlink" Target="https://mailchi.mp/f507d9a96785/an-127rethinking-agency-cartesian-frames-as-a-formalization-of-ways-to-carve-up-the-world-into-an-agent-and-its-environment" TargetMode="External"/><Relationship Id="rId2042" Type="http://schemas.openxmlformats.org/officeDocument/2006/relationships/hyperlink" Target="https://www.alignmentforum.org/posts/pfmFe5fgEn2weJuer/go-west-young-man-preferences-in-imperfect-maps" TargetMode="External"/><Relationship Id="rId3372" Type="http://schemas.openxmlformats.org/officeDocument/2006/relationships/hyperlink" Target="https://ai.facebook.com/blog/building-ai-that-can-master-complex-cooperative-games-with-hidden-information/" TargetMode="External"/><Relationship Id="rId2043" Type="http://schemas.openxmlformats.org/officeDocument/2006/relationships/hyperlink" Target="https://mailchi.mp/a5a5ec01e25b/an-111the-circuits-hypotheses-for-deep-learning" TargetMode="External"/><Relationship Id="rId3375" Type="http://schemas.openxmlformats.org/officeDocument/2006/relationships/hyperlink" Target="https://arxiv.org/abs/1803.05044" TargetMode="External"/><Relationship Id="rId2044" Type="http://schemas.openxmlformats.org/officeDocument/2006/relationships/hyperlink" Target="http://arxiv.org/abs/1806.03820" TargetMode="External"/><Relationship Id="rId3374" Type="http://schemas.openxmlformats.org/officeDocument/2006/relationships/hyperlink" Target="http://arxiv.org/abs/1912.02318" TargetMode="External"/><Relationship Id="rId125" Type="http://schemas.openxmlformats.org/officeDocument/2006/relationships/hyperlink" Target="https://www.alignmentforum.org/posts/zQZcWkvEA8DLjKR7C/theory-of-ideal-agents-or-of-existing-agents" TargetMode="External"/><Relationship Id="rId2045" Type="http://schemas.openxmlformats.org/officeDocument/2006/relationships/hyperlink" Target="https://mailchi.mp/7ad36e25be22/alignment-newsletter-11" TargetMode="External"/><Relationship Id="rId3377" Type="http://schemas.openxmlformats.org/officeDocument/2006/relationships/hyperlink" Target="https://arxiv.org/abs/1803.07055" TargetMode="External"/><Relationship Id="rId124" Type="http://schemas.openxmlformats.org/officeDocument/2006/relationships/hyperlink" Target="https://mailchi.mp/ff565f097630/an-83-sample-efficient-deep-learning-with-remixmatch" TargetMode="External"/><Relationship Id="rId2046" Type="http://schemas.openxmlformats.org/officeDocument/2006/relationships/hyperlink" Target="https://arxiv.org/abs/1606.03137" TargetMode="External"/><Relationship Id="rId3376" Type="http://schemas.openxmlformats.org/officeDocument/2006/relationships/hyperlink" Target="https://mailchi.mp/33af21f908b5/reconnaissance-5" TargetMode="External"/><Relationship Id="rId123" Type="http://schemas.openxmlformats.org/officeDocument/2006/relationships/hyperlink" Target="https://www.alignmentforum.org/posts/hLFD6qSN9MmQxKjG5/embedded-agency-via-abstraction" TargetMode="External"/><Relationship Id="rId2047" Type="http://schemas.openxmlformats.org/officeDocument/2006/relationships/hyperlink" Target="https://arxiv.org/abs/1805.07914" TargetMode="External"/><Relationship Id="rId3379" Type="http://schemas.openxmlformats.org/officeDocument/2006/relationships/hyperlink" Target="https://arxiv.org/abs/1705.08439" TargetMode="External"/><Relationship Id="rId122" Type="http://schemas.openxmlformats.org/officeDocument/2006/relationships/hyperlink" Target="https://mailchi.mp/be2a0d160fa2/an-105-the-economic-trajectory-of-humanity-and-what-we-might-mean-by-optimization" TargetMode="External"/><Relationship Id="rId2048" Type="http://schemas.openxmlformats.org/officeDocument/2006/relationships/hyperlink" Target="https://mailchi.mp/7ad36e25be22/alignment-newsletter-11" TargetMode="External"/><Relationship Id="rId3378" Type="http://schemas.openxmlformats.org/officeDocument/2006/relationships/hyperlink" Target="https://mailchi.mp/33af21f908b5/reconnaissance-5" TargetMode="External"/><Relationship Id="rId2038" Type="http://schemas.openxmlformats.org/officeDocument/2006/relationships/hyperlink" Target="http://arxiv.org/abs/2008.03525" TargetMode="External"/><Relationship Id="rId2039" Type="http://schemas.openxmlformats.org/officeDocument/2006/relationships/hyperlink" Target="https://mailchi.mp/30b144930924/an-119ai-safety-when-agents-are-shaped-by-environments-not-rewards" TargetMode="External"/><Relationship Id="rId3369" Type="http://schemas.openxmlformats.org/officeDocument/2006/relationships/hyperlink" Target="https://mailchi.mp/2485e6b42012/an-102-meta-learning-by-gpt-3-and-a-list-of-full-proposals-for-ai-alignment" TargetMode="External"/><Relationship Id="rId118" Type="http://schemas.openxmlformats.org/officeDocument/2006/relationships/hyperlink" Target="https://www.alignmentforum.org/posts/FkMPXiomjGBjMfosg/axrp-episode-5-infra-bayesianism-with-vanessa-kosoy" TargetMode="External"/><Relationship Id="rId117" Type="http://schemas.openxmlformats.org/officeDocument/2006/relationships/hyperlink" Target="https://mailchi.mp/8aae224669a8/an-143how-to-make-embedded-agents-that-reason-probabilistically-about-their-environments" TargetMode="External"/><Relationship Id="rId116" Type="http://schemas.openxmlformats.org/officeDocument/2006/relationships/hyperlink" Target="https://www.alignmentforum.org/s/CmrW8fCmSLK7E25sa" TargetMode="External"/><Relationship Id="rId115" Type="http://schemas.openxmlformats.org/officeDocument/2006/relationships/hyperlink" Target="https://mailchi.mp/9a9e021705ed/an-163-using-finite-factored-sets-for-causal-and-temporal-inference" TargetMode="External"/><Relationship Id="rId3360" Type="http://schemas.openxmlformats.org/officeDocument/2006/relationships/hyperlink" Target="https://mailchi.mp/c85a95604c5c/an-117how-neural-nets-would-fare-under-the-tevv-framework" TargetMode="External"/><Relationship Id="rId119" Type="http://schemas.openxmlformats.org/officeDocument/2006/relationships/hyperlink" Target="https://www.alignmentforum.org/s/2A7rrZ4ySx6R8mfoT" TargetMode="External"/><Relationship Id="rId110" Type="http://schemas.openxmlformats.org/officeDocument/2006/relationships/hyperlink" Target="http://arxiv.org/abs/1806.09030" TargetMode="External"/><Relationship Id="rId2030" Type="http://schemas.openxmlformats.org/officeDocument/2006/relationships/hyperlink" Target="https://mailchi.mp/8234356e4b7f/alignment-newsletter-13" TargetMode="External"/><Relationship Id="rId3362" Type="http://schemas.openxmlformats.org/officeDocument/2006/relationships/hyperlink" Target="https://arxiv.org/abs/2007.13544" TargetMode="External"/><Relationship Id="rId2031" Type="http://schemas.openxmlformats.org/officeDocument/2006/relationships/hyperlink" Target="https://arxiv.org/abs/2010.10181" TargetMode="External"/><Relationship Id="rId3361" Type="http://schemas.openxmlformats.org/officeDocument/2006/relationships/hyperlink" Target="https://link.springer.com/epdf/10.1007/s11023-020-09535-6?sharing_token=i8b_fK9gxcyMy7NNgyCRMve4RwlQNchNByi7wbcMAY42BXcZEQjOOpc2RsMol991jcge_tF0YABvUxEUc3Q0TbJWKecuuFNI6HznqjkkpkrZX7M6A47XgXxBWQLXteo_jas2coehuGsRLDDrYEQ-dUgHVQsbwCN6FXNe7IeOpJM%3D" TargetMode="External"/><Relationship Id="rId2032" Type="http://schemas.openxmlformats.org/officeDocument/2006/relationships/hyperlink" Target="https://mailchi.mp/bc9b18b1f0be/an-129explaining-double-descent-by-measuring-bias-and-variance" TargetMode="External"/><Relationship Id="rId3364" Type="http://schemas.openxmlformats.org/officeDocument/2006/relationships/hyperlink" Target="http://arxiv.org/abs/2003.04960" TargetMode="External"/><Relationship Id="rId2033" Type="http://schemas.openxmlformats.org/officeDocument/2006/relationships/hyperlink" Target="https://arxiv.org/abs/1703.09327" TargetMode="External"/><Relationship Id="rId3363" Type="http://schemas.openxmlformats.org/officeDocument/2006/relationships/hyperlink" Target="https://mailchi.mp/2f9c49ea473f/an-115ai-safety-research-problems-in-the-ai-ga-framework" TargetMode="External"/><Relationship Id="rId114" Type="http://schemas.openxmlformats.org/officeDocument/2006/relationships/hyperlink" Target="https://www.alignmentforum.org/s/kxs3eeEti9ouwWFzr" TargetMode="External"/><Relationship Id="rId2034" Type="http://schemas.openxmlformats.org/officeDocument/2006/relationships/hyperlink" Target="https://arxiv.org/abs/2009.13649" TargetMode="External"/><Relationship Id="rId3366" Type="http://schemas.openxmlformats.org/officeDocument/2006/relationships/hyperlink" Target="https://arxiv.org/abs/2003.13590" TargetMode="External"/><Relationship Id="rId113" Type="http://schemas.openxmlformats.org/officeDocument/2006/relationships/hyperlink" Target="https://mailchi.mp/d1a19c140226/alignment-newsletter-10" TargetMode="External"/><Relationship Id="rId2035" Type="http://schemas.openxmlformats.org/officeDocument/2006/relationships/hyperlink" Target="https://mailchi.mp/62ef1fe8c13a/an-123inferring-what-is-valuable-in-order-to-align-recommender-systems" TargetMode="External"/><Relationship Id="rId3365" Type="http://schemas.openxmlformats.org/officeDocument/2006/relationships/hyperlink" Target="https://mailchi.mp/dfb9aaad1c07/an-114-theory-inspired-safety-solutions-for-powerful-bayesian-rl-agents" TargetMode="External"/><Relationship Id="rId112" Type="http://schemas.openxmlformats.org/officeDocument/2006/relationships/hyperlink" Target="https://arxiv.org/abs/1806.00667" TargetMode="External"/><Relationship Id="rId2036" Type="http://schemas.openxmlformats.org/officeDocument/2006/relationships/hyperlink" Target="https://arxiv.org/abs/2006.01855" TargetMode="External"/><Relationship Id="rId3368" Type="http://schemas.openxmlformats.org/officeDocument/2006/relationships/hyperlink" Target="http://arxiv.org/abs/1912.09729" TargetMode="External"/><Relationship Id="rId111" Type="http://schemas.openxmlformats.org/officeDocument/2006/relationships/hyperlink" Target="https://mailchi.mp/8234356e4b7f/alignment-newsletter-13" TargetMode="External"/><Relationship Id="rId2037" Type="http://schemas.openxmlformats.org/officeDocument/2006/relationships/hyperlink" Target="https://mailchi.mp/42ec72ef7e11/an-120tracing-the-intellectual-roots-of-ai-and-ai-alignment" TargetMode="External"/><Relationship Id="rId3367" Type="http://schemas.openxmlformats.org/officeDocument/2006/relationships/hyperlink" Target="https://mailchi.mp/2485e6b42012/an-102-meta-learning-by-gpt-3-and-a-list-of-full-proposals-for-ai-alignment" TargetMode="External"/><Relationship Id="rId3315" Type="http://schemas.openxmlformats.org/officeDocument/2006/relationships/hyperlink" Target="https://mailchi.mp/49c956f84771/an-74separating-beneficial-ai-into-competence-alignment-and-coping-with-impacts" TargetMode="External"/><Relationship Id="rId3314" Type="http://schemas.openxmlformats.org/officeDocument/2006/relationships/hyperlink" Target="https://science.sciencemag.org/content/early/2019/07/10/science.aay2400.full" TargetMode="External"/><Relationship Id="rId3317" Type="http://schemas.openxmlformats.org/officeDocument/2006/relationships/hyperlink" Target="https://deepmind.com/blog/article/AlphaStar-Grandmaster-level-in-StarCraft-II-using-multi-agent-reinforcement-learning" TargetMode="External"/><Relationship Id="rId3316" Type="http://schemas.openxmlformats.org/officeDocument/2006/relationships/hyperlink" Target="https://www.lesswrong.com/posts/6qtq6KDvj86DXqfp6/let-s-read-superhuman-ai-for-multiplayer-poker" TargetMode="External"/><Relationship Id="rId3319" Type="http://schemas.openxmlformats.org/officeDocument/2006/relationships/hyperlink" Target="https://www.nature.com/articles/s41586-019-1724-z.epdf?author_access_token=lZH3nqPYtWJXfDA10W0CNNRgN0jAjWel9jnR3ZoTv0PSZcPzJFGNAZhOlk4deBCKzKm70KfinloafEF1bCCXL6IIHHgKaDkaTkBcTEv7aT-wqDoG1VeO9-wO3GEoAMF9bAOt7mJ0RWQnRVMbyfgH9A%3D%3D" TargetMode="External"/><Relationship Id="rId3318" Type="http://schemas.openxmlformats.org/officeDocument/2006/relationships/hyperlink" Target="https://mailchi.mp/ef55eb52b0fd/an-73-detecting-catastrophic-failures-by-learning-how-agents-tend-to-break" TargetMode="External"/><Relationship Id="rId3311" Type="http://schemas.openxmlformats.org/officeDocument/2006/relationships/hyperlink" Target="http://arxiv.org/abs/1912.01588" TargetMode="External"/><Relationship Id="rId3310" Type="http://schemas.openxmlformats.org/officeDocument/2006/relationships/hyperlink" Target="https://mailchi.mp/8d9e3703fbde/an-79-recursive-reward-modeling-as-an-alignment-technique-integrated-with-deep-rl" TargetMode="External"/><Relationship Id="rId3313" Type="http://schemas.openxmlformats.org/officeDocument/2006/relationships/hyperlink" Target="https://mailchi.mp/3e34fa1f299a/an-75-solving-atari-and-go-with-learned-game-models-and-thoughts-from-a-miri-employee" TargetMode="External"/><Relationship Id="rId3312" Type="http://schemas.openxmlformats.org/officeDocument/2006/relationships/hyperlink" Target="https://learningtopredict.github.io/" TargetMode="External"/><Relationship Id="rId3304" Type="http://schemas.openxmlformats.org/officeDocument/2006/relationships/hyperlink" Target="https://arxiv.org/abs/2003.13350" TargetMode="External"/><Relationship Id="rId3303" Type="http://schemas.openxmlformats.org/officeDocument/2006/relationships/hyperlink" Target="https://mailchi.mp/8a9d080d5ce3/an-95-a-framework-for-thinking-about-how-to-make-ai-go-well" TargetMode="External"/><Relationship Id="rId3306" Type="http://schemas.openxmlformats.org/officeDocument/2006/relationships/hyperlink" Target="https://mailchi.mp/1acb030735dd/an-91concepts-implementations-problems-and-a-benchmark-for-impact-measurement" TargetMode="External"/><Relationship Id="rId3305" Type="http://schemas.openxmlformats.org/officeDocument/2006/relationships/hyperlink" Target="http://arxiv.org/abs/2002.12499" TargetMode="External"/><Relationship Id="rId3308" Type="http://schemas.openxmlformats.org/officeDocument/2006/relationships/hyperlink" Target="https://mailchi.mp/ff565f097630/an-83-sample-efficient-deep-learning-with-remixmatch" TargetMode="External"/><Relationship Id="rId3307" Type="http://schemas.openxmlformats.org/officeDocument/2006/relationships/hyperlink" Target="http://arxiv.org/abs/1912.13465" TargetMode="External"/><Relationship Id="rId3309" Type="http://schemas.openxmlformats.org/officeDocument/2006/relationships/hyperlink" Target="https://openai.com/blog/procgen-benchmark/" TargetMode="External"/><Relationship Id="rId3300" Type="http://schemas.openxmlformats.org/officeDocument/2006/relationships/hyperlink" Target="https://www.alexirpan.com/2020/05/07/rl-potpourri.html" TargetMode="External"/><Relationship Id="rId3302" Type="http://schemas.openxmlformats.org/officeDocument/2006/relationships/hyperlink" Target="https://deepmind.com/blog/article/Agent57-Outperforming-the-human-Atari-benchmark" TargetMode="External"/><Relationship Id="rId3301" Type="http://schemas.openxmlformats.org/officeDocument/2006/relationships/hyperlink" Target="https://mailchi.mp/4f7ffc5cbe53/an-99-doubling-times-for-the-efficiency-of-ai-algorithms" TargetMode="External"/><Relationship Id="rId2005" Type="http://schemas.openxmlformats.org/officeDocument/2006/relationships/hyperlink" Target="https://ai.googleblog.com/2021/03/recursive-classification-replacing.html" TargetMode="External"/><Relationship Id="rId3337" Type="http://schemas.openxmlformats.org/officeDocument/2006/relationships/hyperlink" Target="https://mailchi.mp/a90a547f06f2/alignment-newsletter-51" TargetMode="External"/><Relationship Id="rId2006" Type="http://schemas.openxmlformats.org/officeDocument/2006/relationships/hyperlink" Target="https://mailchi.mp/1d67a64ff361/an-147-an-overview-of-the-interpretability-landscape" TargetMode="External"/><Relationship Id="rId3336" Type="http://schemas.openxmlformats.org/officeDocument/2006/relationships/hyperlink" Target="http://www.marcgbellemare.info/blog/eighteen-months-of-rl-research-at-google-brain-in-montreal/" TargetMode="External"/><Relationship Id="rId2007" Type="http://schemas.openxmlformats.org/officeDocument/2006/relationships/hyperlink" Target="https://arxiv.org/abs/2103.12656" TargetMode="External"/><Relationship Id="rId3339" Type="http://schemas.openxmlformats.org/officeDocument/2006/relationships/hyperlink" Target="https://mailchi.mp/260cd31d5f03/alignment-newsletter-47" TargetMode="External"/><Relationship Id="rId2008" Type="http://schemas.openxmlformats.org/officeDocument/2006/relationships/hyperlink" Target="https://www.alignmentforum.org/posts/oqghwKKifztYWLsea/four-normativity-motivations" TargetMode="External"/><Relationship Id="rId3338" Type="http://schemas.openxmlformats.org/officeDocument/2006/relationships/hyperlink" Target="https://www.alexirpan.com/2019/02/22/alphastar-part2.html" TargetMode="External"/><Relationship Id="rId2009" Type="http://schemas.openxmlformats.org/officeDocument/2006/relationships/hyperlink" Target="https://mailchi.mp/8aae224669a8/an-143how-to-make-embedded-agents-that-reason-probabilistically-about-their-environments" TargetMode="External"/><Relationship Id="rId3331" Type="http://schemas.openxmlformats.org/officeDocument/2006/relationships/hyperlink" Target="https://arxiv.org/abs/1904.10079" TargetMode="External"/><Relationship Id="rId2000" Type="http://schemas.openxmlformats.org/officeDocument/2006/relationships/hyperlink" Target="https://mailchi.mp/f2950ed2ac4b/alignment-newsletter-16" TargetMode="External"/><Relationship Id="rId3330" Type="http://schemas.openxmlformats.org/officeDocument/2006/relationships/hyperlink" Target="https://mailchi.mp/92b3a9458c2d/an-58-mesa-optimization-what-it-is-and-why-we-should-care" TargetMode="External"/><Relationship Id="rId2001" Type="http://schemas.openxmlformats.org/officeDocument/2006/relationships/hyperlink" Target="https://arxiv.org/abs/2105.09637" TargetMode="External"/><Relationship Id="rId3333" Type="http://schemas.openxmlformats.org/officeDocument/2006/relationships/hyperlink" Target="https://openai.com/blog/how-to-train-your-openai-five/" TargetMode="External"/><Relationship Id="rId2002" Type="http://schemas.openxmlformats.org/officeDocument/2006/relationships/hyperlink" Target="https://mailchi.mp/459b1e4f860d/an-152how-weve-overestimated-few-shot-learning-capabilities" TargetMode="External"/><Relationship Id="rId3332" Type="http://schemas.openxmlformats.org/officeDocument/2006/relationships/hyperlink" Target="https://mailchi.mp/894417149126/an-56-should-ml-researchers-stop-running-experiments-before-making-hypotheses" TargetMode="External"/><Relationship Id="rId2003" Type="http://schemas.openxmlformats.org/officeDocument/2006/relationships/hyperlink" Target="https://bair.berkeley.edu/blog/2021/05/03/rlsp/" TargetMode="External"/><Relationship Id="rId3335" Type="http://schemas.openxmlformats.org/officeDocument/2006/relationships/hyperlink" Target="https://www.vox.com/2019/4/13/18309418/open-ai-dota-triumph-og" TargetMode="External"/><Relationship Id="rId2004" Type="http://schemas.openxmlformats.org/officeDocument/2006/relationships/hyperlink" Target="https://mailchi.mp/dba8371e9221/an-149-the-newsletters-editorial-policy" TargetMode="External"/><Relationship Id="rId3334" Type="http://schemas.openxmlformats.org/officeDocument/2006/relationships/hyperlink" Target="https://mailchi.mp/3e2f43012b07/an-54-boxing-a-finite-horizon-ai-system-to-keep-it-unambitious" TargetMode="External"/><Relationship Id="rId3326" Type="http://schemas.openxmlformats.org/officeDocument/2006/relationships/hyperlink" Target="https://www.vox.com/future-perfect/2019/10/15/20910007/robot-rubiks-cube-one-handed" TargetMode="External"/><Relationship Id="rId3325" Type="http://schemas.openxmlformats.org/officeDocument/2006/relationships/hyperlink" Target="https://mailchi.mp/732eaa192df0/an-70-agents-that-help-humans-who-are-still-learning-about-their-own-preferences" TargetMode="External"/><Relationship Id="rId3328" Type="http://schemas.openxmlformats.org/officeDocument/2006/relationships/hyperlink" Target="https://mailchi.mp/3d4e6c2c206f/an-65learning-useful-skills-by-watching-humans-play" TargetMode="External"/><Relationship Id="rId3327" Type="http://schemas.openxmlformats.org/officeDocument/2006/relationships/hyperlink" Target="https://openai.com/blog/emergent-tool-use/" TargetMode="External"/><Relationship Id="rId3329" Type="http://schemas.openxmlformats.org/officeDocument/2006/relationships/hyperlink" Target="http://arxiv.org/abs/1906.03926" TargetMode="External"/><Relationship Id="rId3320" Type="http://schemas.openxmlformats.org/officeDocument/2006/relationships/hyperlink" Target="http://bair.berkeley.edu/blog/2019/09/30/deep-dynamics/" TargetMode="External"/><Relationship Id="rId3322" Type="http://schemas.openxmlformats.org/officeDocument/2006/relationships/hyperlink" Target="https://www.alexirpan.com/2019/10/29/openai-rubiks.html" TargetMode="External"/><Relationship Id="rId3321" Type="http://schemas.openxmlformats.org/officeDocument/2006/relationships/hyperlink" Target="https://mailchi.mp/ef55eb52b0fd/an-73-detecting-catastrophic-failures-by-learning-how-agents-tend-to-break" TargetMode="External"/><Relationship Id="rId3324" Type="http://schemas.openxmlformats.org/officeDocument/2006/relationships/hyperlink" Target="https://openai.com/blog/solving-rubiks-cube/" TargetMode="External"/><Relationship Id="rId3323" Type="http://schemas.openxmlformats.org/officeDocument/2006/relationships/hyperlink" Target="https://mailchi.mp/cac125522aa3/an-72-alignment-robustness-methodology-and-system-building-as-research-priorities-for-ai-safety" TargetMode="External"/><Relationship Id="rId2090" Type="http://schemas.openxmlformats.org/officeDocument/2006/relationships/hyperlink" Target="http://arxiv.org/abs/1810.07483" TargetMode="External"/><Relationship Id="rId2091" Type="http://schemas.openxmlformats.org/officeDocument/2006/relationships/hyperlink" Target="https://mailchi.mp/c1f376f3a12e/alignment-newsletter-30" TargetMode="External"/><Relationship Id="rId2092" Type="http://schemas.openxmlformats.org/officeDocument/2006/relationships/hyperlink" Target="http://arxiv.org/abs/1809.06404" TargetMode="External"/><Relationship Id="rId2093" Type="http://schemas.openxmlformats.org/officeDocument/2006/relationships/hyperlink" Target="https://mailchi.mp/df2e472140b6/alignment-newsletter-28" TargetMode="External"/><Relationship Id="rId2094" Type="http://schemas.openxmlformats.org/officeDocument/2006/relationships/hyperlink" Target="https://mailchi.mp/1ecd1b775703/alignment-newsletter-26" TargetMode="External"/><Relationship Id="rId2095" Type="http://schemas.openxmlformats.org/officeDocument/2006/relationships/hyperlink" Target="https://arxiv.org/abs/2105.12938" TargetMode="External"/><Relationship Id="rId2096" Type="http://schemas.openxmlformats.org/officeDocument/2006/relationships/hyperlink" Target="https://mailchi.mp/aa6782968981/an-155a-minecraft-benchmark-for-algorithms-that-learn-without-reward-functions" TargetMode="External"/><Relationship Id="rId2097" Type="http://schemas.openxmlformats.org/officeDocument/2006/relationships/hyperlink" Target="https://papers.nips.cc/paper/2020/file/2bba9f4124283edd644799e0cecd45ca-Paper.pdf" TargetMode="External"/><Relationship Id="rId2098" Type="http://schemas.openxmlformats.org/officeDocument/2006/relationships/hyperlink" Target="https://mailchi.mp/395179bd3c3d/an-132complex-and-subtly-incorrect-arguments-as-an-obstacle-to-debate" TargetMode="External"/><Relationship Id="rId2099" Type="http://schemas.openxmlformats.org/officeDocument/2006/relationships/hyperlink" Target="https://arxiv.org/abs/2009.09266" TargetMode="External"/><Relationship Id="rId3391" Type="http://schemas.openxmlformats.org/officeDocument/2006/relationships/hyperlink" Target="https://bair.berkeley.edu/blog/2020/04/27/ingredients/" TargetMode="External"/><Relationship Id="rId2060" Type="http://schemas.openxmlformats.org/officeDocument/2006/relationships/hyperlink" Target="http://arxiv.org/abs/2003.06066" TargetMode="External"/><Relationship Id="rId3390" Type="http://schemas.openxmlformats.org/officeDocument/2006/relationships/hyperlink" Target="https://mailchi.mp/4f7ffc5cbe53/an-99-doubling-times-for-the-efficiency-of-ai-algorithms" TargetMode="External"/><Relationship Id="rId2061" Type="http://schemas.openxmlformats.org/officeDocument/2006/relationships/hyperlink" Target="https://mailchi.mp/0f80d83f9c44/an-94ai-alignment-as-translation-between-humans-and-machines" TargetMode="External"/><Relationship Id="rId3393" Type="http://schemas.openxmlformats.org/officeDocument/2006/relationships/hyperlink" Target="https://openreview.net/forum?id=rJe2syrtvS&amp;noteId=rJe2syrtvS" TargetMode="External"/><Relationship Id="rId2062" Type="http://schemas.openxmlformats.org/officeDocument/2006/relationships/hyperlink" Target="https://www.alignmentforum.org/posts/Bxxh9GbJ6WuW5Hmkj/what-s-the-dream-for-giving-natural-language-commands-to-ai" TargetMode="External"/><Relationship Id="rId3392" Type="http://schemas.openxmlformats.org/officeDocument/2006/relationships/hyperlink" Target="https://mailchi.mp/2fbece2a4915/an-98understanding-neural-net-training-by-seeing-which-gradients-were-helpful" TargetMode="External"/><Relationship Id="rId2063" Type="http://schemas.openxmlformats.org/officeDocument/2006/relationships/hyperlink" Target="https://mailchi.mp/8d9e3703fbde/an-79-recursive-reward-modeling-as-an-alignment-technique-integrated-with-deep-rl" TargetMode="External"/><Relationship Id="rId3395" Type="http://schemas.openxmlformats.org/officeDocument/2006/relationships/hyperlink" Target="https://mailchi.mp/8a9d080d5ce3/an-95-a-framework-for-thinking-about-how-to-make-ai-go-well" TargetMode="External"/><Relationship Id="rId2064" Type="http://schemas.openxmlformats.org/officeDocument/2006/relationships/hyperlink" Target="https://www.alignmentforum.org/posts/hcrFxeYYfbFrkKQEJ/full-toy-model-for-preference-learning" TargetMode="External"/><Relationship Id="rId3394" Type="http://schemas.openxmlformats.org/officeDocument/2006/relationships/hyperlink" Target="https://ai.googleblog.com/2020/03/massively-scaling-reinforcement.html" TargetMode="External"/><Relationship Id="rId2065" Type="http://schemas.openxmlformats.org/officeDocument/2006/relationships/hyperlink" Target="https://mailchi.mp/ef55eb52b0fd/an-73-detecting-catastrophic-failures-by-learning-how-agents-tend-to-break" TargetMode="External"/><Relationship Id="rId3397" Type="http://schemas.openxmlformats.org/officeDocument/2006/relationships/hyperlink" Target="https://bair.berkeley.edu/blog/2020/04/03/laikago/" TargetMode="External"/><Relationship Id="rId2066" Type="http://schemas.openxmlformats.org/officeDocument/2006/relationships/hyperlink" Target="https://arxiv.org/abs/1908.01007" TargetMode="External"/><Relationship Id="rId3396" Type="http://schemas.openxmlformats.org/officeDocument/2006/relationships/hyperlink" Target="https://arxiv.org/abs/1910.06591" TargetMode="External"/><Relationship Id="rId2067" Type="http://schemas.openxmlformats.org/officeDocument/2006/relationships/hyperlink" Target="https://mailchi.mp/cac125522aa3/an-72-alignment-robustness-methodology-and-system-building-as-research-priorities-for-ai-safety" TargetMode="External"/><Relationship Id="rId3399" Type="http://schemas.openxmlformats.org/officeDocument/2006/relationships/hyperlink" Target="https://arxiv.org/abs/2004.00784" TargetMode="External"/><Relationship Id="rId2068" Type="http://schemas.openxmlformats.org/officeDocument/2006/relationships/hyperlink" Target="https://www.alignmentforum.org/posts/PADPJ3xac5ogjEGwA/defeating-goodhart-and-the-closest-unblocked-strategy" TargetMode="External"/><Relationship Id="rId3398" Type="http://schemas.openxmlformats.org/officeDocument/2006/relationships/hyperlink" Target="https://mailchi.mp/0f80d83f9c44/an-94ai-alignment-as-translation-between-humans-and-machines" TargetMode="External"/><Relationship Id="rId2069" Type="http://schemas.openxmlformats.org/officeDocument/2006/relationships/hyperlink" Target="https://mailchi.mp/534f448d6c8b/alignment-newsletter-53" TargetMode="External"/><Relationship Id="rId3380" Type="http://schemas.openxmlformats.org/officeDocument/2006/relationships/hyperlink" Target="https://mailchi.mp/e402599bfb1f/reconnaissance-4" TargetMode="External"/><Relationship Id="rId2050" Type="http://schemas.openxmlformats.org/officeDocument/2006/relationships/hyperlink" Target="https://mailchi.mp/7ad36e25be22/alignment-newsletter-11" TargetMode="External"/><Relationship Id="rId3382" Type="http://schemas.openxmlformats.org/officeDocument/2006/relationships/hyperlink" Target="https://mailchi.mp/e402599bfb1f/reconnaissance-4" TargetMode="External"/><Relationship Id="rId2051" Type="http://schemas.openxmlformats.org/officeDocument/2006/relationships/hyperlink" Target="http://arxiv.org/abs/1905.09335" TargetMode="External"/><Relationship Id="rId3381" Type="http://schemas.openxmlformats.org/officeDocument/2006/relationships/hyperlink" Target="https://deepmind.com/blog/learning-playing/" TargetMode="External"/><Relationship Id="rId2052" Type="http://schemas.openxmlformats.org/officeDocument/2006/relationships/hyperlink" Target="https://mailchi.mp/df363224d0e4/an-107-the-convergent-instrumental-subgoals-of-goal-directed-agents" TargetMode="External"/><Relationship Id="rId3384" Type="http://schemas.openxmlformats.org/officeDocument/2006/relationships/hyperlink" Target="http://arxiv.org/abs/2004.04136" TargetMode="External"/><Relationship Id="rId2053" Type="http://schemas.openxmlformats.org/officeDocument/2006/relationships/hyperlink" Target="http://arxiv.org/abs/1910.04417" TargetMode="External"/><Relationship Id="rId3383" Type="http://schemas.openxmlformats.org/officeDocument/2006/relationships/hyperlink" Target="https://arxiv.org/abs/1904.08129" TargetMode="External"/><Relationship Id="rId2054" Type="http://schemas.openxmlformats.org/officeDocument/2006/relationships/hyperlink" Target="https://mailchi.mp/e4e430660ded/an-101-why-we-should-rigorously-measure-and-forecast-ai-progress" TargetMode="External"/><Relationship Id="rId3386" Type="http://schemas.openxmlformats.org/officeDocument/2006/relationships/hyperlink" Target="https://arxiv.org/abs/2004.14990" TargetMode="External"/><Relationship Id="rId2055" Type="http://schemas.openxmlformats.org/officeDocument/2006/relationships/hyperlink" Target="https://arxiv.org/abs/1805.08882" TargetMode="External"/><Relationship Id="rId3385" Type="http://schemas.openxmlformats.org/officeDocument/2006/relationships/hyperlink" Target="https://mailchi.mp/4f7ffc5cbe53/an-99-doubling-times-for-the-efficiency-of-ai-algorithms" TargetMode="External"/><Relationship Id="rId2056" Type="http://schemas.openxmlformats.org/officeDocument/2006/relationships/hyperlink" Target="http://arxiv.org/abs/1805.12573" TargetMode="External"/><Relationship Id="rId3388" Type="http://schemas.openxmlformats.org/officeDocument/2006/relationships/hyperlink" Target="https://mishalaskin.github.io/rad/" TargetMode="External"/><Relationship Id="rId2057" Type="http://schemas.openxmlformats.org/officeDocument/2006/relationships/hyperlink" Target="http://www.cs.toronto.edu/~cebly/Papers/foundations.pdf" TargetMode="External"/><Relationship Id="rId3387" Type="http://schemas.openxmlformats.org/officeDocument/2006/relationships/hyperlink" Target="https://mailchi.mp/4f7ffc5cbe53/an-99-doubling-times-for-the-efficiency-of-ai-algorithms" TargetMode="External"/><Relationship Id="rId2058" Type="http://schemas.openxmlformats.org/officeDocument/2006/relationships/hyperlink" Target="https://arxiv.org/abs/1205.2619" TargetMode="External"/><Relationship Id="rId2059" Type="http://schemas.openxmlformats.org/officeDocument/2006/relationships/hyperlink" Target="http://www.cs.toronto.edu/~cebly/Papers/ReganBoutilier_onlineMDP_ijcai11.pdf" TargetMode="External"/><Relationship Id="rId3389" Type="http://schemas.openxmlformats.org/officeDocument/2006/relationships/hyperlink" Target="https://arxiv.org/abs/2004.13649" TargetMode="External"/><Relationship Id="rId2080" Type="http://schemas.openxmlformats.org/officeDocument/2006/relationships/hyperlink" Target="http://arxiv.org/abs/1901.02161" TargetMode="External"/><Relationship Id="rId2081" Type="http://schemas.openxmlformats.org/officeDocument/2006/relationships/hyperlink" Target="https://mailchi.mp/f6488137d76c/alignment-newsletter-42" TargetMode="External"/><Relationship Id="rId2082" Type="http://schemas.openxmlformats.org/officeDocument/2006/relationships/hyperlink" Target="https://arxiv.org/abs/1811.08549" TargetMode="External"/><Relationship Id="rId2083" Type="http://schemas.openxmlformats.org/officeDocument/2006/relationships/hyperlink" Target="https://mailchi.mp/6751e45fbb48/alignment-newsletter-36" TargetMode="External"/><Relationship Id="rId2084" Type="http://schemas.openxmlformats.org/officeDocument/2006/relationships/hyperlink" Target="https://www.lesswrong.com/posts/mSPsyEwaymS74unND/acknowledging-human-preference-types-to-support-value" TargetMode="External"/><Relationship Id="rId2085" Type="http://schemas.openxmlformats.org/officeDocument/2006/relationships/hyperlink" Target="https://mailchi.mp/b6dc636f6a1b/alignment-newsletter-33" TargetMode="External"/><Relationship Id="rId2086" Type="http://schemas.openxmlformats.org/officeDocument/2006/relationships/hyperlink" Target="http://arxiv.org/abs/1810.11545" TargetMode="External"/><Relationship Id="rId2087" Type="http://schemas.openxmlformats.org/officeDocument/2006/relationships/hyperlink" Target="https://mailchi.mp/7d0e3916e3d9/alignment-newsletter-31" TargetMode="External"/><Relationship Id="rId2088" Type="http://schemas.openxmlformats.org/officeDocument/2006/relationships/hyperlink" Target="http://arxiv.org/abs/1810.10593" TargetMode="External"/><Relationship Id="rId2089" Type="http://schemas.openxmlformats.org/officeDocument/2006/relationships/hyperlink" Target="https://mailchi.mp/7d0e3916e3d9/alignment-newsletter-31" TargetMode="External"/><Relationship Id="rId2070" Type="http://schemas.openxmlformats.org/officeDocument/2006/relationships/hyperlink" Target="http://arxiv.org/abs/1902.06766" TargetMode="External"/><Relationship Id="rId2071" Type="http://schemas.openxmlformats.org/officeDocument/2006/relationships/hyperlink" Target="https://mailchi.mp/534f448d6c8b/alignment-newsletter-53" TargetMode="External"/><Relationship Id="rId2072" Type="http://schemas.openxmlformats.org/officeDocument/2006/relationships/hyperlink" Target="http://arxiv.org/abs/1902.07742" TargetMode="External"/><Relationship Id="rId2073" Type="http://schemas.openxmlformats.org/officeDocument/2006/relationships/hyperlink" Target="https://mailchi.mp/a90a547f06f2/alignment-newsletter-51" TargetMode="External"/><Relationship Id="rId2074" Type="http://schemas.openxmlformats.org/officeDocument/2006/relationships/hyperlink" Target="https://arxiv.org/abs/1903.02020" TargetMode="External"/><Relationship Id="rId2075" Type="http://schemas.openxmlformats.org/officeDocument/2006/relationships/hyperlink" Target="https://mailchi.mp/a90a547f06f2/alignment-newsletter-51" TargetMode="External"/><Relationship Id="rId2076" Type="http://schemas.openxmlformats.org/officeDocument/2006/relationships/hyperlink" Target="http://arxiv.org/abs/1903.01267" TargetMode="External"/><Relationship Id="rId2077" Type="http://schemas.openxmlformats.org/officeDocument/2006/relationships/hyperlink" Target="https://mailchi.mp/efed27be268a/alignment-newsletter-49" TargetMode="External"/><Relationship Id="rId2078" Type="http://schemas.openxmlformats.org/officeDocument/2006/relationships/hyperlink" Target="http://arxiv.org/abs/1901.05101" TargetMode="External"/><Relationship Id="rId2079" Type="http://schemas.openxmlformats.org/officeDocument/2006/relationships/hyperlink" Target="https://mailchi.mp/768a8130013f/alignment-newsletter-43" TargetMode="External"/><Relationship Id="rId2940" Type="http://schemas.openxmlformats.org/officeDocument/2006/relationships/hyperlink" Target="https://www.lesswrong.com/events/z9peEBfuiPB7L2Edb/learning-by-doing-ai-safety-workshop" TargetMode="External"/><Relationship Id="rId1610" Type="http://schemas.openxmlformats.org/officeDocument/2006/relationships/hyperlink" Target="https://www.alignmentforum.org/posts/dJSD5RK6Qoidb3QY5/synthesizing-amplification-and-debate" TargetMode="External"/><Relationship Id="rId2941" Type="http://schemas.openxmlformats.org/officeDocument/2006/relationships/hyperlink" Target="https://mailchi.mp/392d2043e782/an-57why-we-should-focus-on-robustness-in-ai-safety-and-the-analogous-problems-in-programming" TargetMode="External"/><Relationship Id="rId1611" Type="http://schemas.openxmlformats.org/officeDocument/2006/relationships/hyperlink" Target="https://mailchi.mp/598f425b1533/an-86-improving-debate-and-factored-cognition-through-human-experiments" TargetMode="External"/><Relationship Id="rId2942" Type="http://schemas.openxmlformats.org/officeDocument/2006/relationships/hyperlink" Target="https://research.fb.com/facebook-open-sources-elf-opengo/" TargetMode="External"/><Relationship Id="rId1612" Type="http://schemas.openxmlformats.org/officeDocument/2006/relationships/hyperlink" Target="https://medium.com/@RyanCarey/new-paper-when-is-truth-telling-favored-in-ai-debate-8f58f14562e5" TargetMode="External"/><Relationship Id="rId2943" Type="http://schemas.openxmlformats.org/officeDocument/2006/relationships/hyperlink" Target="https://mailchi.mp/0ae5d69de63b/alignment-newsletter-5" TargetMode="External"/><Relationship Id="rId1613" Type="http://schemas.openxmlformats.org/officeDocument/2006/relationships/hyperlink" Target="https://mailchi.mp/ff565f097630/an-83-sample-efficient-deep-learning-with-remixmatch" TargetMode="External"/><Relationship Id="rId2944" Type="http://schemas.openxmlformats.org/officeDocument/2006/relationships/hyperlink" Target="https://mailchi.mp/0ae5d69de63b/alignment-newsletter-5" TargetMode="External"/><Relationship Id="rId1614" Type="http://schemas.openxmlformats.org/officeDocument/2006/relationships/hyperlink" Target="https://arxiv.org/abs/1911.04266" TargetMode="External"/><Relationship Id="rId2945" Type="http://schemas.openxmlformats.org/officeDocument/2006/relationships/hyperlink" Target="https://news.stanford.edu/2019/03/18/stanford_university_launches_human-centered_ai/" TargetMode="External"/><Relationship Id="rId1615" Type="http://schemas.openxmlformats.org/officeDocument/2006/relationships/hyperlink" Target="https://arxiv.org/abs/1909.05863" TargetMode="External"/><Relationship Id="rId2946" Type="http://schemas.openxmlformats.org/officeDocument/2006/relationships/hyperlink" Target="https://mailchi.mp/cfec6a0f6e73/alignment-newsletter-29" TargetMode="External"/><Relationship Id="rId1616" Type="http://schemas.openxmlformats.org/officeDocument/2006/relationships/hyperlink" Target="https://mailchi.mp/c8ea4a5e842f/an-66-decomposing-robustness-into-capability-robustness-and-alignment-robustness" TargetMode="External"/><Relationship Id="rId2947" Type="http://schemas.openxmlformats.org/officeDocument/2006/relationships/hyperlink" Target="https://www.nytimes.com/2018/03/07/opinion/artificial-intelligence-human.html" TargetMode="External"/><Relationship Id="rId907" Type="http://schemas.openxmlformats.org/officeDocument/2006/relationships/hyperlink" Target="https://mailchi.mp/469203093ca3/alignment-newsletter-22" TargetMode="External"/><Relationship Id="rId1617" Type="http://schemas.openxmlformats.org/officeDocument/2006/relationships/hyperlink" Target="https://www.lesswrong.com/posts/cYduioQNeHALQAMre/what-are-the-differences-between-all-the-iterative-recursive" TargetMode="External"/><Relationship Id="rId2948" Type="http://schemas.openxmlformats.org/officeDocument/2006/relationships/hyperlink" Target="https://slideslive.com/humanlevel-ai-2018" TargetMode="External"/><Relationship Id="rId906" Type="http://schemas.openxmlformats.org/officeDocument/2006/relationships/hyperlink" Target="http://arxiv.org/abs/1808.08946" TargetMode="External"/><Relationship Id="rId1618" Type="http://schemas.openxmlformats.org/officeDocument/2006/relationships/hyperlink" Target="https://mailchi.mp/c8ea4a5e842f/an-66-decomposing-robustness-into-capability-robustness-and-alignment-robustness" TargetMode="External"/><Relationship Id="rId2949" Type="http://schemas.openxmlformats.org/officeDocument/2006/relationships/hyperlink" Target="https://mailchi.mp/0c5eeec28f75/alignment-newsletter-25" TargetMode="External"/><Relationship Id="rId905" Type="http://schemas.openxmlformats.org/officeDocument/2006/relationships/hyperlink" Target="https://mailchi.mp/469203093ca3/alignment-newsletter-22" TargetMode="External"/><Relationship Id="rId1619" Type="http://schemas.openxmlformats.org/officeDocument/2006/relationships/hyperlink" Target="https://www.alignmentforum.org/posts/BKM8uQS6QdJPZLqCr/towards-a-mechanistic-understanding-of-corrigibility" TargetMode="External"/><Relationship Id="rId904" Type="http://schemas.openxmlformats.org/officeDocument/2006/relationships/hyperlink" Target="http://arxiv.org/abs/1808.07804" TargetMode="External"/><Relationship Id="rId909" Type="http://schemas.openxmlformats.org/officeDocument/2006/relationships/hyperlink" Target="https://mailchi.mp/5ad3a9643b6b/alignment-newsletter-21" TargetMode="External"/><Relationship Id="rId908" Type="http://schemas.openxmlformats.org/officeDocument/2006/relationships/hyperlink" Target="http://arxiv.org/abs/1808.04730" TargetMode="External"/><Relationship Id="rId903" Type="http://schemas.openxmlformats.org/officeDocument/2006/relationships/hyperlink" Target="https://mailchi.mp/d7b5059d64ed/alignment-newsletter-24" TargetMode="External"/><Relationship Id="rId902" Type="http://schemas.openxmlformats.org/officeDocument/2006/relationships/hyperlink" Target="http://arxiv.org/abs/1809.02840" TargetMode="External"/><Relationship Id="rId901" Type="http://schemas.openxmlformats.org/officeDocument/2006/relationships/hyperlink" Target="https://mailchi.mp/cfec6a0f6e73/alignment-newsletter-29" TargetMode="External"/><Relationship Id="rId900" Type="http://schemas.openxmlformats.org/officeDocument/2006/relationships/hyperlink" Target="https://arxiv.org/abs/1810.06758" TargetMode="External"/><Relationship Id="rId2930" Type="http://schemas.openxmlformats.org/officeDocument/2006/relationships/hyperlink" Target="https://www.guidedtrack.com/programs/n8cydtu/run" TargetMode="External"/><Relationship Id="rId1600" Type="http://schemas.openxmlformats.org/officeDocument/2006/relationships/hyperlink" Target="https://www.alignmentforum.org/posts/farherQcqFQXqRcvv/universality-unwrapped" TargetMode="External"/><Relationship Id="rId2931" Type="http://schemas.openxmlformats.org/officeDocument/2006/relationships/hyperlink" Target="https://mailchi.mp/ca80338dad5a/an-136how-well-will-gpt-n-perform-on-downstream-tasks" TargetMode="External"/><Relationship Id="rId1601" Type="http://schemas.openxmlformats.org/officeDocument/2006/relationships/hyperlink" Target="https://www.alignmentforum.org/posts/m7oGxvouzzeQKiGJH/how-should-ai-debate-be-judged" TargetMode="External"/><Relationship Id="rId2932" Type="http://schemas.openxmlformats.org/officeDocument/2006/relationships/hyperlink" Target="https://fmie2021.github.io/" TargetMode="External"/><Relationship Id="rId1602" Type="http://schemas.openxmlformats.org/officeDocument/2006/relationships/hyperlink" Target="https://mailchi.mp/ee62c1c9e331/an-109teaching-neural-nets-to-generalize-the-way-humans-would" TargetMode="External"/><Relationship Id="rId2933" Type="http://schemas.openxmlformats.org/officeDocument/2006/relationships/hyperlink" Target="https://mailchi.mp/073921bbc4b8/an-130-a-new-ai-x-risk-podcast-and-reviews-of-the-field" TargetMode="External"/><Relationship Id="rId1603" Type="http://schemas.openxmlformats.org/officeDocument/2006/relationships/hyperlink" Target="https://ai-alignment.com/an-unaligned-benchmark-b49ad992940b" TargetMode="External"/><Relationship Id="rId2934" Type="http://schemas.openxmlformats.org/officeDocument/2006/relationships/hyperlink" Target="https://longtermrisk.org/intro-seminar/" TargetMode="External"/><Relationship Id="rId1604" Type="http://schemas.openxmlformats.org/officeDocument/2006/relationships/hyperlink" Target="https://mailchi.mp/33af21f908b5/reconnaissance-5" TargetMode="External"/><Relationship Id="rId2935" Type="http://schemas.openxmlformats.org/officeDocument/2006/relationships/hyperlink" Target="https://mailchi.mp/bc9b18b1f0be/an-129explaining-double-descent-by-measuring-bias-and-variance" TargetMode="External"/><Relationship Id="rId1605" Type="http://schemas.openxmlformats.org/officeDocument/2006/relationships/hyperlink" Target="https://ai-alignment.com/aligned-search-366f983742e9" TargetMode="External"/><Relationship Id="rId2936" Type="http://schemas.openxmlformats.org/officeDocument/2006/relationships/hyperlink" Target="https://www.convergenceanalysis.org/get-involved/" TargetMode="External"/><Relationship Id="rId1606" Type="http://schemas.openxmlformats.org/officeDocument/2006/relationships/hyperlink" Target="https://www.alignmentforum.org/posts/ajQzejMYizfX4dMWK/how-does-iterated-amplification-exceed-human-abilities" TargetMode="External"/><Relationship Id="rId2937" Type="http://schemas.openxmlformats.org/officeDocument/2006/relationships/hyperlink" Target="https://mailchi.mp/ef55eb52b0fd/an-73-detecting-catastrophic-failures-by-learning-how-agents-tend-to-break" TargetMode="External"/><Relationship Id="rId1607" Type="http://schemas.openxmlformats.org/officeDocument/2006/relationships/hyperlink" Target="https://mailchi.mp/2fbece2a4915/an-98understanding-neural-net-training-by-seeing-which-gradients-were-helpful" TargetMode="External"/><Relationship Id="rId2938" Type="http://schemas.openxmlformats.org/officeDocument/2006/relationships/hyperlink" Target="https://medium.com/@andrewng/self-driving-cars-are-here-aea1752b1ad0" TargetMode="External"/><Relationship Id="rId1608" Type="http://schemas.openxmlformats.org/officeDocument/2006/relationships/hyperlink" Target="https://arxiv.org/abs/2002.09758" TargetMode="External"/><Relationship Id="rId2939" Type="http://schemas.openxmlformats.org/officeDocument/2006/relationships/hyperlink" Target="https://mailchi.mp/d11bfd2ca5eb/alignment-newsletter-6" TargetMode="External"/><Relationship Id="rId1609" Type="http://schemas.openxmlformats.org/officeDocument/2006/relationships/hyperlink" Target="https://mailchi.mp/8a9d080d5ce3/an-95-a-framework-for-thinking-about-how-to-make-ai-go-well" TargetMode="External"/><Relationship Id="rId1631" Type="http://schemas.openxmlformats.org/officeDocument/2006/relationships/hyperlink" Target="https://mailchi.mp/14782876a85d/alignment-newsletter-2" TargetMode="External"/><Relationship Id="rId2962" Type="http://schemas.openxmlformats.org/officeDocument/2006/relationships/hyperlink" Target="http://humanaligned.ai/" TargetMode="External"/><Relationship Id="rId1632" Type="http://schemas.openxmlformats.org/officeDocument/2006/relationships/hyperlink" Target="https://www.lesswrong.com/posts/T5ZyNq3fzN59aQG5y/the-limits-of-corrigibility" TargetMode="External"/><Relationship Id="rId2963" Type="http://schemas.openxmlformats.org/officeDocument/2006/relationships/hyperlink" Target="https://mailchi.mp/7ad36e25be22/alignment-newsletter-11" TargetMode="External"/><Relationship Id="rId1633" Type="http://schemas.openxmlformats.org/officeDocument/2006/relationships/hyperlink" Target="https://mailchi.mp/14782876a85d/alignment-newsletter-2" TargetMode="External"/><Relationship Id="rId2964" Type="http://schemas.openxmlformats.org/officeDocument/2006/relationships/hyperlink" Target="https://aisafetycamp.com/2018/06/06/the-first-ai-safety-camp-onwards/" TargetMode="External"/><Relationship Id="rId1634" Type="http://schemas.openxmlformats.org/officeDocument/2006/relationships/hyperlink" Target="https://www.lesswrong.com/posts/ZyyMPXY27TTxKsR5X/problems-with-amplification-distillation" TargetMode="External"/><Relationship Id="rId2965" Type="http://schemas.openxmlformats.org/officeDocument/2006/relationships/hyperlink" Target="https://mailchi.mp/d1a19c140226/alignment-newsletter-10" TargetMode="External"/><Relationship Id="rId1635" Type="http://schemas.openxmlformats.org/officeDocument/2006/relationships/hyperlink" Target="https://www.lesswrong.com/posts/yXFKh2jGysQNfX2NM/a-comment-on-the-ida-alphagozero-metaphor-capabilities" TargetMode="External"/><Relationship Id="rId2966" Type="http://schemas.openxmlformats.org/officeDocument/2006/relationships/hyperlink" Target="http://existence.org/project-grants-1/" TargetMode="External"/><Relationship Id="rId1636" Type="http://schemas.openxmlformats.org/officeDocument/2006/relationships/hyperlink" Target="https://mailchi.mp/4920e52dd61b/alignment-newsletter-15" TargetMode="External"/><Relationship Id="rId2967" Type="http://schemas.openxmlformats.org/officeDocument/2006/relationships/hyperlink" Target="https://mailchi.mp/d1a19c140226/alignment-newsletter-10" TargetMode="External"/><Relationship Id="rId1637" Type="http://schemas.openxmlformats.org/officeDocument/2006/relationships/hyperlink" Target="https://ai-alignment.com/alphago-zero-and-capability-amplification-ede767bb8446" TargetMode="External"/><Relationship Id="rId2968" Type="http://schemas.openxmlformats.org/officeDocument/2006/relationships/hyperlink" Target="https://www.economist.com/open-future/2018/04/16/our-essay-competitions-for-young-people" TargetMode="External"/><Relationship Id="rId1638" Type="http://schemas.openxmlformats.org/officeDocument/2006/relationships/hyperlink" Target="https://towardsdatascience.com/making-ai-safe-through-debate-935fe8a0ec5" TargetMode="External"/><Relationship Id="rId2969" Type="http://schemas.openxmlformats.org/officeDocument/2006/relationships/hyperlink" Target="https://mailchi.mp/d1a19c140226/alignment-newsletter-10" TargetMode="External"/><Relationship Id="rId929" Type="http://schemas.openxmlformats.org/officeDocument/2006/relationships/hyperlink" Target="http://arxiv.org/abs/1807.04950" TargetMode="External"/><Relationship Id="rId1639" Type="http://schemas.openxmlformats.org/officeDocument/2006/relationships/hyperlink" Target="https://mailchi.mp/2d838dcbd3b0/an-146plausible-stories-of-how-we-might-fail-to-avert-an-existential-catastrophe" TargetMode="External"/><Relationship Id="rId928" Type="http://schemas.openxmlformats.org/officeDocument/2006/relationships/hyperlink" Target="https://mailchi.mp/ad852629e45a/alignment-newsletter-17" TargetMode="External"/><Relationship Id="rId927" Type="http://schemas.openxmlformats.org/officeDocument/2006/relationships/hyperlink" Target="https://arxiv.org/abs/1807.06906" TargetMode="External"/><Relationship Id="rId926" Type="http://schemas.openxmlformats.org/officeDocument/2006/relationships/hyperlink" Target="https://mailchi.mp/6a288a3cd011/an-170analyzing-the-argument-for-risk-from-power-seeking-ai" TargetMode="External"/><Relationship Id="rId921" Type="http://schemas.openxmlformats.org/officeDocument/2006/relationships/hyperlink" Target="https://mailchi.mp/4b19d2caa5a9/alignment-newsletter-19" TargetMode="External"/><Relationship Id="rId920" Type="http://schemas.openxmlformats.org/officeDocument/2006/relationships/hyperlink" Target="https://arxiv.org/abs/1808.00508" TargetMode="External"/><Relationship Id="rId925" Type="http://schemas.openxmlformats.org/officeDocument/2006/relationships/hyperlink" Target="https://arxiv.org/abs/2110.10819" TargetMode="External"/><Relationship Id="rId924" Type="http://schemas.openxmlformats.org/officeDocument/2006/relationships/hyperlink" Target="https://arxiv.org/abs/2112.04426" TargetMode="External"/><Relationship Id="rId923" Type="http://schemas.openxmlformats.org/officeDocument/2006/relationships/hyperlink" Target="https://mailchi.mp/51717855ea27/alignment-newsletter-18" TargetMode="External"/><Relationship Id="rId922" Type="http://schemas.openxmlformats.org/officeDocument/2006/relationships/hyperlink" Target="http://arxiv.org/abs/1807.10875" TargetMode="External"/><Relationship Id="rId2960" Type="http://schemas.openxmlformats.org/officeDocument/2006/relationships/hyperlink" Target="http://effective-altruism.com/ea/1px/announcing_the_second_ai_safety_camp/" TargetMode="External"/><Relationship Id="rId1630" Type="http://schemas.openxmlformats.org/officeDocument/2006/relationships/hyperlink" Target="https://www.lesswrong.com/posts/o22kP33tumooBtia3/can-corrigibility-be-learned-safely" TargetMode="External"/><Relationship Id="rId2961" Type="http://schemas.openxmlformats.org/officeDocument/2006/relationships/hyperlink" Target="https://mailchi.mp/7ad36e25be22/alignment-newsletter-11" TargetMode="External"/><Relationship Id="rId1620" Type="http://schemas.openxmlformats.org/officeDocument/2006/relationships/hyperlink" Target="https://mailchi.mp/533c646a4b21/an-63how-architecture-search-meta-learning-and-environment-design-could-lead-to-general-intelligence" TargetMode="External"/><Relationship Id="rId2951" Type="http://schemas.openxmlformats.org/officeDocument/2006/relationships/hyperlink" Target="https://mailchi.mp/469203093ca3/alignment-newsletter-22" TargetMode="External"/><Relationship Id="rId1621" Type="http://schemas.openxmlformats.org/officeDocument/2006/relationships/hyperlink" Target="https://ought.org/presentations/delegating-cognitive-work-2019-06" TargetMode="External"/><Relationship Id="rId2952" Type="http://schemas.openxmlformats.org/officeDocument/2006/relationships/hyperlink" Target="https://www.lesswrong.com/posts/bXLi3n2jrfqRwoSTH/human-aligned-ai-summer-school-a-summary" TargetMode="External"/><Relationship Id="rId1622" Type="http://schemas.openxmlformats.org/officeDocument/2006/relationships/hyperlink" Target="https://mailchi.mp/4a1b3c4249ae/an-62are-adversarial-examples-caused-by-real-but-imperceptible-features" TargetMode="External"/><Relationship Id="rId2953" Type="http://schemas.openxmlformats.org/officeDocument/2006/relationships/hyperlink" Target="https://mailchi.mp/4b19d2caa5a9/alignment-newsletter-19" TargetMode="External"/><Relationship Id="rId1623" Type="http://schemas.openxmlformats.org/officeDocument/2006/relationships/hyperlink" Target="https://www.alignmentforum.org/posts/4JuKoFguzuMrNn6Qr/hch-is-not-just-mechanical-turk" TargetMode="External"/><Relationship Id="rId2954" Type="http://schemas.openxmlformats.org/officeDocument/2006/relationships/hyperlink" Target="https://fatconference.org/" TargetMode="External"/><Relationship Id="rId1624" Type="http://schemas.openxmlformats.org/officeDocument/2006/relationships/hyperlink" Target="https://mailchi.mp/35b451cb4d70/alignment-newsletter-45" TargetMode="External"/><Relationship Id="rId2955" Type="http://schemas.openxmlformats.org/officeDocument/2006/relationships/hyperlink" Target="https://mailchi.mp/4920e52dd61b/alignment-newsletter-15" TargetMode="External"/><Relationship Id="rId1625" Type="http://schemas.openxmlformats.org/officeDocument/2006/relationships/hyperlink" Target="https://www.alignmentforum.org/posts/h3Fp3Erddwnm5uthZ/disagreement-with-paul-alignment-induction" TargetMode="External"/><Relationship Id="rId2956" Type="http://schemas.openxmlformats.org/officeDocument/2006/relationships/hyperlink" Target="http://aisafety.camp/2018/07/11/were-looking-for-full-time-content-developers/" TargetMode="External"/><Relationship Id="rId1626" Type="http://schemas.openxmlformats.org/officeDocument/2006/relationships/hyperlink" Target="https://mailchi.mp/d7b5059d64ed/alignment-newsletter-24" TargetMode="External"/><Relationship Id="rId2957" Type="http://schemas.openxmlformats.org/officeDocument/2006/relationships/hyperlink" Target="https://mailchi.mp/4920e52dd61b/alignment-newsletter-15" TargetMode="External"/><Relationship Id="rId1627" Type="http://schemas.openxmlformats.org/officeDocument/2006/relationships/hyperlink" Target="https://ai-alignment.com/two-guarantees-c4c03a6b434f" TargetMode="External"/><Relationship Id="rId2958" Type="http://schemas.openxmlformats.org/officeDocument/2006/relationships/hyperlink" Target="http://aisafety.camp/2018/06/28/status-report-april-june-2018/" TargetMode="External"/><Relationship Id="rId918" Type="http://schemas.openxmlformats.org/officeDocument/2006/relationships/hyperlink" Target="https://ai.googleblog.com/2018/08/mnasnet-towards-automating-design-of.html" TargetMode="External"/><Relationship Id="rId1628" Type="http://schemas.openxmlformats.org/officeDocument/2006/relationships/hyperlink" Target="https://mailchi.mp/14782876a85d/alignment-newsletter-2" TargetMode="External"/><Relationship Id="rId2959" Type="http://schemas.openxmlformats.org/officeDocument/2006/relationships/hyperlink" Target="https://mailchi.mp/8234356e4b7f/alignment-newsletter-13" TargetMode="External"/><Relationship Id="rId917" Type="http://schemas.openxmlformats.org/officeDocument/2006/relationships/hyperlink" Target="https://mailchi.mp/4b19d2caa5a9/alignment-newsletter-19" TargetMode="External"/><Relationship Id="rId1629" Type="http://schemas.openxmlformats.org/officeDocument/2006/relationships/hyperlink" Target="https://ai-alignment.com/techniques-for-optimizing-worst-case-performance-39eafec74b99" TargetMode="External"/><Relationship Id="rId916" Type="http://schemas.openxmlformats.org/officeDocument/2006/relationships/hyperlink" Target="https://deepmind.com/blog/objects-that-sound/" TargetMode="External"/><Relationship Id="rId915" Type="http://schemas.openxmlformats.org/officeDocument/2006/relationships/hyperlink" Target="https://mailchi.mp/4b19d2caa5a9/alignment-newsletter-19" TargetMode="External"/><Relationship Id="rId919" Type="http://schemas.openxmlformats.org/officeDocument/2006/relationships/hyperlink" Target="https://mailchi.mp/4b19d2caa5a9/alignment-newsletter-19" TargetMode="External"/><Relationship Id="rId910" Type="http://schemas.openxmlformats.org/officeDocument/2006/relationships/hyperlink" Target="http://arxiv.org/abs/1808.05377" TargetMode="External"/><Relationship Id="rId914" Type="http://schemas.openxmlformats.org/officeDocument/2006/relationships/hyperlink" Target="http://bair.berkeley.edu/blog/2018/08/06/recurrent/" TargetMode="External"/><Relationship Id="rId913" Type="http://schemas.openxmlformats.org/officeDocument/2006/relationships/hyperlink" Target="https://mailchi.mp/14782876a85d/alignment-newsletter-2" TargetMode="External"/><Relationship Id="rId912" Type="http://schemas.openxmlformats.org/officeDocument/2006/relationships/hyperlink" Target="https://arxiv.org/abs/1801.10130" TargetMode="External"/><Relationship Id="rId911" Type="http://schemas.openxmlformats.org/officeDocument/2006/relationships/hyperlink" Target="https://mailchi.mp/5ad3a9643b6b/alignment-newsletter-21" TargetMode="External"/><Relationship Id="rId2950" Type="http://schemas.openxmlformats.org/officeDocument/2006/relationships/hyperlink" Target="https://www.lesswrong.com/posts/axsizR4vEX8qtuLpR/hlai-2018-field-report" TargetMode="External"/><Relationship Id="rId2900" Type="http://schemas.openxmlformats.org/officeDocument/2006/relationships/hyperlink" Target="https://www.alignmentforum.org/posts/y5fYPAyKjWePCsq3Y/project-proposal-considerations-for-trading-off-capabilities" TargetMode="External"/><Relationship Id="rId2901" Type="http://schemas.openxmlformats.org/officeDocument/2006/relationships/hyperlink" Target="https://mailchi.mp/4a1b3c4249ae/an-62are-adversarial-examples-caused-by-real-but-imperceptible-features" TargetMode="External"/><Relationship Id="rId2902" Type="http://schemas.openxmlformats.org/officeDocument/2006/relationships/hyperlink" Target="https://www.cser.ac.uk/about-us/careers/research-associate-paradigms-artificial-general-in/" TargetMode="External"/><Relationship Id="rId2903" Type="http://schemas.openxmlformats.org/officeDocument/2006/relationships/hyperlink" Target="https://mailchi.mp/2abdf19aa813/an-61ai-policy-and-governance-from-two-people-in-the-field" TargetMode="External"/><Relationship Id="rId2904" Type="http://schemas.openxmlformats.org/officeDocument/2006/relationships/hyperlink" Target="https://www.fhi.ox.ac.uk/project-coordinator/" TargetMode="External"/><Relationship Id="rId2905" Type="http://schemas.openxmlformats.org/officeDocument/2006/relationships/hyperlink" Target="https://mailchi.mp/b342d1a1bd06/an-59-how-arguments-for-ai-risk-have-changed-over-time" TargetMode="External"/><Relationship Id="rId2906" Type="http://schemas.openxmlformats.org/officeDocument/2006/relationships/hyperlink" Target="https://www.openphilanthropy.org/focus/global-catastrophic-risks/potential-risks-advanced-artificial-intelligence/open-phil-ai-fellowship-2019-class" TargetMode="External"/><Relationship Id="rId2907" Type="http://schemas.openxmlformats.org/officeDocument/2006/relationships/hyperlink" Target="https://mailchi.mp/392d2043e782/an-57why-we-should-focus-on-robustness-in-ai-safety-and-the-analogous-problems-in-programming" TargetMode="External"/><Relationship Id="rId2908" Type="http://schemas.openxmlformats.org/officeDocument/2006/relationships/hyperlink" Target="https://www.lesswrong.com/events/yuMuDGnJ8omGhMx9y/taisu-technical-ai-safety-unconference" TargetMode="External"/><Relationship Id="rId2909" Type="http://schemas.openxmlformats.org/officeDocument/2006/relationships/hyperlink" Target="https://mailchi.mp/392d2043e782/an-57why-we-should-focus-on-robustness-in-ai-safety-and-the-analogous-problems-in-programming" TargetMode="External"/><Relationship Id="rId2920" Type="http://schemas.openxmlformats.org/officeDocument/2006/relationships/hyperlink" Target="https://www.lesswrong.com/posts/vq6ztCgFczuH53f4Y/action-help-expand-funding-for-ai-safety-by-coordinating-on" TargetMode="External"/><Relationship Id="rId2921" Type="http://schemas.openxmlformats.org/officeDocument/2006/relationships/hyperlink" Target="https://mailchi.mp/083a96caafb4/an-171-disagreements-between-alignment-optimists-and-pessimists" TargetMode="External"/><Relationship Id="rId2922" Type="http://schemas.openxmlformats.org/officeDocument/2006/relationships/hyperlink" Target="https://existence.org/jobs/ml-engineer-seldonian" TargetMode="External"/><Relationship Id="rId2923" Type="http://schemas.openxmlformats.org/officeDocument/2006/relationships/hyperlink" Target="https://mailchi.mp/a08565612790/an-169collaborating-with-humans-without-human-data" TargetMode="External"/><Relationship Id="rId2924" Type="http://schemas.openxmlformats.org/officeDocument/2006/relationships/hyperlink" Target="https://perls-workshop.github.io/schedule.html" TargetMode="External"/><Relationship Id="rId2925" Type="http://schemas.openxmlformats.org/officeDocument/2006/relationships/hyperlink" Target="https://mailchi.mp/a08565612790/an-169collaborating-with-humans-without-human-data" TargetMode="External"/><Relationship Id="rId2926" Type="http://schemas.openxmlformats.org/officeDocument/2006/relationships/hyperlink" Target="https://forum.effectivealtruism.org/posts/dKgWZ8GMNkXfRwjqH/seeking-social-science-students-collaborators-interested-in" TargetMode="External"/><Relationship Id="rId2927" Type="http://schemas.openxmlformats.org/officeDocument/2006/relationships/hyperlink" Target="https://mailchi.mp/5fb91dfd758a/an-166-is-it-crazy-to-claim-were-in-the-most-important-century" TargetMode="External"/><Relationship Id="rId2928" Type="http://schemas.openxmlformats.org/officeDocument/2006/relationships/hyperlink" Target="https://www.oecd.ai/wonk/pandemic" TargetMode="External"/><Relationship Id="rId2929" Type="http://schemas.openxmlformats.org/officeDocument/2006/relationships/hyperlink" Target="https://mailchi.mp/7f4d6ceb2ac4/an-158-should-we-be-optimistic-about-generalization" TargetMode="External"/><Relationship Id="rId2910" Type="http://schemas.openxmlformats.org/officeDocument/2006/relationships/hyperlink" Target="https://safeai.webs.upv.es/" TargetMode="External"/><Relationship Id="rId2911" Type="http://schemas.openxmlformats.org/officeDocument/2006/relationships/hyperlink" Target="https://mailchi.mp/df2e472140b6/alignment-newsletter-28" TargetMode="External"/><Relationship Id="rId2912" Type="http://schemas.openxmlformats.org/officeDocument/2006/relationships/hyperlink" Target="https://80000hours.org/2018/09/aaas-science-technology-policy-fellowship/" TargetMode="External"/><Relationship Id="rId2913" Type="http://schemas.openxmlformats.org/officeDocument/2006/relationships/hyperlink" Target="https://mailchi.mp/1ecd1b775703/alignment-newsletter-26" TargetMode="External"/><Relationship Id="rId2914" Type="http://schemas.openxmlformats.org/officeDocument/2006/relationships/hyperlink" Target="https://www.lesswrong.com/posts/qpKYn4sF67ipposHB/usd500-bounty-for-alignment-contest-ideas" TargetMode="External"/><Relationship Id="rId2915" Type="http://schemas.openxmlformats.org/officeDocument/2006/relationships/hyperlink" Target="https://mailchi.mp/56689cc2223c/an-172-sorry-for-the-long-hiatus" TargetMode="External"/><Relationship Id="rId2916" Type="http://schemas.openxmlformats.org/officeDocument/2006/relationships/hyperlink" Target="https://encultured.ai/" TargetMode="External"/><Relationship Id="rId2917" Type="http://schemas.openxmlformats.org/officeDocument/2006/relationships/hyperlink" Target="https://mailchi.mp/56689cc2223c/an-172-sorry-for-the-long-hiatus" TargetMode="External"/><Relationship Id="rId2918" Type="http://schemas.openxmlformats.org/officeDocument/2006/relationships/hyperlink" Target="https://fathomradiant.co/careers" TargetMode="External"/><Relationship Id="rId2919" Type="http://schemas.openxmlformats.org/officeDocument/2006/relationships/hyperlink" Target="https://mailchi.mp/56689cc2223c/an-172-sorry-for-the-long-hiatus" TargetMode="External"/><Relationship Id="rId1697" Type="http://schemas.openxmlformats.org/officeDocument/2006/relationships/hyperlink" Target="https://mailchi.mp/bbd47ba94e84/alignment-newsletter-35" TargetMode="External"/><Relationship Id="rId1698" Type="http://schemas.openxmlformats.org/officeDocument/2006/relationships/hyperlink" Target="https://www.alignmentforum.org/posts/HqLxuZ4LhaFhmAHWk/iterated-distillation-and-amplification" TargetMode="External"/><Relationship Id="rId1699" Type="http://schemas.openxmlformats.org/officeDocument/2006/relationships/hyperlink" Target="https://mailchi.mp/bbd47ba94e84/alignment-newsletter-35" TargetMode="External"/><Relationship Id="rId866" Type="http://schemas.openxmlformats.org/officeDocument/2006/relationships/hyperlink" Target="http://arxiv.org/abs/1903.03088" TargetMode="External"/><Relationship Id="rId865" Type="http://schemas.openxmlformats.org/officeDocument/2006/relationships/hyperlink" Target="https://mailchi.mp/0ae5d69de63b/alignment-newsletter-5" TargetMode="External"/><Relationship Id="rId864" Type="http://schemas.openxmlformats.org/officeDocument/2006/relationships/hyperlink" Target="https://arxiv.org/abs/1804.09849" TargetMode="External"/><Relationship Id="rId863" Type="http://schemas.openxmlformats.org/officeDocument/2006/relationships/hyperlink" Target="https://mailchi.mp/0ae5d69de63b/alignment-newsletter-5" TargetMode="External"/><Relationship Id="rId869" Type="http://schemas.openxmlformats.org/officeDocument/2006/relationships/hyperlink" Target="https://mailchi.mp/260cd31d5f03/alignment-newsletter-47" TargetMode="External"/><Relationship Id="rId868" Type="http://schemas.openxmlformats.org/officeDocument/2006/relationships/hyperlink" Target="http://arxiv.org/abs/1902.07638" TargetMode="External"/><Relationship Id="rId867" Type="http://schemas.openxmlformats.org/officeDocument/2006/relationships/hyperlink" Target="https://mailchi.mp/efed27be268a/alignment-newsletter-49" TargetMode="External"/><Relationship Id="rId1690" Type="http://schemas.openxmlformats.org/officeDocument/2006/relationships/hyperlink" Target="https://www.alignmentforum.org/posts/xKvzpodBGcPMq7TqE/supervising-strong-learners-by-amplifying-weak-experts" TargetMode="External"/><Relationship Id="rId1691" Type="http://schemas.openxmlformats.org/officeDocument/2006/relationships/hyperlink" Target="https://mailchi.mp/b649f32b07da/alignment-newsletter-40" TargetMode="External"/><Relationship Id="rId1692" Type="http://schemas.openxmlformats.org/officeDocument/2006/relationships/hyperlink" Target="https://www.alignmentforum.org/posts/DFkGStzvj3jgXibFG/factored-cognition" TargetMode="External"/><Relationship Id="rId862" Type="http://schemas.openxmlformats.org/officeDocument/2006/relationships/hyperlink" Target="https://mlperf.org/" TargetMode="External"/><Relationship Id="rId1693" Type="http://schemas.openxmlformats.org/officeDocument/2006/relationships/hyperlink" Target="https://mailchi.mp/6751e45fbb48/alignment-newsletter-36" TargetMode="External"/><Relationship Id="rId861" Type="http://schemas.openxmlformats.org/officeDocument/2006/relationships/hyperlink" Target="https://mailchi.mp/894417149126/an-56-should-ml-researchers-stop-running-experiments-before-making-hypotheses" TargetMode="External"/><Relationship Id="rId1694" Type="http://schemas.openxmlformats.org/officeDocument/2006/relationships/hyperlink" Target="https://www.alignmentforum.org/posts/PRaxzmDJdvie46ahL/benign-model-free-rl" TargetMode="External"/><Relationship Id="rId860" Type="http://schemas.openxmlformats.org/officeDocument/2006/relationships/hyperlink" Target="https://karpathy.github.io/2019/04/25/recipe/" TargetMode="External"/><Relationship Id="rId1695" Type="http://schemas.openxmlformats.org/officeDocument/2006/relationships/hyperlink" Target="https://mailchi.mp/bbd47ba94e84/alignment-newsletter-35" TargetMode="External"/><Relationship Id="rId1696" Type="http://schemas.openxmlformats.org/officeDocument/2006/relationships/hyperlink" Target="https://www.alignmentforum.org/posts/fkLYhTQteAu5SinAc/corrigibility" TargetMode="External"/><Relationship Id="rId1686" Type="http://schemas.openxmlformats.org/officeDocument/2006/relationships/hyperlink" Target="https://www.alignmentforum.org/posts/HA3oArypzNANvXC38/alphago-zero-and-capability-amplification" TargetMode="External"/><Relationship Id="rId1687" Type="http://schemas.openxmlformats.org/officeDocument/2006/relationships/hyperlink" Target="https://mailchi.mp/8c3f02cabccd/alignment-newsletter-41" TargetMode="External"/><Relationship Id="rId1688" Type="http://schemas.openxmlformats.org/officeDocument/2006/relationships/hyperlink" Target="https://www.alignmentforum.org/posts/kphJvksj5TndGapuh/directions-and-desiderata-for-ai-alignment" TargetMode="External"/><Relationship Id="rId1689" Type="http://schemas.openxmlformats.org/officeDocument/2006/relationships/hyperlink" Target="https://mailchi.mp/8c3f02cabccd/alignment-newsletter-41" TargetMode="External"/><Relationship Id="rId855" Type="http://schemas.openxmlformats.org/officeDocument/2006/relationships/hyperlink" Target="https://mailchi.mp/92b3a9458c2d/an-58-mesa-optimization-what-it-is-and-why-we-should-care" TargetMode="External"/><Relationship Id="rId854" Type="http://schemas.openxmlformats.org/officeDocument/2006/relationships/hyperlink" Target="https://arxiv.org/abs/1904.11455" TargetMode="External"/><Relationship Id="rId853" Type="http://schemas.openxmlformats.org/officeDocument/2006/relationships/hyperlink" Target="https://mailchi.mp/b342d1a1bd06/an-59-how-arguments-for-ai-risk-have-changed-over-time" TargetMode="External"/><Relationship Id="rId852" Type="http://schemas.openxmlformats.org/officeDocument/2006/relationships/hyperlink" Target="https://arxiv.org/abs/1906.08237" TargetMode="External"/><Relationship Id="rId859" Type="http://schemas.openxmlformats.org/officeDocument/2006/relationships/hyperlink" Target="https://mailchi.mp/894417149126/an-56-should-ml-researchers-stop-running-experiments-before-making-hypotheses" TargetMode="External"/><Relationship Id="rId858" Type="http://schemas.openxmlformats.org/officeDocument/2006/relationships/hyperlink" Target="https://ai.googleblog.com/2019/05/introducing-translatotron-end-to-end.html" TargetMode="External"/><Relationship Id="rId857" Type="http://schemas.openxmlformats.org/officeDocument/2006/relationships/hyperlink" Target="https://mailchi.mp/894417149126/an-56-should-ml-researchers-stop-running-experiments-before-making-hypotheses" TargetMode="External"/><Relationship Id="rId856" Type="http://schemas.openxmlformats.org/officeDocument/2006/relationships/hyperlink" Target="https://openai.com/blog/sparse-transformer/" TargetMode="External"/><Relationship Id="rId1680" Type="http://schemas.openxmlformats.org/officeDocument/2006/relationships/hyperlink" Target="https://www.alignmentforum.org/posts/NtX7LKhCXMW2vjWx6/thoughts-on-reward-engineering" TargetMode="External"/><Relationship Id="rId1681" Type="http://schemas.openxmlformats.org/officeDocument/2006/relationships/hyperlink" Target="https://mailchi.mp/768a8130013f/alignment-newsletter-43" TargetMode="External"/><Relationship Id="rId851" Type="http://schemas.openxmlformats.org/officeDocument/2006/relationships/hyperlink" Target="https://mailchi.mp/d11bfd2ca5eb/alignment-newsletter-6" TargetMode="External"/><Relationship Id="rId1682" Type="http://schemas.openxmlformats.org/officeDocument/2006/relationships/hyperlink" Target="https://www.alignmentforum.org/posts/t3AJW5jP3sk36aGoC/capability-amplification" TargetMode="External"/><Relationship Id="rId850" Type="http://schemas.openxmlformats.org/officeDocument/2006/relationships/hyperlink" Target="https://arxiv.org/abs/1805.01772" TargetMode="External"/><Relationship Id="rId1683" Type="http://schemas.openxmlformats.org/officeDocument/2006/relationships/hyperlink" Target="https://mailchi.mp/f6488137d76c/alignment-newsletter-42" TargetMode="External"/><Relationship Id="rId1684" Type="http://schemas.openxmlformats.org/officeDocument/2006/relationships/hyperlink" Target="https://www.alignmentforum.org/posts/4nZRzoGTqg8xy5rr8/the-reward-engineering-problem" TargetMode="External"/><Relationship Id="rId1685" Type="http://schemas.openxmlformats.org/officeDocument/2006/relationships/hyperlink" Target="https://mailchi.mp/f6488137d76c/alignment-newsletter-42" TargetMode="External"/><Relationship Id="rId3414" Type="http://schemas.openxmlformats.org/officeDocument/2006/relationships/hyperlink" Target="https://mailchi.mp/15397ab6f65c/alignment-newsletter-8" TargetMode="External"/><Relationship Id="rId3413" Type="http://schemas.openxmlformats.org/officeDocument/2006/relationships/hyperlink" Target="https://arxiv.org/abs/1805.06824" TargetMode="External"/><Relationship Id="rId3416" Type="http://schemas.openxmlformats.org/officeDocument/2006/relationships/hyperlink" Target="https://mailchi.mp/8d9e3703fbde/an-79-recursive-reward-modeling-as-an-alignment-technique-integrated-with-deep-rl" TargetMode="External"/><Relationship Id="rId3415" Type="http://schemas.openxmlformats.org/officeDocument/2006/relationships/hyperlink" Target="http://arxiv.org/abs/1912.01188" TargetMode="External"/><Relationship Id="rId3418" Type="http://schemas.openxmlformats.org/officeDocument/2006/relationships/hyperlink" Target="https://mailchi.mp/eef1d6c95d7c/an-78formalizing-power-and-instrumental-convergence-and-the-end-of-year-ai-safety-charity-comparison" TargetMode="External"/><Relationship Id="rId3417" Type="http://schemas.openxmlformats.org/officeDocument/2006/relationships/hyperlink" Target="https://bair.berkeley.edu/blog/2019/12/12/mbpo/" TargetMode="External"/><Relationship Id="rId3419" Type="http://schemas.openxmlformats.org/officeDocument/2006/relationships/hyperlink" Target="https://arxiv.org/abs/1906.08253" TargetMode="External"/><Relationship Id="rId888" Type="http://schemas.openxmlformats.org/officeDocument/2006/relationships/hyperlink" Target="https://blog.openai.com/learning-concepts-with-energy-functions/" TargetMode="External"/><Relationship Id="rId887" Type="http://schemas.openxmlformats.org/officeDocument/2006/relationships/hyperlink" Target="https://mailchi.mp/b6dc636f6a1b/alignment-newsletter-33" TargetMode="External"/><Relationship Id="rId886" Type="http://schemas.openxmlformats.org/officeDocument/2006/relationships/hyperlink" Target="https://openreview.net/pdf?id=SkfMWhAqYQ" TargetMode="External"/><Relationship Id="rId885" Type="http://schemas.openxmlformats.org/officeDocument/2006/relationships/hyperlink" Target="https://mailchi.mp/f1947668b183/alignment-newsletter-34" TargetMode="External"/><Relationship Id="rId889" Type="http://schemas.openxmlformats.org/officeDocument/2006/relationships/hyperlink" Target="https://mailchi.mp/8f5d302499be/alignment-newsletter-32" TargetMode="External"/><Relationship Id="rId880" Type="http://schemas.openxmlformats.org/officeDocument/2006/relationships/hyperlink" Target="https://arxiv.org/pdf/1805.08974.pdf" TargetMode="External"/><Relationship Id="rId884" Type="http://schemas.openxmlformats.org/officeDocument/2006/relationships/hyperlink" Target="http://arxiv.org/abs/1811.04784" TargetMode="External"/><Relationship Id="rId3410" Type="http://schemas.openxmlformats.org/officeDocument/2006/relationships/hyperlink" Target="https://mailchi.mp/15397ab6f65c/alignment-newsletter-8" TargetMode="External"/><Relationship Id="rId883" Type="http://schemas.openxmlformats.org/officeDocument/2006/relationships/hyperlink" Target="https://mailchi.mp/f1947668b183/alignment-newsletter-34" TargetMode="External"/><Relationship Id="rId882" Type="http://schemas.openxmlformats.org/officeDocument/2006/relationships/hyperlink" Target="https://arxiv.org/abs/1810.12348" TargetMode="External"/><Relationship Id="rId3412" Type="http://schemas.openxmlformats.org/officeDocument/2006/relationships/hyperlink" Target="https://mailchi.mp/15397ab6f65c/alignment-newsletter-8" TargetMode="External"/><Relationship Id="rId881" Type="http://schemas.openxmlformats.org/officeDocument/2006/relationships/hyperlink" Target="https://mailchi.mp/f1947668b183/alignment-newsletter-34" TargetMode="External"/><Relationship Id="rId3411" Type="http://schemas.openxmlformats.org/officeDocument/2006/relationships/hyperlink" Target="https://arxiv.org/abs/1805.07917v1" TargetMode="External"/><Relationship Id="rId3403" Type="http://schemas.openxmlformats.org/officeDocument/2006/relationships/hyperlink" Target="https://mailchi.mp/a1ae6b62df21/alignment-newsletter-9" TargetMode="External"/><Relationship Id="rId3402" Type="http://schemas.openxmlformats.org/officeDocument/2006/relationships/hyperlink" Target="http://arxiv.org/abs/1805.09801" TargetMode="External"/><Relationship Id="rId3405" Type="http://schemas.openxmlformats.org/officeDocument/2006/relationships/hyperlink" Target="http://arxiv.org/abs/1911.08453" TargetMode="External"/><Relationship Id="rId3404" Type="http://schemas.openxmlformats.org/officeDocument/2006/relationships/hyperlink" Target="https://mailchi.mp/ff565f097630/an-83-sample-efficient-deep-learning-with-remixmatch" TargetMode="External"/><Relationship Id="rId3407" Type="http://schemas.openxmlformats.org/officeDocument/2006/relationships/hyperlink" Target="http://arxiv.org/abs/1912.01603" TargetMode="External"/><Relationship Id="rId3406" Type="http://schemas.openxmlformats.org/officeDocument/2006/relationships/hyperlink" Target="https://mailchi.mp/ff565f097630/an-83-sample-efficient-deep-learning-with-remixmatch" TargetMode="External"/><Relationship Id="rId3409" Type="http://schemas.openxmlformats.org/officeDocument/2006/relationships/hyperlink" Target="https://blog.openai.com/gym-retro/" TargetMode="External"/><Relationship Id="rId3408" Type="http://schemas.openxmlformats.org/officeDocument/2006/relationships/hyperlink" Target="https://mailchi.mp/ff565f097630/an-83-sample-efficient-deep-learning-with-remixmatch" TargetMode="External"/><Relationship Id="rId877" Type="http://schemas.openxmlformats.org/officeDocument/2006/relationships/hyperlink" Target="https://mailchi.mp/32f89a74a7b6/alignment-newsletter-4" TargetMode="External"/><Relationship Id="rId876" Type="http://schemas.openxmlformats.org/officeDocument/2006/relationships/hyperlink" Target="https://arxiv.org/abs/1804.07755" TargetMode="External"/><Relationship Id="rId875" Type="http://schemas.openxmlformats.org/officeDocument/2006/relationships/hyperlink" Target="https://mailchi.mp/f6488137d76c/alignment-newsletter-42" TargetMode="External"/><Relationship Id="rId874" Type="http://schemas.openxmlformats.org/officeDocument/2006/relationships/hyperlink" Target="http://arxiv.org/abs/1812.08434" TargetMode="External"/><Relationship Id="rId879" Type="http://schemas.openxmlformats.org/officeDocument/2006/relationships/hyperlink" Target="https://mailchi.mp/32f89a74a7b6/alignment-newsletter-4" TargetMode="External"/><Relationship Id="rId878" Type="http://schemas.openxmlformats.org/officeDocument/2006/relationships/hyperlink" Target="https://arxiv.org/abs/1804.09170" TargetMode="External"/><Relationship Id="rId873" Type="http://schemas.openxmlformats.org/officeDocument/2006/relationships/hyperlink" Target="https://mailchi.mp/768a8130013f/alignment-newsletter-43" TargetMode="External"/><Relationship Id="rId872" Type="http://schemas.openxmlformats.org/officeDocument/2006/relationships/hyperlink" Target="http://arxiv.org/abs/1901.05761" TargetMode="External"/><Relationship Id="rId871" Type="http://schemas.openxmlformats.org/officeDocument/2006/relationships/hyperlink" Target="https://mailchi.mp/35b451cb4d70/alignment-newsletter-45" TargetMode="External"/><Relationship Id="rId3401" Type="http://schemas.openxmlformats.org/officeDocument/2006/relationships/hyperlink" Target="https://mailchi.mp/d7e950bc8dbd/an-92learning-good-representations-with-contrastive-predictive-coding?e=0e92156a6c" TargetMode="External"/><Relationship Id="rId870" Type="http://schemas.openxmlformats.org/officeDocument/2006/relationships/hyperlink" Target="https://woollysocks.github.io/assets/GLUE_Human_Baseline.pdf" TargetMode="External"/><Relationship Id="rId3400" Type="http://schemas.openxmlformats.org/officeDocument/2006/relationships/hyperlink" Target="https://arxiv.org/abs/1806.10729" TargetMode="External"/><Relationship Id="rId1653" Type="http://schemas.openxmlformats.org/officeDocument/2006/relationships/hyperlink" Target="https://alignmentforum.org/posts/5Kv2qNfRyXXihNrx2/ai-safety-debate-and-its-applications" TargetMode="External"/><Relationship Id="rId2984" Type="http://schemas.openxmlformats.org/officeDocument/2006/relationships/hyperlink" Target="https://mailchi.mp/1acb030735dd/an-91concepts-implementations-problems-and-a-benchmark-for-impact-measurement" TargetMode="External"/><Relationship Id="rId1654" Type="http://schemas.openxmlformats.org/officeDocument/2006/relationships/hyperlink" Target="https://mailchi.mp/ff565f097630/an-83-sample-efficient-deep-learning-with-remixmatch" TargetMode="External"/><Relationship Id="rId2985" Type="http://schemas.openxmlformats.org/officeDocument/2006/relationships/hyperlink" Target="https://www.partnershiponai.org/safelife/" TargetMode="External"/><Relationship Id="rId1655" Type="http://schemas.openxmlformats.org/officeDocument/2006/relationships/hyperlink" Target="https://www.alignmentforum.org/posts/jYvm4mmjvGHcPXtGL/a-concrete-proposal-for-adversarial-ida" TargetMode="External"/><Relationship Id="rId2986" Type="http://schemas.openxmlformats.org/officeDocument/2006/relationships/hyperlink" Target="https://mailchi.mp/1acb030735dd/an-91concepts-implementations-problems-and-a-benchmark-for-impact-measurement" TargetMode="External"/><Relationship Id="rId1656" Type="http://schemas.openxmlformats.org/officeDocument/2006/relationships/hyperlink" Target="https://mailchi.mp/534f448d6c8b/alignment-newsletter-53" TargetMode="External"/><Relationship Id="rId2987" Type="http://schemas.openxmlformats.org/officeDocument/2006/relationships/hyperlink" Target="http://arxiv.org/abs/1912.01217" TargetMode="External"/><Relationship Id="rId1657" Type="http://schemas.openxmlformats.org/officeDocument/2006/relationships/hyperlink" Target="https://www.alignmentforum.org/posts/4qY9zEHLa2su4PkQ4/can-hch-epistemically-dominate-ramanujan" TargetMode="External"/><Relationship Id="rId2988" Type="http://schemas.openxmlformats.org/officeDocument/2006/relationships/hyperlink" Target="https://openai.com/blog/safety-gym/" TargetMode="External"/><Relationship Id="rId1658" Type="http://schemas.openxmlformats.org/officeDocument/2006/relationships/hyperlink" Target="https://mailchi.mp/3091c6e9405c/alignment-newsletter-48" TargetMode="External"/><Relationship Id="rId2989" Type="http://schemas.openxmlformats.org/officeDocument/2006/relationships/hyperlink" Target="https://mailchi.mp/1106d0ce6766/an-76how-dataset-size-affects-robustness-and-benchmarking-safe-exploration-by-measuring-constraint-violations" TargetMode="External"/><Relationship Id="rId1659" Type="http://schemas.openxmlformats.org/officeDocument/2006/relationships/hyperlink" Target="https://www.alignmentforum.org/posts/BRiMQELD5WYyvncTE/ai-unsafety-via-non-zero-sum-debate" TargetMode="External"/><Relationship Id="rId829" Type="http://schemas.openxmlformats.org/officeDocument/2006/relationships/hyperlink" Target="https://arxiv.org/abs/1804.00645" TargetMode="External"/><Relationship Id="rId828" Type="http://schemas.openxmlformats.org/officeDocument/2006/relationships/hyperlink" Target="https://mailchi.mp/d9e1db727875/an-100what-might-go-wrong-if-you-learn-a-reward-function-while-acting" TargetMode="External"/><Relationship Id="rId827" Type="http://schemas.openxmlformats.org/officeDocument/2006/relationships/hyperlink" Target="https://distill.pub/2020/growing-ca/" TargetMode="External"/><Relationship Id="rId822" Type="http://schemas.openxmlformats.org/officeDocument/2006/relationships/hyperlink" Target="http://gradientscience.org/data_rep_bias/" TargetMode="External"/><Relationship Id="rId821" Type="http://schemas.openxmlformats.org/officeDocument/2006/relationships/hyperlink" Target="https://mailchi.mp/05518aad6baf/an-108why-we-should-scrutinize-arguments-for-ai-risk" TargetMode="External"/><Relationship Id="rId820" Type="http://schemas.openxmlformats.org/officeDocument/2006/relationships/hyperlink" Target="https://arxiv.org/abs/2006.16668" TargetMode="External"/><Relationship Id="rId826" Type="http://schemas.openxmlformats.org/officeDocument/2006/relationships/hyperlink" Target="https://openreview.net/forum?id=r1xMH1BtvB" TargetMode="External"/><Relationship Id="rId825" Type="http://schemas.openxmlformats.org/officeDocument/2006/relationships/hyperlink" Target="https://mailchi.mp/2485e6b42012/an-102-meta-learning-by-gpt-3-and-a-list-of-full-proposals-for-ai-alignment" TargetMode="External"/><Relationship Id="rId824" Type="http://schemas.openxmlformats.org/officeDocument/2006/relationships/hyperlink" Target="https://ai.googleblog.com/2020/03/more-efficient-nlp-model-pre-training.html" TargetMode="External"/><Relationship Id="rId823" Type="http://schemas.openxmlformats.org/officeDocument/2006/relationships/hyperlink" Target="https://mailchi.mp/60475c277263/an-103-arches-an-agenda-for-existential-safety-and-combining-natural-language-with-deep-rl" TargetMode="External"/><Relationship Id="rId2980" Type="http://schemas.openxmlformats.org/officeDocument/2006/relationships/hyperlink" Target="https://mailchi.mp/1acb030735dd/an-91concepts-implementations-problems-and-a-benchmark-for-impact-measurement" TargetMode="External"/><Relationship Id="rId1650" Type="http://schemas.openxmlformats.org/officeDocument/2006/relationships/hyperlink" Target="https://mailchi.mp/ee62c1c9e331/an-109teaching-neural-nets-to-generalize-the-way-humans-would" TargetMode="External"/><Relationship Id="rId2981" Type="http://schemas.openxmlformats.org/officeDocument/2006/relationships/hyperlink" Target="https://www.alignmentforum.org/s/7CdoznhJaLEKHwvJW" TargetMode="External"/><Relationship Id="rId1651" Type="http://schemas.openxmlformats.org/officeDocument/2006/relationships/hyperlink" Target="https://www.alignmentforum.org/posts/YWwzccGbcHMJMpT45/ai-safety-via-market-making" TargetMode="External"/><Relationship Id="rId2982" Type="http://schemas.openxmlformats.org/officeDocument/2006/relationships/hyperlink" Target="https://mailchi.mp/1acb030735dd/an-91concepts-implementations-problems-and-a-benchmark-for-impact-measurement" TargetMode="External"/><Relationship Id="rId1652" Type="http://schemas.openxmlformats.org/officeDocument/2006/relationships/hyperlink" Target="https://mailchi.mp/05518aad6baf/an-108why-we-should-scrutinize-arguments-for-ai-risk" TargetMode="External"/><Relationship Id="rId2983" Type="http://schemas.openxmlformats.org/officeDocument/2006/relationships/hyperlink" Target="https://www.alignmentforum.org/posts/mdQEraEZQLg7jtozn/subagents-and-impact-measures-full-and-fully-illustrated" TargetMode="External"/><Relationship Id="rId1642" Type="http://schemas.openxmlformats.org/officeDocument/2006/relationships/hyperlink" Target="https://www.lesswrong.com/s/xezt7HYfpWR6nwp7Z" TargetMode="External"/><Relationship Id="rId2973" Type="http://schemas.openxmlformats.org/officeDocument/2006/relationships/hyperlink" Target="https://mailchi.mp/f2950ed2ac4b/alignment-newsletter-16" TargetMode="External"/><Relationship Id="rId1643" Type="http://schemas.openxmlformats.org/officeDocument/2006/relationships/hyperlink" Target="https://mailchi.mp/b8b755c3f8f5/an-135five-properties-of-goal-directed-systems" TargetMode="External"/><Relationship Id="rId2974" Type="http://schemas.openxmlformats.org/officeDocument/2006/relationships/hyperlink" Target="https://mailchi.mp/6eb8190e723f/alignment-newsletter-37" TargetMode="External"/><Relationship Id="rId1644" Type="http://schemas.openxmlformats.org/officeDocument/2006/relationships/hyperlink" Target="https://www.alignmentforum.org/posts/PT8vSxsusqWuN7JXp/my-understanding-of-paul-christiano-s-iterated-amplification" TargetMode="External"/><Relationship Id="rId2975" Type="http://schemas.openxmlformats.org/officeDocument/2006/relationships/hyperlink" Target="https://www.alignmentforum.org/posts/EByDsY9S3EDhhfFzC/some-thoughts-on-metaphilosophy" TargetMode="External"/><Relationship Id="rId1645" Type="http://schemas.openxmlformats.org/officeDocument/2006/relationships/hyperlink" Target="https://www.alignmentforum.org/posts/SrsH2MyyH8MqH9QSr/parallels-between-ai-safety-by-debate-and-evidence-law" TargetMode="External"/><Relationship Id="rId2976" Type="http://schemas.openxmlformats.org/officeDocument/2006/relationships/hyperlink" Target="https://mailchi.mp/c48f996a5db5/alignment-newsletter-46" TargetMode="External"/><Relationship Id="rId1646" Type="http://schemas.openxmlformats.org/officeDocument/2006/relationships/hyperlink" Target="https://mailchi.mp/474d6a8a4527/an-110-learning-features-from-human-feedback-to-enable-reward-learning" TargetMode="External"/><Relationship Id="rId2977" Type="http://schemas.openxmlformats.org/officeDocument/2006/relationships/hyperlink" Target="https://www.alignmentforum.org/posts/w6d7XBCegc96kz4n3/the-argument-from-philosophical-difficulty" TargetMode="External"/><Relationship Id="rId1647" Type="http://schemas.openxmlformats.org/officeDocument/2006/relationships/hyperlink" Target="https://www.alignmentforum.org/posts/CtGH3yEoo4mY2taxe/weak-hch-accesses-exp" TargetMode="External"/><Relationship Id="rId2978" Type="http://schemas.openxmlformats.org/officeDocument/2006/relationships/hyperlink" Target="https://mailchi.mp/c48f996a5db5/alignment-newsletter-46" TargetMode="External"/><Relationship Id="rId1648" Type="http://schemas.openxmlformats.org/officeDocument/2006/relationships/hyperlink" Target="https://mailchi.mp/474d6a8a4527/an-110-learning-features-from-human-feedback-to-enable-reward-learning" TargetMode="External"/><Relationship Id="rId2979" Type="http://schemas.openxmlformats.org/officeDocument/2006/relationships/hyperlink" Target="https://www.alignmentforum.org/s/7CdoznhJaLEKHwvJW" TargetMode="External"/><Relationship Id="rId1649" Type="http://schemas.openxmlformats.org/officeDocument/2006/relationships/hyperlink" Target="https://www.alignmentforum.org/posts/N64THGX7XNCqRtvPG/alignment-proposals-and-complexity-classes" TargetMode="External"/><Relationship Id="rId819" Type="http://schemas.openxmlformats.org/officeDocument/2006/relationships/hyperlink" Target="https://mailchi.mp/d1da78ed4aac/an-124provably-safe-exploration-through-shielding" TargetMode="External"/><Relationship Id="rId818" Type="http://schemas.openxmlformats.org/officeDocument/2006/relationships/hyperlink" Target="https://arxiv.org/abs/1909.13371" TargetMode="External"/><Relationship Id="rId817" Type="http://schemas.openxmlformats.org/officeDocument/2006/relationships/hyperlink" Target="https://mailchi.mp/f66847de2ef8/an-128prioritizing-research-on-ai-existential-safety-based-on-its-application-to-governance-demands" TargetMode="External"/><Relationship Id="rId816" Type="http://schemas.openxmlformats.org/officeDocument/2006/relationships/hyperlink" Target="https://deepmind.com/blog/article/alphafold-a-solution-to-a-50-year-old-grand-challenge-in-biology" TargetMode="External"/><Relationship Id="rId811" Type="http://schemas.openxmlformats.org/officeDocument/2006/relationships/hyperlink" Target="https://openai.com/blog/multimodal-neurons/" TargetMode="External"/><Relationship Id="rId810" Type="http://schemas.openxmlformats.org/officeDocument/2006/relationships/hyperlink" Target="https://mailchi.mp/1d67a64ff361/an-147-an-overview-of-the-interpretability-landscape" TargetMode="External"/><Relationship Id="rId815" Type="http://schemas.openxmlformats.org/officeDocument/2006/relationships/hyperlink" Target="https://mailchi.mp/93d2051b7d70/an-141the-case-for-practicing-alignment-work-on-gpt-3-and-other-large-models" TargetMode="External"/><Relationship Id="rId814" Type="http://schemas.openxmlformats.org/officeDocument/2006/relationships/hyperlink" Target="https://arxiv.org/abs/2102.04074" TargetMode="External"/><Relationship Id="rId813" Type="http://schemas.openxmlformats.org/officeDocument/2006/relationships/hyperlink" Target="https://distill.pub/2021/multimodal-neurons/" TargetMode="External"/><Relationship Id="rId812" Type="http://schemas.openxmlformats.org/officeDocument/2006/relationships/hyperlink" Target="https://mailchi.mp/cbbf94c4c3b7/an-142the-quest-to-understand-a-network-well-enough-to-reimplement-it-by-hand" TargetMode="External"/><Relationship Id="rId2970" Type="http://schemas.openxmlformats.org/officeDocument/2006/relationships/hyperlink" Target="https://futureoflife.org/2018/07/16/ai-alignment-podcast-ai-safety-possible-minds-and-simulated-worlds-with-roman-yampolskiy/" TargetMode="External"/><Relationship Id="rId1640" Type="http://schemas.openxmlformats.org/officeDocument/2006/relationships/hyperlink" Target="https://www.alignmentforum.org/posts/CDSXoC54CjbXQNLGr/epistemology-of-hch" TargetMode="External"/><Relationship Id="rId2971" Type="http://schemas.openxmlformats.org/officeDocument/2006/relationships/hyperlink" Target="https://mailchi.mp/f2950ed2ac4b/alignment-newsletter-16" TargetMode="External"/><Relationship Id="rId1641" Type="http://schemas.openxmlformats.org/officeDocument/2006/relationships/hyperlink" Target="https://mailchi.mp/e7cec4ed9117/an-138why-ai-governance-should-find-problems-rather-than-just-solving-them" TargetMode="External"/><Relationship Id="rId2972" Type="http://schemas.openxmlformats.org/officeDocument/2006/relationships/hyperlink" Target="https://medium.com/goodai-news/solving-the-ai-race-finalists-15-000-of-prizes-5f57d1f6a45f" TargetMode="External"/><Relationship Id="rId1675" Type="http://schemas.openxmlformats.org/officeDocument/2006/relationships/hyperlink" Target="https://mailchi.mp/6bfac400a0c3/alignment-newsletter-44" TargetMode="External"/><Relationship Id="rId1676" Type="http://schemas.openxmlformats.org/officeDocument/2006/relationships/hyperlink" Target="https://www.alignmentforum.org/posts/qALeGJ9nPcs9eC9Af/learning-with-catastrophes" TargetMode="External"/><Relationship Id="rId1677" Type="http://schemas.openxmlformats.org/officeDocument/2006/relationships/hyperlink" Target="https://mailchi.mp/768a8130013f/alignment-newsletter-43" TargetMode="External"/><Relationship Id="rId1678" Type="http://schemas.openxmlformats.org/officeDocument/2006/relationships/hyperlink" Target="https://www.alignmentforum.org/posts/E2aZ9Xwdz3i2ghPtn/techniques-for-optimizing-worst-case-performance" TargetMode="External"/><Relationship Id="rId1679" Type="http://schemas.openxmlformats.org/officeDocument/2006/relationships/hyperlink" Target="https://mailchi.mp/768a8130013f/alignment-newsletter-43" TargetMode="External"/><Relationship Id="rId849" Type="http://schemas.openxmlformats.org/officeDocument/2006/relationships/hyperlink" Target="https://mailchi.mp/2abdf19aa813/an-61ai-policy-and-governance-from-two-people-in-the-field" TargetMode="External"/><Relationship Id="rId844" Type="http://schemas.openxmlformats.org/officeDocument/2006/relationships/hyperlink" Target="https://www.alignmentforum.org/posts/nGqzNC6uNueum2w8T/inductive-biases-stick-around" TargetMode="External"/><Relationship Id="rId843" Type="http://schemas.openxmlformats.org/officeDocument/2006/relationships/hyperlink" Target="https://mailchi.mp/84b4235cfa34/an-85-the-normative-questions-we-should-be-asking-for-ai-alignment-and-a-surprisingly-good-chatbot" TargetMode="External"/><Relationship Id="rId842" Type="http://schemas.openxmlformats.org/officeDocument/2006/relationships/hyperlink" Target="https://arxiv.org/abs/1912.01412" TargetMode="External"/><Relationship Id="rId841" Type="http://schemas.openxmlformats.org/officeDocument/2006/relationships/hyperlink" Target="https://mailchi.mp/a1ae6b62df21/alignment-newsletter-9" TargetMode="External"/><Relationship Id="rId848" Type="http://schemas.openxmlformats.org/officeDocument/2006/relationships/hyperlink" Target="https://weightagnostic.github.io/" TargetMode="External"/><Relationship Id="rId847" Type="http://schemas.openxmlformats.org/officeDocument/2006/relationships/hyperlink" Target="https://mailchi.mp/d2f2d15b7114/an-77-double-descent-a-unification-of-statistical-theory-and-modern-ml-practice" TargetMode="External"/><Relationship Id="rId846" Type="http://schemas.openxmlformats.org/officeDocument/2006/relationships/hyperlink" Target="https://www.alignmentforum.org/posts/FRv7ryoqtvSuqBxuT/understanding-deep-double-descent" TargetMode="External"/><Relationship Id="rId845" Type="http://schemas.openxmlformats.org/officeDocument/2006/relationships/hyperlink" Target="https://mailchi.mp/eef1d6c95d7c/an-78formalizing-power-and-instrumental-convergence-and-the-end-of-year-ai-safety-charity-comparison" TargetMode="External"/><Relationship Id="rId1670" Type="http://schemas.openxmlformats.org/officeDocument/2006/relationships/hyperlink" Target="https://www.lesswrong.com/posts/rXzxMQwRq7KRonQDM/my-confusions-with-paul-s-agenda" TargetMode="External"/><Relationship Id="rId840" Type="http://schemas.openxmlformats.org/officeDocument/2006/relationships/hyperlink" Target="https://arxiv.org/abs/1805.08974" TargetMode="External"/><Relationship Id="rId1671" Type="http://schemas.openxmlformats.org/officeDocument/2006/relationships/hyperlink" Target="https://mailchi.mp/e6a23da2760e/alignment-newsletter-3?e=f665c7b50a" TargetMode="External"/><Relationship Id="rId1672" Type="http://schemas.openxmlformats.org/officeDocument/2006/relationships/hyperlink" Target="https://www.alignmentforum.org/posts/hjEaZgyQ2iprDhkg8/security-amplification" TargetMode="External"/><Relationship Id="rId1673" Type="http://schemas.openxmlformats.org/officeDocument/2006/relationships/hyperlink" Target="https://mailchi.mp/35b451cb4d70/alignment-newsletter-45" TargetMode="External"/><Relationship Id="rId1674" Type="http://schemas.openxmlformats.org/officeDocument/2006/relationships/hyperlink" Target="https://www.alignmentforum.org/posts/6fMvGoyy3kgnonRNM/reliability-amplification" TargetMode="External"/><Relationship Id="rId1664" Type="http://schemas.openxmlformats.org/officeDocument/2006/relationships/hyperlink" Target="https://mailchi.mp/d11bfd2ca5eb/alignment-newsletter-6" TargetMode="External"/><Relationship Id="rId2995" Type="http://schemas.openxmlformats.org/officeDocument/2006/relationships/hyperlink" Target="https://mailchi.mp/87c0d944c461/an-68-the-attainable-utility-theory-of-impact" TargetMode="External"/><Relationship Id="rId1665" Type="http://schemas.openxmlformats.org/officeDocument/2006/relationships/hyperlink" Target="https://blog.openai.com/debate/" TargetMode="External"/><Relationship Id="rId2996" Type="http://schemas.openxmlformats.org/officeDocument/2006/relationships/hyperlink" Target="https://www.alignmentforum.org/posts/pZhDWxDmwzuSwLjou/asymptotically-benign-agi" TargetMode="External"/><Relationship Id="rId1666" Type="http://schemas.openxmlformats.org/officeDocument/2006/relationships/hyperlink" Target="https://www.alignmentforum.org/posts/fq7Ehb2oWwXtZic8S/reinforcement-learning-in-the-iterated-amplification" TargetMode="External"/><Relationship Id="rId2997" Type="http://schemas.openxmlformats.org/officeDocument/2006/relationships/hyperlink" Target="https://mailchi.mp/3e2f43012b07/an-54-boxing-a-finite-horizon-ai-system-to-keep-it-unambitious" TargetMode="External"/><Relationship Id="rId1667" Type="http://schemas.openxmlformats.org/officeDocument/2006/relationships/hyperlink" Target="https://mailchi.mp/35b451cb4d70/alignment-newsletter-45" TargetMode="External"/><Relationship Id="rId2998" Type="http://schemas.openxmlformats.org/officeDocument/2006/relationships/hyperlink" Target="https://arxiv.org/abs/1905.12186" TargetMode="External"/><Relationship Id="rId1668" Type="http://schemas.openxmlformats.org/officeDocument/2006/relationships/hyperlink" Target="https://www.lesswrong.com/posts/LbJHizyfAsDYeETBq/amplification-discussion-notes" TargetMode="External"/><Relationship Id="rId2999" Type="http://schemas.openxmlformats.org/officeDocument/2006/relationships/hyperlink" Target="https://www.alignmentforum.org/posts/yEa7kwoMpsBgaBCgb/towards-a-new-impact-measure" TargetMode="External"/><Relationship Id="rId1669" Type="http://schemas.openxmlformats.org/officeDocument/2006/relationships/hyperlink" Target="https://mailchi.mp/a1ae6b62df21/alignment-newsletter-9" TargetMode="External"/><Relationship Id="rId839" Type="http://schemas.openxmlformats.org/officeDocument/2006/relationships/hyperlink" Target="https://arxiv.org/abs/2002.11794" TargetMode="External"/><Relationship Id="rId838" Type="http://schemas.openxmlformats.org/officeDocument/2006/relationships/hyperlink" Target="https://mailchi.mp/0180cf9ba264/an-90how-search-landscapes-can-contain-self-reinforcing-feedback-loops" TargetMode="External"/><Relationship Id="rId833" Type="http://schemas.openxmlformats.org/officeDocument/2006/relationships/hyperlink" Target="http://arxiv.org/abs/2003.03384" TargetMode="External"/><Relationship Id="rId832" Type="http://schemas.openxmlformats.org/officeDocument/2006/relationships/hyperlink" Target="https://mailchi.mp/e402599bfb1f/reconnaissance-4" TargetMode="External"/><Relationship Id="rId831" Type="http://schemas.openxmlformats.org/officeDocument/2006/relationships/hyperlink" Target="https://arxiv.org/abs/1803.03635" TargetMode="External"/><Relationship Id="rId830" Type="http://schemas.openxmlformats.org/officeDocument/2006/relationships/hyperlink" Target="https://mailchi.mp/ff6340049bd0/alignment-newsletter-1" TargetMode="External"/><Relationship Id="rId837" Type="http://schemas.openxmlformats.org/officeDocument/2006/relationships/hyperlink" Target="https://bair.berkeley.edu/blog/2020/03/05/compress/" TargetMode="External"/><Relationship Id="rId836" Type="http://schemas.openxmlformats.org/officeDocument/2006/relationships/hyperlink" Target="https://mailchi.mp/d7e950bc8dbd/an-92learning-good-representations-with-contrastive-predictive-coding?e=0e92156a6c" TargetMode="External"/><Relationship Id="rId835" Type="http://schemas.openxmlformats.org/officeDocument/2006/relationships/hyperlink" Target="https://arxiv.org/abs/1912.05671" TargetMode="External"/><Relationship Id="rId834" Type="http://schemas.openxmlformats.org/officeDocument/2006/relationships/hyperlink" Target="https://mailchi.mp/8a9d080d5ce3/an-95-a-framework-for-thinking-about-how-to-make-ai-go-well" TargetMode="External"/><Relationship Id="rId2990" Type="http://schemas.openxmlformats.org/officeDocument/2006/relationships/hyperlink" Target="https://github.com/openai/safety-gym" TargetMode="External"/><Relationship Id="rId1660" Type="http://schemas.openxmlformats.org/officeDocument/2006/relationships/hyperlink" Target="https://mailchi.mp/05518aad6baf/an-108why-we-should-scrutinize-arguments-for-ai-risk" TargetMode="External"/><Relationship Id="rId2991" Type="http://schemas.openxmlformats.org/officeDocument/2006/relationships/hyperlink" Target="https://medium.com/@deepmindsafetyresearch/designing-agent-incentives-to-avoid-reward-tampering-4380c1bb6cd" TargetMode="External"/><Relationship Id="rId1661" Type="http://schemas.openxmlformats.org/officeDocument/2006/relationships/hyperlink" Target="https://www.lesswrong.com/posts/ZyyMPXY27TTxKsR5X/problems-with-amplification-distillation" TargetMode="External"/><Relationship Id="rId2992" Type="http://schemas.openxmlformats.org/officeDocument/2006/relationships/hyperlink" Target="https://mailchi.mp/938a7eed18c3/an-71avoiding-reward-tampering-through-current-rf-optimization" TargetMode="External"/><Relationship Id="rId1662" Type="http://schemas.openxmlformats.org/officeDocument/2006/relationships/hyperlink" Target="https://mailchi.mp/33af21f908b5/reconnaissance-5" TargetMode="External"/><Relationship Id="rId2993" Type="http://schemas.openxmlformats.org/officeDocument/2006/relationships/hyperlink" Target="https://arxiv.org/abs/1908.04734" TargetMode="External"/><Relationship Id="rId1663" Type="http://schemas.openxmlformats.org/officeDocument/2006/relationships/hyperlink" Target="https://www.lesswrong.com/posts/WRy6KNnxwQHc5Ktjc/thoughts-on-ai-safety-via-debate" TargetMode="External"/><Relationship Id="rId2994" Type="http://schemas.openxmlformats.org/officeDocument/2006/relationships/hyperlink" Target="https://www.alignmentforum.org/s/7CdoznhJaLEKHwvJW" TargetMode="External"/><Relationship Id="rId2148" Type="http://schemas.openxmlformats.org/officeDocument/2006/relationships/hyperlink" Target="https://mailchi.mp/4a1b3c4249ae/an-62are-adversarial-examples-caused-by-real-but-imperceptible-features" TargetMode="External"/><Relationship Id="rId2149" Type="http://schemas.openxmlformats.org/officeDocument/2006/relationships/hyperlink" Target="http://arxiv.org/abs/1812.02953" TargetMode="External"/><Relationship Id="rId3479" Type="http://schemas.openxmlformats.org/officeDocument/2006/relationships/hyperlink" Target="http://arxiv.org/abs/1901.11529" TargetMode="External"/><Relationship Id="rId3470" Type="http://schemas.openxmlformats.org/officeDocument/2006/relationships/hyperlink" Target="http://arxiv.org/abs/1902.00506" TargetMode="External"/><Relationship Id="rId2140" Type="http://schemas.openxmlformats.org/officeDocument/2006/relationships/hyperlink" Target="https://mailchi.mp/4a4bc2286f53/alignment-newsletter-14" TargetMode="External"/><Relationship Id="rId3472" Type="http://schemas.openxmlformats.org/officeDocument/2006/relationships/hyperlink" Target="http://www.marcgbellemare.info/blog/a-cooperative-benchmark-announcing-the-hanabi-learning-environment/" TargetMode="External"/><Relationship Id="rId2141" Type="http://schemas.openxmlformats.org/officeDocument/2006/relationships/hyperlink" Target="https://www.lesswrong.com/posts/TeYro2ntqHNyQFx8r/policy-approval" TargetMode="External"/><Relationship Id="rId3471" Type="http://schemas.openxmlformats.org/officeDocument/2006/relationships/hyperlink" Target="https://mailchi.mp/35b451cb4d70/alignment-newsletter-45" TargetMode="External"/><Relationship Id="rId2142" Type="http://schemas.openxmlformats.org/officeDocument/2006/relationships/hyperlink" Target="https://mailchi.mp/8234356e4b7f/alignment-newsletter-13" TargetMode="External"/><Relationship Id="rId3474" Type="http://schemas.openxmlformats.org/officeDocument/2006/relationships/hyperlink" Target="https://mailchi.mp/35b451cb4d70/alignment-newsletter-45" TargetMode="External"/><Relationship Id="rId2143" Type="http://schemas.openxmlformats.org/officeDocument/2006/relationships/hyperlink" Target="http://arxiv.org/abs/1806.08065" TargetMode="External"/><Relationship Id="rId3473" Type="http://schemas.openxmlformats.org/officeDocument/2006/relationships/hyperlink" Target="https://openreview.net/forum?id=r1lyTjAqYX" TargetMode="External"/><Relationship Id="rId2144" Type="http://schemas.openxmlformats.org/officeDocument/2006/relationships/hyperlink" Target="https://mailchi.mp/bcb2c6f1d507/alignment-newsletter-12" TargetMode="External"/><Relationship Id="rId3476" Type="http://schemas.openxmlformats.org/officeDocument/2006/relationships/hyperlink" Target="https://mailchi.mp/35b451cb4d70/alignment-newsletter-45" TargetMode="External"/><Relationship Id="rId2145" Type="http://schemas.openxmlformats.org/officeDocument/2006/relationships/hyperlink" Target="https://arxiv.org/abs/2008.02275" TargetMode="External"/><Relationship Id="rId3475" Type="http://schemas.openxmlformats.org/officeDocument/2006/relationships/hyperlink" Target="https://arxiv.org/abs/1901.11530" TargetMode="External"/><Relationship Id="rId2146" Type="http://schemas.openxmlformats.org/officeDocument/2006/relationships/hyperlink" Target="https://mailchi.mp/f064cf0b877f/an-113-checking-the-ethical-intuitions-of-large-language-models" TargetMode="External"/><Relationship Id="rId3478" Type="http://schemas.openxmlformats.org/officeDocument/2006/relationships/hyperlink" Target="https://mailchi.mp/35b451cb4d70/alignment-newsletter-45" TargetMode="External"/><Relationship Id="rId2147" Type="http://schemas.openxmlformats.org/officeDocument/2006/relationships/hyperlink" Target="https://arxiv.org/abs/1906.10918" TargetMode="External"/><Relationship Id="rId3477" Type="http://schemas.openxmlformats.org/officeDocument/2006/relationships/hyperlink" Target="https://arxiv.org/abs/1901.11524" TargetMode="External"/><Relationship Id="rId2137" Type="http://schemas.openxmlformats.org/officeDocument/2006/relationships/hyperlink" Target="http://arxiv.org/abs/1807.00366" TargetMode="External"/><Relationship Id="rId3469" Type="http://schemas.openxmlformats.org/officeDocument/2006/relationships/hyperlink" Target="https://mailchi.mp/35b451cb4d70/alignment-newsletter-45" TargetMode="External"/><Relationship Id="rId2138" Type="http://schemas.openxmlformats.org/officeDocument/2006/relationships/hyperlink" Target="https://mailchi.mp/4a4bc2286f53/alignment-newsletter-14" TargetMode="External"/><Relationship Id="rId3468" Type="http://schemas.openxmlformats.org/officeDocument/2006/relationships/hyperlink" Target="https://arxiv.org/abs/1901.11084" TargetMode="External"/><Relationship Id="rId2139" Type="http://schemas.openxmlformats.org/officeDocument/2006/relationships/hyperlink" Target="https://arxiv.org/abs/1705.10998" TargetMode="External"/><Relationship Id="rId3461" Type="http://schemas.openxmlformats.org/officeDocument/2006/relationships/hyperlink" Target="https://mailchi.mp/3091c6e9405c/alignment-newsletter-48" TargetMode="External"/><Relationship Id="rId2130" Type="http://schemas.openxmlformats.org/officeDocument/2006/relationships/hyperlink" Target="https://mailchi.mp/9295c961b39b/alignment-newsletter-23" TargetMode="External"/><Relationship Id="rId3460" Type="http://schemas.openxmlformats.org/officeDocument/2006/relationships/hyperlink" Target="https://blog.openai.com/neural-mmo/" TargetMode="External"/><Relationship Id="rId2131" Type="http://schemas.openxmlformats.org/officeDocument/2006/relationships/hyperlink" Target="http://arxiv.org/abs/1808.04503" TargetMode="External"/><Relationship Id="rId3463" Type="http://schemas.openxmlformats.org/officeDocument/2006/relationships/hyperlink" Target="https://mailchi.mp/3091c6e9405c/alignment-newsletter-48" TargetMode="External"/><Relationship Id="rId2132" Type="http://schemas.openxmlformats.org/officeDocument/2006/relationships/hyperlink" Target="https://mailchi.mp/5ad3a9643b6b/alignment-newsletter-21" TargetMode="External"/><Relationship Id="rId3462" Type="http://schemas.openxmlformats.org/officeDocument/2006/relationships/hyperlink" Target="http://arxiv.org/abs/1902.00528" TargetMode="External"/><Relationship Id="rId2133" Type="http://schemas.openxmlformats.org/officeDocument/2006/relationships/hyperlink" Target="http://arxiv.org/abs/1808.04096" TargetMode="External"/><Relationship Id="rId3465" Type="http://schemas.openxmlformats.org/officeDocument/2006/relationships/hyperlink" Target="https://mailchi.mp/260cd31d5f03/alignment-newsletter-47" TargetMode="External"/><Relationship Id="rId2134" Type="http://schemas.openxmlformats.org/officeDocument/2006/relationships/hyperlink" Target="https://mailchi.mp/d92bd0fefc83/alignment-newsletter-20" TargetMode="External"/><Relationship Id="rId3464" Type="http://schemas.openxmlformats.org/officeDocument/2006/relationships/hyperlink" Target="http://arxiv.org/abs/1901.09330" TargetMode="External"/><Relationship Id="rId2135" Type="http://schemas.openxmlformats.org/officeDocument/2006/relationships/hyperlink" Target="http://arxiv.org/abs/1807.06583" TargetMode="External"/><Relationship Id="rId3467" Type="http://schemas.openxmlformats.org/officeDocument/2006/relationships/hyperlink" Target="https://mailchi.mp/260cd31d5f03/alignment-newsletter-47" TargetMode="External"/><Relationship Id="rId2136" Type="http://schemas.openxmlformats.org/officeDocument/2006/relationships/hyperlink" Target="https://mailchi.mp/ad852629e45a/alignment-newsletter-17" TargetMode="External"/><Relationship Id="rId3466" Type="http://schemas.openxmlformats.org/officeDocument/2006/relationships/hyperlink" Target="http://ai.googleblog.com/2019/02/learning-to-generalize-from-sparse-and.html" TargetMode="External"/><Relationship Id="rId3490" Type="http://schemas.openxmlformats.org/officeDocument/2006/relationships/hyperlink" Target="https://mailchi.mp/6eb8190e723f/alignment-newsletter-37" TargetMode="External"/><Relationship Id="rId2160" Type="http://schemas.openxmlformats.org/officeDocument/2006/relationships/hyperlink" Target="https://mailchi.mp/f2950ed2ac4b/alignment-newsletter-16" TargetMode="External"/><Relationship Id="rId3492" Type="http://schemas.openxmlformats.org/officeDocument/2006/relationships/hyperlink" Target="https://mailchi.mp/6751e45fbb48/alignment-newsletter-36" TargetMode="External"/><Relationship Id="rId2161" Type="http://schemas.openxmlformats.org/officeDocument/2006/relationships/hyperlink" Target="https://thegradient.pub/independently-reproducible-machine-learning/" TargetMode="External"/><Relationship Id="rId3491" Type="http://schemas.openxmlformats.org/officeDocument/2006/relationships/hyperlink" Target="https://arxiv.org/abs/1811.12560" TargetMode="External"/><Relationship Id="rId2162" Type="http://schemas.openxmlformats.org/officeDocument/2006/relationships/hyperlink" Target="https://mailchi.mp/1acb030735dd/an-91concepts-implementations-problems-and-a-benchmark-for-impact-measurement" TargetMode="External"/><Relationship Id="rId3494" Type="http://schemas.openxmlformats.org/officeDocument/2006/relationships/hyperlink" Target="https://mailchi.mp/bbd47ba94e84/alignment-newsletter-35" TargetMode="External"/><Relationship Id="rId2163" Type="http://schemas.openxmlformats.org/officeDocument/2006/relationships/hyperlink" Target="https://arxiv.org/abs/1909.06674" TargetMode="External"/><Relationship Id="rId3493" Type="http://schemas.openxmlformats.org/officeDocument/2006/relationships/hyperlink" Target="http://arxiv.org/abs/1811.11359" TargetMode="External"/><Relationship Id="rId2164" Type="http://schemas.openxmlformats.org/officeDocument/2006/relationships/hyperlink" Target="https://ai.googleblog.com/2018/10/fluid-annotation-exploratory-machine.html" TargetMode="External"/><Relationship Id="rId3496" Type="http://schemas.openxmlformats.org/officeDocument/2006/relationships/hyperlink" Target="https://mailchi.mp/f1947668b183/alignment-newsletter-34" TargetMode="External"/><Relationship Id="rId2165" Type="http://schemas.openxmlformats.org/officeDocument/2006/relationships/hyperlink" Target="https://mailchi.mp/c1f376f3a12e/alignment-newsletter-30" TargetMode="External"/><Relationship Id="rId3495" Type="http://schemas.openxmlformats.org/officeDocument/2006/relationships/hyperlink" Target="http://arxiv.org/abs/1811.06032" TargetMode="External"/><Relationship Id="rId2166" Type="http://schemas.openxmlformats.org/officeDocument/2006/relationships/hyperlink" Target="https://papers.nips.cc/paper/7669-meta-learning-mcmc-proposals.pdf" TargetMode="External"/><Relationship Id="rId3498" Type="http://schemas.openxmlformats.org/officeDocument/2006/relationships/hyperlink" Target="https://mailchi.mp/f1947668b183/alignment-newsletter-34" TargetMode="External"/><Relationship Id="rId2167" Type="http://schemas.openxmlformats.org/officeDocument/2006/relationships/hyperlink" Target="https://arxiv.org/abs/1904.09237" TargetMode="External"/><Relationship Id="rId3497" Type="http://schemas.openxmlformats.org/officeDocument/2006/relationships/hyperlink" Target="http://arxiv.org/abs/1811.06272" TargetMode="External"/><Relationship Id="rId2168" Type="http://schemas.openxmlformats.org/officeDocument/2006/relationships/hyperlink" Target="https://mailchi.mp/0ae5d69de63b/alignment-newsletter-5" TargetMode="External"/><Relationship Id="rId2169" Type="http://schemas.openxmlformats.org/officeDocument/2006/relationships/hyperlink" Target="https://arxiv.org/abs/1811.04251" TargetMode="External"/><Relationship Id="rId3499" Type="http://schemas.openxmlformats.org/officeDocument/2006/relationships/hyperlink" Target="http://arxiv.org/abs/1811.04551" TargetMode="External"/><Relationship Id="rId2159" Type="http://schemas.openxmlformats.org/officeDocument/2006/relationships/hyperlink" Target="https://www.herox.com/EthicsNet" TargetMode="External"/><Relationship Id="rId3481" Type="http://schemas.openxmlformats.org/officeDocument/2006/relationships/hyperlink" Target="http://arxiv.org/abs/1901.08162" TargetMode="External"/><Relationship Id="rId2150" Type="http://schemas.openxmlformats.org/officeDocument/2006/relationships/hyperlink" Target="https://mailchi.mp/6eb8190e723f/alignment-newsletter-37" TargetMode="External"/><Relationship Id="rId3480" Type="http://schemas.openxmlformats.org/officeDocument/2006/relationships/hyperlink" Target="https://mailchi.mp/35b451cb4d70/alignment-newsletter-45" TargetMode="External"/><Relationship Id="rId2151" Type="http://schemas.openxmlformats.org/officeDocument/2006/relationships/hyperlink" Target="http://arxiv.org/abs/1812.03980" TargetMode="External"/><Relationship Id="rId3483" Type="http://schemas.openxmlformats.org/officeDocument/2006/relationships/hyperlink" Target="http://arxiv.org/abs/1901.01753" TargetMode="External"/><Relationship Id="rId2152" Type="http://schemas.openxmlformats.org/officeDocument/2006/relationships/hyperlink" Target="https://mailchi.mp/6eb8190e723f/alignment-newsletter-37" TargetMode="External"/><Relationship Id="rId3482" Type="http://schemas.openxmlformats.org/officeDocument/2006/relationships/hyperlink" Target="https://mailchi.mp/6bfac400a0c3/alignment-newsletter-44" TargetMode="External"/><Relationship Id="rId2153" Type="http://schemas.openxmlformats.org/officeDocument/2006/relationships/hyperlink" Target="http://arxiv.org/abs/2006.04734" TargetMode="External"/><Relationship Id="rId3485" Type="http://schemas.openxmlformats.org/officeDocument/2006/relationships/hyperlink" Target="http://arxiv.org/abs/1901.00943" TargetMode="External"/><Relationship Id="rId2154" Type="http://schemas.openxmlformats.org/officeDocument/2006/relationships/hyperlink" Target="https://mailchi.mp/d31663e4d330/an-116-how-to-make-explanations-of-neurons-compositional" TargetMode="External"/><Relationship Id="rId3484" Type="http://schemas.openxmlformats.org/officeDocument/2006/relationships/hyperlink" Target="https://mailchi.mp/8c3f02cabccd/alignment-newsletter-41" TargetMode="External"/><Relationship Id="rId2155" Type="http://schemas.openxmlformats.org/officeDocument/2006/relationships/hyperlink" Target="https://www.wired.com/story/tech-firms-move-to-put-ethical-guard-rails-around-ai" TargetMode="External"/><Relationship Id="rId3487" Type="http://schemas.openxmlformats.org/officeDocument/2006/relationships/hyperlink" Target="https://arxiv.org/abs/1804.06893" TargetMode="External"/><Relationship Id="rId2156" Type="http://schemas.openxmlformats.org/officeDocument/2006/relationships/hyperlink" Target="https://mailchi.mp/3e550712419a/alignment-newsletter-7" TargetMode="External"/><Relationship Id="rId3486" Type="http://schemas.openxmlformats.org/officeDocument/2006/relationships/hyperlink" Target="https://mailchi.mp/8c3f02cabccd/alignment-newsletter-41" TargetMode="External"/><Relationship Id="rId2157" Type="http://schemas.openxmlformats.org/officeDocument/2006/relationships/hyperlink" Target="https://www.lesswrong.com/posts/uEAvtbtEBdsQJMdh8/a-developmentally-situated-approach-to-teaching-normative" TargetMode="External"/><Relationship Id="rId3489" Type="http://schemas.openxmlformats.org/officeDocument/2006/relationships/hyperlink" Target="http://bair.berkeley.edu/blog/2018/12/14/sac/" TargetMode="External"/><Relationship Id="rId2158" Type="http://schemas.openxmlformats.org/officeDocument/2006/relationships/hyperlink" Target="https://mailchi.mp/d92bd0fefc83/alignment-newsletter-20" TargetMode="External"/><Relationship Id="rId3488" Type="http://schemas.openxmlformats.org/officeDocument/2006/relationships/hyperlink" Target="https://mailchi.mp/32f89a74a7b6/alignment-newsletter-4" TargetMode="External"/><Relationship Id="rId2104" Type="http://schemas.openxmlformats.org/officeDocument/2006/relationships/hyperlink" Target="https://mailchi.mp/474d6a8a4527/an-110-learning-features-from-human-feedback-to-enable-reward-learning" TargetMode="External"/><Relationship Id="rId3436" Type="http://schemas.openxmlformats.org/officeDocument/2006/relationships/hyperlink" Target="https://mailchi.mp/894417149126/an-56-should-ml-researchers-stop-running-experiments-before-making-hypotheses" TargetMode="External"/><Relationship Id="rId2105" Type="http://schemas.openxmlformats.org/officeDocument/2006/relationships/hyperlink" Target="https://www.lesserwrong.com/posts/pQz97SLCRMwHs6BzF/using-lying-to-detect-human-values" TargetMode="External"/><Relationship Id="rId3435" Type="http://schemas.openxmlformats.org/officeDocument/2006/relationships/hyperlink" Target="https://arxiv.org/abs/1905.02825" TargetMode="External"/><Relationship Id="rId2106" Type="http://schemas.openxmlformats.org/officeDocument/2006/relationships/hyperlink" Target="https://mailchi.mp/e402599bfb1f/reconnaissance-4" TargetMode="External"/><Relationship Id="rId3438" Type="http://schemas.openxmlformats.org/officeDocument/2006/relationships/hyperlink" Target="https://mailchi.mp/894417149126/an-56-should-ml-researchers-stop-running-experiments-before-making-hypotheses" TargetMode="External"/><Relationship Id="rId2107" Type="http://schemas.openxmlformats.org/officeDocument/2006/relationships/hyperlink" Target="http://arxiv.org/abs/1907.03046" TargetMode="External"/><Relationship Id="rId3437" Type="http://schemas.openxmlformats.org/officeDocument/2006/relationships/hyperlink" Target="http://arxiv.org/abs/1905.03231" TargetMode="External"/><Relationship Id="rId2108" Type="http://schemas.openxmlformats.org/officeDocument/2006/relationships/hyperlink" Target="https://www.alignmentforum.org/posts/k8F8TBzuZtLheJt47/deconfusing-human-values-research-agenda-v1" TargetMode="External"/><Relationship Id="rId2109" Type="http://schemas.openxmlformats.org/officeDocument/2006/relationships/hyperlink" Target="https://mailchi.mp/976b1f69179c/an-93the-precipice-were-standing-at-and-how-we-can-back-away-from-it" TargetMode="External"/><Relationship Id="rId3439" Type="http://schemas.openxmlformats.org/officeDocument/2006/relationships/hyperlink" Target="http://arxiv.org/abs/1902.10250" TargetMode="External"/><Relationship Id="rId3430" Type="http://schemas.openxmlformats.org/officeDocument/2006/relationships/hyperlink" Target="https://bair.berkeley.edu/blog/2019/06/10/pearl/" TargetMode="External"/><Relationship Id="rId2100" Type="http://schemas.openxmlformats.org/officeDocument/2006/relationships/hyperlink" Target="https://mailchi.mp/62ef1fe8c13a/an-123inferring-what-is-valuable-in-order-to-align-recommender-systems" TargetMode="External"/><Relationship Id="rId3432" Type="http://schemas.openxmlformats.org/officeDocument/2006/relationships/hyperlink" Target="https://arxiv.org/abs/1903.08254" TargetMode="External"/><Relationship Id="rId2101" Type="http://schemas.openxmlformats.org/officeDocument/2006/relationships/hyperlink" Target="https://www.alignmentforum.org/posts/4kYkYSKSALH4JaQ99/toy-problem-detective-story-alignment" TargetMode="External"/><Relationship Id="rId3431" Type="http://schemas.openxmlformats.org/officeDocument/2006/relationships/hyperlink" Target="https://mailchi.mp/533c646a4b21/an-63how-architecture-search-meta-learning-and-environment-design-could-lead-to-general-intelligence" TargetMode="External"/><Relationship Id="rId2102" Type="http://schemas.openxmlformats.org/officeDocument/2006/relationships/hyperlink" Target="https://mailchi.mp/051273eb96eb/an-122arguing-for-agi-driven-existential-risk-from-first-principles" TargetMode="External"/><Relationship Id="rId3434" Type="http://schemas.openxmlformats.org/officeDocument/2006/relationships/hyperlink" Target="https://mailchi.mp/b342d1a1bd06/an-59-how-arguments-for-ai-risk-have-changed-over-time" TargetMode="External"/><Relationship Id="rId2103" Type="http://schemas.openxmlformats.org/officeDocument/2006/relationships/hyperlink" Target="http://arxiv.org/abs/2006.14804" TargetMode="External"/><Relationship Id="rId3433" Type="http://schemas.openxmlformats.org/officeDocument/2006/relationships/hyperlink" Target="https://arxiv.org/abs/1906.08226" TargetMode="External"/><Relationship Id="rId3425" Type="http://schemas.openxmlformats.org/officeDocument/2006/relationships/hyperlink" Target="https://mailchi.mp/87c0d944c461/an-68-the-attainable-utility-theory-of-impact" TargetMode="External"/><Relationship Id="rId3424" Type="http://schemas.openxmlformats.org/officeDocument/2006/relationships/hyperlink" Target="https://arxiv.org/abs/1908.03568" TargetMode="External"/><Relationship Id="rId3427" Type="http://schemas.openxmlformats.org/officeDocument/2006/relationships/hyperlink" Target="https://mailchi.mp/38af1edcd025/an-67creating-environments-in-which-to-study-inner-alignment-failures" TargetMode="External"/><Relationship Id="rId3426" Type="http://schemas.openxmlformats.org/officeDocument/2006/relationships/hyperlink" Target="https://arxiv.org/abs/1906.00336" TargetMode="External"/><Relationship Id="rId3429" Type="http://schemas.openxmlformats.org/officeDocument/2006/relationships/hyperlink" Target="https://mailchi.mp/533c646a4b21/an-63how-architecture-search-meta-learning-and-environment-design-could-lead-to-general-intelligence" TargetMode="External"/><Relationship Id="rId3428" Type="http://schemas.openxmlformats.org/officeDocument/2006/relationships/hyperlink" Target="https://arxiv.org/abs/1811.02553" TargetMode="External"/><Relationship Id="rId899" Type="http://schemas.openxmlformats.org/officeDocument/2006/relationships/hyperlink" Target="https://mailchi.mp/e6a23da2760e/alignment-newsletter-3?e=f665c7b50a" TargetMode="External"/><Relationship Id="rId898" Type="http://schemas.openxmlformats.org/officeDocument/2006/relationships/hyperlink" Target="https://arxiv.org/abs/1804.03235" TargetMode="External"/><Relationship Id="rId897" Type="http://schemas.openxmlformats.org/officeDocument/2006/relationships/hyperlink" Target="https://mailchi.mp/e6a23da2760e/alignment-newsletter-3?e=f665c7b50a" TargetMode="External"/><Relationship Id="rId896" Type="http://schemas.openxmlformats.org/officeDocument/2006/relationships/hyperlink" Target="https://dawn.cs.stanford.edu/benchmark/" TargetMode="External"/><Relationship Id="rId891" Type="http://schemas.openxmlformats.org/officeDocument/2006/relationships/hyperlink" Target="https://mailchi.mp/7d0e3916e3d9/alignment-newsletter-31" TargetMode="External"/><Relationship Id="rId890" Type="http://schemas.openxmlformats.org/officeDocument/2006/relationships/hyperlink" Target="https://ai.googleblog.com/2018/10/introducing-adanet-fast-and-flexible.html" TargetMode="External"/><Relationship Id="rId895" Type="http://schemas.openxmlformats.org/officeDocument/2006/relationships/hyperlink" Target="https://mailchi.mp/c1f376f3a12e/alignment-newsletter-30" TargetMode="External"/><Relationship Id="rId3421" Type="http://schemas.openxmlformats.org/officeDocument/2006/relationships/hyperlink" Target="https://mailchi.mp/1106d0ce6766/an-76how-dataset-size-affects-robustness-and-benchmarking-safe-exploration-by-measuring-constraint-violations" TargetMode="External"/><Relationship Id="rId894" Type="http://schemas.openxmlformats.org/officeDocument/2006/relationships/hyperlink" Target="http://arxiv.org/abs/1806.01203" TargetMode="External"/><Relationship Id="rId3420" Type="http://schemas.openxmlformats.org/officeDocument/2006/relationships/hyperlink" Target="http://arxiv.org/abs/1910.06764" TargetMode="External"/><Relationship Id="rId893" Type="http://schemas.openxmlformats.org/officeDocument/2006/relationships/hyperlink" Target="https://mailchi.mp/c1f376f3a12e/alignment-newsletter-30" TargetMode="External"/><Relationship Id="rId3423" Type="http://schemas.openxmlformats.org/officeDocument/2006/relationships/hyperlink" Target="https://mailchi.mp/3e550712419a/alignment-newsletter-7" TargetMode="External"/><Relationship Id="rId892" Type="http://schemas.openxmlformats.org/officeDocument/2006/relationships/hyperlink" Target="http://arxiv.org/abs/1806.01822" TargetMode="External"/><Relationship Id="rId3422" Type="http://schemas.openxmlformats.org/officeDocument/2006/relationships/hyperlink" Target="https://arxiv.org/abs/1805.03359" TargetMode="External"/><Relationship Id="rId2126" Type="http://schemas.openxmlformats.org/officeDocument/2006/relationships/hyperlink" Target="https://mailchi.mp/d7b5059d64ed/alignment-newsletter-24" TargetMode="External"/><Relationship Id="rId3458" Type="http://schemas.openxmlformats.org/officeDocument/2006/relationships/hyperlink" Target="https://ai.googleblog.com/2019/02/long-range-robotic-navigation-via.html" TargetMode="External"/><Relationship Id="rId2127" Type="http://schemas.openxmlformats.org/officeDocument/2006/relationships/hyperlink" Target="http://arxiv.org/abs/1808.09572" TargetMode="External"/><Relationship Id="rId3457" Type="http://schemas.openxmlformats.org/officeDocument/2006/relationships/hyperlink" Target="https://mailchi.mp/3091c6e9405c/alignment-newsletter-48" TargetMode="External"/><Relationship Id="rId2128" Type="http://schemas.openxmlformats.org/officeDocument/2006/relationships/hyperlink" Target="https://mailchi.mp/9295c961b39b/alignment-newsletter-23" TargetMode="External"/><Relationship Id="rId2129" Type="http://schemas.openxmlformats.org/officeDocument/2006/relationships/hyperlink" Target="http://arxiv.org/abs/1809.01036" TargetMode="External"/><Relationship Id="rId3459" Type="http://schemas.openxmlformats.org/officeDocument/2006/relationships/hyperlink" Target="https://mailchi.mp/3091c6e9405c/alignment-newsletter-48" TargetMode="External"/><Relationship Id="rId3450" Type="http://schemas.openxmlformats.org/officeDocument/2006/relationships/hyperlink" Target="https://arxiv.org/abs/1805.00909" TargetMode="External"/><Relationship Id="rId2120" Type="http://schemas.openxmlformats.org/officeDocument/2006/relationships/hyperlink" Target="https://www.alignmentforum.org/posts/bbw6c9as5STvWXAgB/syntax-vs-semantics-alarm-better-example-than-thermostat" TargetMode="External"/><Relationship Id="rId3452" Type="http://schemas.openxmlformats.org/officeDocument/2006/relationships/hyperlink" Target="https://arxiv.org/abs/1804.08597" TargetMode="External"/><Relationship Id="rId2121" Type="http://schemas.openxmlformats.org/officeDocument/2006/relationships/hyperlink" Target="https://mailchi.mp/3091c6e9405c/alignment-newsletter-48" TargetMode="External"/><Relationship Id="rId3451" Type="http://schemas.openxmlformats.org/officeDocument/2006/relationships/hyperlink" Target="https://mailchi.mp/0ae5d69de63b/alignment-newsletter-5" TargetMode="External"/><Relationship Id="rId2122" Type="http://schemas.openxmlformats.org/officeDocument/2006/relationships/hyperlink" Target="https://www.alignmentforum.org/posts/EEPdbtvW8ei9Yi2e8/bridging-syntax-and-semantics-empirically" TargetMode="External"/><Relationship Id="rId3454" Type="http://schemas.openxmlformats.org/officeDocument/2006/relationships/hyperlink" Target="http://arxiv.org/abs/1903.01599" TargetMode="External"/><Relationship Id="rId2123" Type="http://schemas.openxmlformats.org/officeDocument/2006/relationships/hyperlink" Target="https://arxiv.org/abs/1804.08606" TargetMode="External"/><Relationship Id="rId3453" Type="http://schemas.openxmlformats.org/officeDocument/2006/relationships/hyperlink" Target="https://mailchi.mp/0ae5d69de63b/alignment-newsletter-5" TargetMode="External"/><Relationship Id="rId2124" Type="http://schemas.openxmlformats.org/officeDocument/2006/relationships/hyperlink" Target="https://mailchi.mp/32f89a74a7b6/alignment-newsletter-4" TargetMode="External"/><Relationship Id="rId3456" Type="http://schemas.openxmlformats.org/officeDocument/2006/relationships/hyperlink" Target="https://arxiv.org/abs/1903.00742" TargetMode="External"/><Relationship Id="rId2125" Type="http://schemas.openxmlformats.org/officeDocument/2006/relationships/hyperlink" Target="http://arxiv.org/abs/1809.03447" TargetMode="External"/><Relationship Id="rId3455" Type="http://schemas.openxmlformats.org/officeDocument/2006/relationships/hyperlink" Target="https://mailchi.mp/efed27be268a/alignment-newsletter-49" TargetMode="External"/><Relationship Id="rId2115" Type="http://schemas.openxmlformats.org/officeDocument/2006/relationships/hyperlink" Target="https://mailchi.mp/0dd8eb63fe2d/an-60a-new-ai-challenge-minecraft-agents-that-assist-human-players-in-creative-mode" TargetMode="External"/><Relationship Id="rId3447" Type="http://schemas.openxmlformats.org/officeDocument/2006/relationships/hyperlink" Target="https://mailchi.mp/93fe1a0a92da/alignment-newsletter-50" TargetMode="External"/><Relationship Id="rId2116" Type="http://schemas.openxmlformats.org/officeDocument/2006/relationships/hyperlink" Target="https://alignmentforum.org/posts/upP8PYgHfXgvgh3FF/training-human-models-is-an-unsolved-problem" TargetMode="External"/><Relationship Id="rId3446" Type="http://schemas.openxmlformats.org/officeDocument/2006/relationships/hyperlink" Target="https://bair.berkeley.edu/blog/2019/03/18/rl-generalization/" TargetMode="External"/><Relationship Id="rId2117" Type="http://schemas.openxmlformats.org/officeDocument/2006/relationships/hyperlink" Target="https://mailchi.mp/894417149126/an-56-should-ml-researchers-stop-running-experiments-before-making-hypotheses" TargetMode="External"/><Relationship Id="rId3449" Type="http://schemas.openxmlformats.org/officeDocument/2006/relationships/hyperlink" Target="https://mailchi.mp/0ae5d69de63b/alignment-newsletter-5" TargetMode="External"/><Relationship Id="rId2118" Type="http://schemas.openxmlformats.org/officeDocument/2006/relationships/hyperlink" Target="http://arxiv.org/abs/1902.06007" TargetMode="External"/><Relationship Id="rId3448" Type="http://schemas.openxmlformats.org/officeDocument/2006/relationships/hyperlink" Target="http://bair.berkeley.edu/blog/2018/04/26/tdm/" TargetMode="External"/><Relationship Id="rId2119" Type="http://schemas.openxmlformats.org/officeDocument/2006/relationships/hyperlink" Target="https://mailchi.mp/a90a547f06f2/alignment-newsletter-51" TargetMode="External"/><Relationship Id="rId3441" Type="http://schemas.openxmlformats.org/officeDocument/2006/relationships/hyperlink" Target="https://ai.googleblog.com/2019/03/simulated-policy-learning-in-video.html" TargetMode="External"/><Relationship Id="rId2110" Type="http://schemas.openxmlformats.org/officeDocument/2006/relationships/hyperlink" Target="http://arxiv.org/abs/1805.07871" TargetMode="External"/><Relationship Id="rId3440" Type="http://schemas.openxmlformats.org/officeDocument/2006/relationships/hyperlink" Target="https://mailchi.mp/a90a547f06f2/alignment-newsletter-51" TargetMode="External"/><Relationship Id="rId2111" Type="http://schemas.openxmlformats.org/officeDocument/2006/relationships/hyperlink" Target="https://mailchi.mp/15397ab6f65c/alignment-newsletter-8" TargetMode="External"/><Relationship Id="rId3443" Type="http://schemas.openxmlformats.org/officeDocument/2006/relationships/hyperlink" Target="https://arxiv.org/abs/1903.00374" TargetMode="External"/><Relationship Id="rId2112" Type="http://schemas.openxmlformats.org/officeDocument/2006/relationships/hyperlink" Target="http://arxiv.org/abs/1805.07805" TargetMode="External"/><Relationship Id="rId3442" Type="http://schemas.openxmlformats.org/officeDocument/2006/relationships/hyperlink" Target="https://mailchi.mp/a90a547f06f2/alignment-newsletter-51" TargetMode="External"/><Relationship Id="rId2113" Type="http://schemas.openxmlformats.org/officeDocument/2006/relationships/hyperlink" Target="https://mailchi.mp/15397ab6f65c/alignment-newsletter-8" TargetMode="External"/><Relationship Id="rId3445" Type="http://schemas.openxmlformats.org/officeDocument/2006/relationships/hyperlink" Target="https://mailchi.mp/a90a547f06f2/alignment-newsletter-51" TargetMode="External"/><Relationship Id="rId2114" Type="http://schemas.openxmlformats.org/officeDocument/2006/relationships/hyperlink" Target="https://www.alignmentforum.org/posts/kahBLu32sZAuAZbER/irl-in-general-environments" TargetMode="External"/><Relationship Id="rId3444" Type="http://schemas.openxmlformats.org/officeDocument/2006/relationships/hyperlink" Target="https://ai.googleblog.com/2019/03/unifying-physics-and-deep-learning-with.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8.0"/>
    <col customWidth="1" min="3" max="3" width="45.13"/>
    <col customWidth="1" min="4" max="4" width="16.0"/>
    <col customWidth="1" min="5" max="5" width="11.25"/>
    <col customWidth="1" min="6" max="6" width="4.63"/>
    <col customWidth="1" min="9" max="9" width="21.88"/>
    <col customWidth="1" min="10" max="10" width="40.75"/>
  </cols>
  <sheetData>
    <row r="1">
      <c r="A1" s="1" t="str">
        <f>IFERROR(__xludf.DUMMYFUNCTION("IMPORTRANGE(""1wVIO9YIitWf6mN44luA-zpn9Gbtb50jWTozPMWRejCM"",""Public!A1:Z2000"")"),"Category")</f>
        <v>Category</v>
      </c>
      <c r="B1" s="1" t="str">
        <f>IFERROR(__xludf.DUMMYFUNCTION("""COMPUTED_VALUE"""),"Highlight?")</f>
        <v>Highlight?</v>
      </c>
      <c r="C1" s="1" t="str">
        <f>IFERROR(__xludf.DUMMYFUNCTION("""COMPUTED_VALUE"""),"Title")</f>
        <v>Title</v>
      </c>
      <c r="D1" s="1" t="str">
        <f>IFERROR(__xludf.DUMMYFUNCTION("""COMPUTED_VALUE"""),"Authors")</f>
        <v>Authors</v>
      </c>
      <c r="E1" s="1" t="str">
        <f>IFERROR(__xludf.DUMMYFUNCTION("""COMPUTED_VALUE"""),"Venue")</f>
        <v>Venue</v>
      </c>
      <c r="F1" s="1" t="str">
        <f>IFERROR(__xludf.DUMMYFUNCTION("""COMPUTED_VALUE"""),"Year")</f>
        <v>Year</v>
      </c>
      <c r="G1" s="1" t="str">
        <f>IFERROR(__xludf.DUMMYFUNCTION("""COMPUTED_VALUE"""),"H/T")</f>
        <v>H/T</v>
      </c>
      <c r="H1" s="1" t="str">
        <f>IFERROR(__xludf.DUMMYFUNCTION("""COMPUTED_VALUE"""),"Email")</f>
        <v>Email</v>
      </c>
      <c r="I1" s="1" t="str">
        <f>IFERROR(__xludf.DUMMYFUNCTION("""COMPUTED_VALUE"""),"Summarizer")</f>
        <v>Summarizer</v>
      </c>
      <c r="J1" s="1" t="str">
        <f>IFERROR(__xludf.DUMMYFUNCTION("""COMPUTED_VALUE"""),"Summary")</f>
        <v>Summary</v>
      </c>
      <c r="K1" t="str">
        <f>IFERROR(__xludf.DUMMYFUNCTION("""COMPUTED_VALUE"""),"My opinion")</f>
        <v>My opinion</v>
      </c>
      <c r="L1" t="str">
        <f>IFERROR(__xludf.DUMMYFUNCTION("""COMPUTED_VALUE"""),"Prerequisites")</f>
        <v>Prerequisites</v>
      </c>
      <c r="M1" t="str">
        <f>IFERROR(__xludf.DUMMYFUNCTION("""COMPUTED_VALUE"""),"Read more")</f>
        <v>Read more</v>
      </c>
    </row>
    <row r="2">
      <c r="A2" s="1" t="str">
        <f>IFERROR(__xludf.DUMMYFUNCTION("""COMPUTED_VALUE"""),"Adversarial examples")</f>
        <v>Adversarial examples</v>
      </c>
      <c r="B2" s="1" t="str">
        <f>IFERROR(__xludf.DUMMYFUNCTION("""COMPUTED_VALUE"""),"Highlight")</f>
        <v>Highlight</v>
      </c>
      <c r="C2" s="2" t="str">
        <f>IFERROR(__xludf.DUMMYFUNCTION("""COMPUTED_VALUE"""),"Adversarial Examples Are Not Bugs, They Are Features")</f>
        <v>Adversarial Examples Are Not Bugs, They Are Features</v>
      </c>
      <c r="D2" s="1" t="str">
        <f>IFERROR(__xludf.DUMMYFUNCTION("""COMPUTED_VALUE"""),"Andrew Ilyas*, Shibani Santurkar*, Dimitris Tsipras*, Logan Engstrom*, Brandon Tran, Aleksander Madry")</f>
        <v>Andrew Ilyas*, Shibani Santurkar*, Dimitris Tsipras*, Logan Engstrom*, Brandon Tran, Aleksander Madry</v>
      </c>
      <c r="E2" s="1" t="str">
        <f>IFERROR(__xludf.DUMMYFUNCTION("""COMPUTED_VALUE"""),"arXiv")</f>
        <v>arXiv</v>
      </c>
      <c r="F2" s="1">
        <f>IFERROR(__xludf.DUMMYFUNCTION("""COMPUTED_VALUE"""),2019.0)</f>
        <v>2019</v>
      </c>
      <c r="G2" s="1"/>
      <c r="H2" s="2" t="str">
        <f>IFERROR(__xludf.DUMMYFUNCTION("""COMPUTED_VALUE"""),"AN #62")</f>
        <v>AN #62</v>
      </c>
      <c r="I2" s="1" t="str">
        <f>IFERROR(__xludf.DUMMYFUNCTION("""COMPUTED_VALUE"""),"Rohin")</f>
        <v>Rohin</v>
      </c>
      <c r="J2" s="1" t="str">
        <f>IFERROR(__xludf.DUMMYFUNCTION("""COMPUTED_VALUE"""),"_Distill published a discussion of this paper. This highlights section will cover the full discussion; all of these summaries and opinions are meant to be read together._
Consider two possible explanations of adversarial examples. First, they could be ca"&amp;"used because the model ""hallucinates"" a signal that is not useful for classification, and it becomes very sensitive to this feature. We could call these ""bugs"", since they don't generalize well. Second, they could be caused by features that _do_ gener"&amp;"alize to the test set, but _can_ be modified by an adversarial perturbation. We could call these ""non-robust features"" (as opposed to ""robust features"", which can't be changed by an adversarial perturbation). The authors argue that at least some adver"&amp;"sarial perturbations fall into the second category of being informative but sensitive features, based on two experiments.
If the ""hallucination"" explanation were true, the hallucinations would presumably be caused by the training process, the choice of"&amp;" architecture, the size of the dataset, **but not by the type of data**. So one thing to do would be to see if we can construct a dataset such that a model trained on that dataset is _already_ robust, without adversarial training. The authors do this in t"&amp;"he first experiment. They take an adversarially trained robust classifier, and create images whose features (final-layer activations of the robust classifier) match the features of some unmodified input. The generated images only have robust features beca"&amp;"use the original classifier was robust, and in fact models trained on this dataset are automatically robust.
If the ""non-robust features"" explanation were true, then it should be possible for a model to learn on a dataset containing only non-robust fea"&amp;"tures (which will look nonsensical to humans) and **still generalize to a normal-looking test set**. In the second experiment (henceforth WrongLabels), the authors construct such a dataset. Their hypothesis is that adversarial perturbations work by introd"&amp;"ucing non-robust features of the target class. So, to construct their dataset, they take an image x with original label y, adversarially perturb it towards some class y' to get image x', and then add (x', y') to their dataset (even though to a human x' lo"&amp;"oks like class y). They have two versions of this: in RandLabels, the target class y' is chosen randomly, whereas in DetLabels, y' is chosen to be y + 1. For both datasets, if you train a new model on the dataset, you get good performance **on the origina"&amp;"l test set**, showing that the ""non-robust features"" do generalize.")</f>
        <v>_Distill published a discussion of this paper. This highlights section will cover the full discussion; all of these summaries and opinions are meant to be read together._
Consider two possible explanations of adversarial examples. First, they could be caused because the model "hallucinates" a signal that is not useful for classification, and it becomes very sensitive to this feature. We could call these "bugs", since they don't generalize well. Second, they could be caused by features that _do_ generalize to the test set, but _can_ be modified by an adversarial perturbation. We could call these "non-robust features" (as opposed to "robust features", which can't be changed by an adversarial perturbation). The authors argue that at least some adversarial perturbations fall into the second category of being informative but sensitive features, based on two experiments.
If the "hallucination" explanation were true, the hallucinations would presumably be caused by the training process, the choice of architecture, the size of the dataset, **but not by the type of data**. So one thing to do would be to see if we can construct a dataset such that a model trained on that dataset is _already_ robust, without adversarial training. The authors do this in the first experiment. They take an adversarially trained robust classifier, and create images whose features (final-layer activations of the robust classifier) match the features of some unmodified input. The generated images only have robust features because the original classifier was robust, and in fact models trained on this dataset are automatically robust.
If the "non-robust features" explanation were true, then it should be possible for a model to learn on a dataset containing only non-robust features (which will look nonsensical to humans) and **still generalize to a normal-looking test set**. In the second experiment (henceforth WrongLabels), the authors construct such a dataset. Their hypothesis is that adversarial perturbations work by introducing non-robust features of the target class. So, to construct their dataset, they take an image x with original label y, adversarially perturb it towards some class y' to get image x', and then add (x', y') to their dataset (even though to a human x' looks like class y). They have two versions of this: in RandLabels, the target class y' is chosen randomly, whereas in DetLabels, y' is chosen to be y + 1. For both datasets, if you train a new model on the dataset, you get good performance **on the original test set**, showing that the "non-robust features" do generalize.</v>
      </c>
      <c r="K2" t="str">
        <f>IFERROR(__xludf.DUMMYFUNCTION("""COMPUTED_VALUE"""),"I buy this hypothesis. It explains why adversarial examples occur (""because they are useful to reduce loss""), and why they transfer across models (""because different models can learn the same non-robust features""). In fact, the paper shows that archit"&amp;"ectures that did worse in ExpWrongLabels (and so presumably are bad at learning non-robust features) are also the ones to which adversarial examples transfer the least. I'll leave the rest of my opinion to the opinions on the responses.")</f>
        <v>I buy this hypothesis. It explains why adversarial examples occur ("because they are useful to reduce loss"), and why they transfer across models ("because different models can learn the same non-robust features"). In fact, the paper shows that architectures that did worse in ExpWrongLabels (and so presumably are bad at learning non-robust features) are also the ones to which adversarial examples transfer the least. I'll leave the rest of my opinion to the opinions on the responses.</v>
      </c>
      <c r="M2" t="str">
        <f>IFERROR(__xludf.DUMMYFUNCTION("""COMPUTED_VALUE"""),"[Paper](https://arxiv.org/abs/1905.02175) and [Author response](https://distill.pub/2019/advex-bugs-discussion/original-authors/)")</f>
        <v>[Paper](https://arxiv.org/abs/1905.02175) and [Author response](https://distill.pub/2019/advex-bugs-discussion/original-authors/)</v>
      </c>
    </row>
    <row r="3">
      <c r="A3" s="1" t="str">
        <f>IFERROR(__xludf.DUMMYFUNCTION("""COMPUTED_VALUE"""),"Adversarial examples")</f>
        <v>Adversarial examples</v>
      </c>
      <c r="B3" s="1" t="str">
        <f>IFERROR(__xludf.DUMMYFUNCTION("""COMPUTED_VALUE"""),"Highlight")</f>
        <v>Highlight</v>
      </c>
      <c r="C3" s="2" t="str">
        <f>IFERROR(__xludf.DUMMYFUNCTION("""COMPUTED_VALUE"""),"Response: Learning from Incorrectly Labeled Data")</f>
        <v>Response: Learning from Incorrectly Labeled Data</v>
      </c>
      <c r="D3" s="1" t="str">
        <f>IFERROR(__xludf.DUMMYFUNCTION("""COMPUTED_VALUE"""),"Eric Wallace")</f>
        <v>Eric Wallace</v>
      </c>
      <c r="E3" s="1" t="str">
        <f>IFERROR(__xludf.DUMMYFUNCTION("""COMPUTED_VALUE"""),"Distill")</f>
        <v>Distill</v>
      </c>
      <c r="F3" s="1">
        <f>IFERROR(__xludf.DUMMYFUNCTION("""COMPUTED_VALUE"""),2019.0)</f>
        <v>2019</v>
      </c>
      <c r="G3" s="1"/>
      <c r="H3" s="2" t="str">
        <f>IFERROR(__xludf.DUMMYFUNCTION("""COMPUTED_VALUE"""),"AN #62")</f>
        <v>AN #62</v>
      </c>
      <c r="I3" s="1" t="str">
        <f>IFERROR(__xludf.DUMMYFUNCTION("""COMPUTED_VALUE"""),"Rohin")</f>
        <v>Rohin</v>
      </c>
      <c r="J3" s="1" t="str">
        <f>IFERROR(__xludf.DUMMYFUNCTION("""COMPUTED_VALUE"""),"This response notes that all of the experiments are of the form: create a dataset D that is consistent with a model M; then, when you train a new model M' on D you get the same properties as M. Thus, we can interpret these experiments as showing that [mod"&amp;"el distillation](https://arxiv.org/abs/1503.02531) can work even with data points that we would naively think of ""incorrectly labeled"". This is a more general phenomenon: we can take an MNIST model, select _only_ the examples for which the top predictio"&amp;"n is incorrect (labeled with these incorrect top predictions), and train a new model on that -- and get nontrivial performance on the original test set, even though the new model has never seen a ""correctly labeled"" example.")</f>
        <v>This response notes that all of the experiments are of the form: create a dataset D that is consistent with a model M; then, when you train a new model M' on D you get the same properties as M. Thus, we can interpret these experiments as showing that [model distillation](https://arxiv.org/abs/1503.02531) can work even with data points that we would naively think of "incorrectly labeled". This is a more general phenomenon: we can take an MNIST model, select _only_ the examples for which the top prediction is incorrect (labeled with these incorrect top predictions), and train a new model on that -- and get nontrivial performance on the original test set, even though the new model has never seen a "correctly labeled" example.</v>
      </c>
      <c r="K3" t="str">
        <f>IFERROR(__xludf.DUMMYFUNCTION("""COMPUTED_VALUE"""),"I definitely agree that these results can be thought of as a form of model distillation. I don't think this detracts from the main point of the paper: the _reason_ model distillation works even with incorrectly labeled data is probably because the data is"&amp;" labeled in such a way that it incentivizes the new model to pick out the same features that the old model was paying attention to.")</f>
        <v>I definitely agree that these results can be thought of as a form of model distillation. I don't think this detracts from the main point of the paper: the _reason_ model distillation works even with incorrectly labeled data is probably because the data is labeled in such a way that it incentivizes the new model to pick out the same features that the old model was paying attention to.</v>
      </c>
    </row>
    <row r="4">
      <c r="A4" s="1" t="str">
        <f>IFERROR(__xludf.DUMMYFUNCTION("""COMPUTED_VALUE"""),"Adversarial examples")</f>
        <v>Adversarial examples</v>
      </c>
      <c r="B4" s="1" t="str">
        <f>IFERROR(__xludf.DUMMYFUNCTION("""COMPUTED_VALUE"""),"Highlight")</f>
        <v>Highlight</v>
      </c>
      <c r="C4" s="2" t="str">
        <f>IFERROR(__xludf.DUMMYFUNCTION("""COMPUTED_VALUE"""),"Response: Robust Feature Leakage")</f>
        <v>Response: Robust Feature Leakage</v>
      </c>
      <c r="D4" s="1" t="str">
        <f>IFERROR(__xludf.DUMMYFUNCTION("""COMPUTED_VALUE"""),"Gabriel Goh")</f>
        <v>Gabriel Goh</v>
      </c>
      <c r="E4" s="1" t="str">
        <f>IFERROR(__xludf.DUMMYFUNCTION("""COMPUTED_VALUE"""),"Distill")</f>
        <v>Distill</v>
      </c>
      <c r="F4" s="1">
        <f>IFERROR(__xludf.DUMMYFUNCTION("""COMPUTED_VALUE"""),2019.0)</f>
        <v>2019</v>
      </c>
      <c r="G4" s="1"/>
      <c r="H4" s="2" t="str">
        <f>IFERROR(__xludf.DUMMYFUNCTION("""COMPUTED_VALUE"""),"AN #62")</f>
        <v>AN #62</v>
      </c>
      <c r="I4" s="1" t="str">
        <f>IFERROR(__xludf.DUMMYFUNCTION("""COMPUTED_VALUE"""),"Rohin")</f>
        <v>Rohin</v>
      </c>
      <c r="J4" s="1" t="str">
        <f>IFERROR(__xludf.DUMMYFUNCTION("""COMPUTED_VALUE"""),"This response investigates whether the datasets in WrongLabels could have had robust features. Specifically, it checks whether a linear classifier over provably robust features trained on the WrongLabels dataset can get good accuracy on the _original_ tes"&amp;"t set. This shouldn't be possible since WrongLabels is meant to correlate only non-robust features with labels. It finds that you _can_ get some accuracy with RandLabels, but you don't get much accuracy with DetLabels.
The original authors can actually e"&amp;"xplain this: intuitively, you get accuracy with RandLabels because it's less harmful to choose labels randomly than to choose them explicitly incorrectly. With random labels on unmodified inputs, robust features should be completely uncorrelated with accu"&amp;"racy. However, with random labels _followed by an adversarial perturbation towards the label_, there can be some correlation, because the adversarial perturbation can add ""a small amount"" of the robust feature. However, in DetLabels, the labels are _wro"&amp;"ng_, and so the robust features are _negatively correlated_ with the true label, and while this can be reduced by an adversarial perturbation, it can't be reversed (otherwise it wouldn't be robust).")</f>
        <v>This response investigates whether the datasets in WrongLabels could have had robust features. Specifically, it checks whether a linear classifier over provably robust features trained on the WrongLabels dataset can get good accuracy on the _original_ test set. This shouldn't be possible since WrongLabels is meant to correlate only non-robust features with labels. It finds that you _can_ get some accuracy with RandLabels, but you don't get much accuracy with DetLabels.
The original authors can actually explain this: intuitively, you get accuracy with RandLabels because it's less harmful to choose labels randomly than to choose them explicitly incorrectly. With random labels on unmodified inputs, robust features should be completely uncorrelated with accuracy. However, with random labels _followed by an adversarial perturbation towards the label_, there can be some correlation, because the adversarial perturbation can add "a small amount" of the robust feature. However, in DetLabels, the labels are _wrong_, and so the robust features are _negatively correlated_ with the true label, and while this can be reduced by an adversarial perturbation, it can't be reversed (otherwise it wouldn't be robust).</v>
      </c>
      <c r="K4" t="str">
        <f>IFERROR(__xludf.DUMMYFUNCTION("""COMPUTED_VALUE"""),"The original authors' explanation of these results is quite compelling; it seems correct to me.")</f>
        <v>The original authors' explanation of these results is quite compelling; it seems correct to me.</v>
      </c>
    </row>
    <row r="5">
      <c r="A5" s="1" t="str">
        <f>IFERROR(__xludf.DUMMYFUNCTION("""COMPUTED_VALUE"""),"Adversarial examples")</f>
        <v>Adversarial examples</v>
      </c>
      <c r="B5" s="1" t="str">
        <f>IFERROR(__xludf.DUMMYFUNCTION("""COMPUTED_VALUE"""),"Highlight")</f>
        <v>Highlight</v>
      </c>
      <c r="C5" s="2" t="str">
        <f>IFERROR(__xludf.DUMMYFUNCTION("""COMPUTED_VALUE"""),"Response: Adversarial Examples are Just Bugs, Too")</f>
        <v>Response: Adversarial Examples are Just Bugs, Too</v>
      </c>
      <c r="D5" s="1" t="str">
        <f>IFERROR(__xludf.DUMMYFUNCTION("""COMPUTED_VALUE"""),"Preetum Nakkiran")</f>
        <v>Preetum Nakkiran</v>
      </c>
      <c r="E5" s="1" t="str">
        <f>IFERROR(__xludf.DUMMYFUNCTION("""COMPUTED_VALUE"""),"Distill")</f>
        <v>Distill</v>
      </c>
      <c r="F5" s="1">
        <f>IFERROR(__xludf.DUMMYFUNCTION("""COMPUTED_VALUE"""),2019.0)</f>
        <v>2019</v>
      </c>
      <c r="G5" s="1"/>
      <c r="H5" s="2" t="str">
        <f>IFERROR(__xludf.DUMMYFUNCTION("""COMPUTED_VALUE"""),"AN #62")</f>
        <v>AN #62</v>
      </c>
      <c r="I5" s="1" t="str">
        <f>IFERROR(__xludf.DUMMYFUNCTION("""COMPUTED_VALUE"""),"Rohin")</f>
        <v>Rohin</v>
      </c>
      <c r="J5" s="1" t="str">
        <f>IFERROR(__xludf.DUMMYFUNCTION("""COMPUTED_VALUE"""),"The main point of this response is that adversarial examples can be bugs too. In particular, if you construct adversarial examples that explicitly _don't_ transfer between models, and then run ExpWrongLabels with such adversarial perturbations, then the r"&amp;"esulting model doesn't perform well on the original test set (and so it must not have learned non-robust features).
It also constructs a data distribution where **every useful feature _of the optimal classifer_ is guaranteed to be robust**, and shows tha"&amp;"t we can still get adversarial examples with a typical model, showing that it is not just non-robust features that cause adversarial examples.
In their response, the authors clarify that they didn't intend to claim that adversarial examples could not ari"&amp;"se due to ""bugs"", just that ""bugs"" were not the only explanation. In particular, they say that their main thesis is “adversarial examples will not just go away as we fix bugs in our models”, which is consistent with the point in this response.")</f>
        <v>The main point of this response is that adversarial examples can be bugs too. In particular, if you construct adversarial examples that explicitly _don't_ transfer between models, and then run ExpWrongLabels with such adversarial perturbations, then the resulting model doesn't perform well on the original test set (and so it must not have learned non-robust features).
It also constructs a data distribution where **every useful feature _of the optimal classifer_ is guaranteed to be robust**, and shows that we can still get adversarial examples with a typical model, showing that it is not just non-robust features that cause adversarial examples.
In their response, the authors clarify that they didn't intend to claim that adversarial examples could not arise due to "bugs", just that "bugs" were not the only explanation. In particular, they say that their main thesis is “adversarial examples will not just go away as we fix bugs in our models”, which is consistent with the point in this response.</v>
      </c>
      <c r="K5" t="str">
        <f>IFERROR(__xludf.DUMMYFUNCTION("""COMPUTED_VALUE"""),"Amusingly, I think I'm more bullish on the original paper's claims than the authors themselves. It's certainly true that adversarial examples can arise from ""bugs"": if your model overfits to your data, then you should expect adversarial examples along t"&amp;"he overfitted decision boundary. The dataset constructed in this response is a particularly clean example: the optimal classifier would have an accuracy of 90%, but the model is trained to accuracy 99.9%, which means it must be overfitting.
However, I cl"&amp;"aim that with large and varied datasets with neural nets, we are typically not in the regime where models overfit to the data, and the presence of ""bugs"" in the model will decrease. (You certainly _can_ get a neural net to be ""buggy"", e.g. by randomly"&amp;" labeling the data, but if you're using real data with a natural task then I don't expect it to happen to a significant degree.) Nonetheless, adversarial examples persist, because the features that models use are not the ones that humans use.
It's also w"&amp;"orth noting that this experiment strongly supports the hypothesis that adversarial examples transfer because they are real features that generalize to the test set.")</f>
        <v>Amusingly, I think I'm more bullish on the original paper's claims than the authors themselves. It's certainly true that adversarial examples can arise from "bugs": if your model overfits to your data, then you should expect adversarial examples along the overfitted decision boundary. The dataset constructed in this response is a particularly clean example: the optimal classifier would have an accuracy of 90%, but the model is trained to accuracy 99.9%, which means it must be overfitting.
However, I claim that with large and varied datasets with neural nets, we are typically not in the regime where models overfit to the data, and the presence of "bugs" in the model will decrease. (You certainly _can_ get a neural net to be "buggy", e.g. by randomly labeling the data, but if you're using real data with a natural task then I don't expect it to happen to a significant degree.) Nonetheless, adversarial examples persist, because the features that models use are not the ones that humans use.
It's also worth noting that this experiment strongly supports the hypothesis that adversarial examples transfer because they are real features that generalize to the test set.</v>
      </c>
    </row>
    <row r="6">
      <c r="A6" s="1" t="str">
        <f>IFERROR(__xludf.DUMMYFUNCTION("""COMPUTED_VALUE"""),"Adversarial examples")</f>
        <v>Adversarial examples</v>
      </c>
      <c r="B6" s="1" t="str">
        <f>IFERROR(__xludf.DUMMYFUNCTION("""COMPUTED_VALUE"""),"Highlight")</f>
        <v>Highlight</v>
      </c>
      <c r="C6" s="2" t="str">
        <f>IFERROR(__xludf.DUMMYFUNCTION("""COMPUTED_VALUE"""),"Response: Adversarial Example Researchers Need to Expand What is Meant by ‘Robustness’")</f>
        <v>Response: Adversarial Example Researchers Need to Expand What is Meant by ‘Robustness’</v>
      </c>
      <c r="D6" s="1" t="str">
        <f>IFERROR(__xludf.DUMMYFUNCTION("""COMPUTED_VALUE"""),"Justin Gilmer, Dan Hendrycks")</f>
        <v>Justin Gilmer, Dan Hendrycks</v>
      </c>
      <c r="E6" s="1" t="str">
        <f>IFERROR(__xludf.DUMMYFUNCTION("""COMPUTED_VALUE"""),"Distill")</f>
        <v>Distill</v>
      </c>
      <c r="F6" s="1">
        <f>IFERROR(__xludf.DUMMYFUNCTION("""COMPUTED_VALUE"""),2019.0)</f>
        <v>2019</v>
      </c>
      <c r="G6" s="1"/>
      <c r="H6" s="2" t="str">
        <f>IFERROR(__xludf.DUMMYFUNCTION("""COMPUTED_VALUE"""),"AN #62")</f>
        <v>AN #62</v>
      </c>
      <c r="I6" s="1" t="str">
        <f>IFERROR(__xludf.DUMMYFUNCTION("""COMPUTED_VALUE"""),"Rohin")</f>
        <v>Rohin</v>
      </c>
      <c r="J6" s="1" t="str">
        <f>IFERROR(__xludf.DUMMYFUNCTION("""COMPUTED_VALUE"""),"This response argues that the results in the original paper are simply a consequence of a generally accepted principle: ""models lack robustness to distribution shift because they latch onto superficial correlations in the data"". This isn't just about L_"&amp;"p norm ball adversarial perturbations: for example, one [recent paper](https://arxiv.org/abs/1906.08988) shows that if the model is only given access to high frequency features of images (which look uniformly grey to humans), it can still get above 50% ac"&amp;"curacy. In fact, when we do adversarial training to become robust to L_p perturbations, then the model pays attention to different non-robust features and becomes more vulnerable to e.g. [low-frequency fog corruption](http://arxiv.org/abs/1903.12261). The"&amp;" authors call for adversarial examples researchers to move beyond L_p perturbations and think about the many different ways models can be fragile, and to make them more robust to distributional shift.")</f>
        <v>This response argues that the results in the original paper are simply a consequence of a generally accepted principle: "models lack robustness to distribution shift because they latch onto superficial correlations in the data". This isn't just about L_p norm ball adversarial perturbations: for example, one [recent paper](https://arxiv.org/abs/1906.08988) shows that if the model is only given access to high frequency features of images (which look uniformly grey to humans), it can still get above 50% accuracy. In fact, when we do adversarial training to become robust to L_p perturbations, then the model pays attention to different non-robust features and becomes more vulnerable to e.g. [low-frequency fog corruption](http://arxiv.org/abs/1903.12261). The authors call for adversarial examples researchers to move beyond L_p perturbations and think about the many different ways models can be fragile, and to make them more robust to distributional shift.</v>
      </c>
      <c r="K6" t="str">
        <f>IFERROR(__xludf.DUMMYFUNCTION("""COMPUTED_VALUE"""),"I strongly agree with the worldview behind this response, and especially the principle they identified. I didn't know this was a generally accepted principle, though of course I am not an expert on distributional robustness.
One thing to note is what is "&amp;"meant by ""superficial correlation"" here. I interpret it to mean a correlation that really does exist in the dataset, that really does generalize to the test set, but that _doesn't_ generalize out of distribution. A better term might be ""fragile correla"&amp;"tion"". All of the experiments so far have been looking at within-distribution generalization (aka generalization to the test set), and are showing that non-robust features _do_ generalize within-distribution. By my understanding, this response is arguing"&amp;" that there are many such non-robust features that will generalize within-distribution but will not generalize under distributional shift, and we need to make our models robust to all of them, not just L_p adversarial perturbations.")</f>
        <v>I strongly agree with the worldview behind this response, and especially the principle they identified. I didn't know this was a generally accepted principle, though of course I am not an expert on distributional robustness.
One thing to note is what is meant by "superficial correlation" here. I interpret it to mean a correlation that really does exist in the dataset, that really does generalize to the test set, but that _doesn't_ generalize out of distribution. A better term might be "fragile correlation". All of the experiments so far have been looking at within-distribution generalization (aka generalization to the test set), and are showing that non-robust features _do_ generalize within-distribution. By my understanding, this response is arguing that there are many such non-robust features that will generalize within-distribution but will not generalize under distributional shift, and we need to make our models robust to all of them, not just L_p adversarial perturbations.</v>
      </c>
    </row>
    <row r="7">
      <c r="A7" s="1" t="str">
        <f>IFERROR(__xludf.DUMMYFUNCTION("""COMPUTED_VALUE"""),"Adversarial examples")</f>
        <v>Adversarial examples</v>
      </c>
      <c r="B7" s="1" t="str">
        <f>IFERROR(__xludf.DUMMYFUNCTION("""COMPUTED_VALUE"""),"Highlight")</f>
        <v>Highlight</v>
      </c>
      <c r="C7" s="2" t="str">
        <f>IFERROR(__xludf.DUMMYFUNCTION("""COMPUTED_VALUE"""),"Response: Two Examples of Useful, Non-Robust Features")</f>
        <v>Response: Two Examples of Useful, Non-Robust Features</v>
      </c>
      <c r="D7" s="1" t="str">
        <f>IFERROR(__xludf.DUMMYFUNCTION("""COMPUTED_VALUE"""),"Gabriel Goh")</f>
        <v>Gabriel Goh</v>
      </c>
      <c r="E7" s="1" t="str">
        <f>IFERROR(__xludf.DUMMYFUNCTION("""COMPUTED_VALUE"""),"Distill")</f>
        <v>Distill</v>
      </c>
      <c r="F7" s="1">
        <f>IFERROR(__xludf.DUMMYFUNCTION("""COMPUTED_VALUE"""),2019.0)</f>
        <v>2019</v>
      </c>
      <c r="G7" s="1"/>
      <c r="H7" s="2" t="str">
        <f>IFERROR(__xludf.DUMMYFUNCTION("""COMPUTED_VALUE"""),"AN #62")</f>
        <v>AN #62</v>
      </c>
      <c r="I7" s="1" t="str">
        <f>IFERROR(__xludf.DUMMYFUNCTION("""COMPUTED_VALUE"""),"Rohin")</f>
        <v>Rohin</v>
      </c>
      <c r="J7" s="1" t="str">
        <f>IFERROR(__xludf.DUMMYFUNCTION("""COMPUTED_VALUE"""),"This response studies linear features, since we can analytically compute their usefulness and robustness. It plots the singular vectors of the data as features, and finds that such features are either robust and useful, or non-robust and not useful. Howev"&amp;"er, you can get useful, non-robust features by ensembling or contamination (see response for details).")</f>
        <v>This response studies linear features, since we can analytically compute their usefulness and robustness. It plots the singular vectors of the data as features, and finds that such features are either robust and useful, or non-robust and not useful. However, you can get useful, non-robust features by ensembling or contamination (see response for details).</v>
      </c>
    </row>
    <row r="8">
      <c r="A8" s="1" t="str">
        <f>IFERROR(__xludf.DUMMYFUNCTION("""COMPUTED_VALUE"""),"Adversarial examples")</f>
        <v>Adversarial examples</v>
      </c>
      <c r="B8" s="1" t="str">
        <f>IFERROR(__xludf.DUMMYFUNCTION("""COMPUTED_VALUE"""),"Highlight")</f>
        <v>Highlight</v>
      </c>
      <c r="C8" s="2" t="str">
        <f>IFERROR(__xludf.DUMMYFUNCTION("""COMPUTED_VALUE"""),"Response: Adversarially Robust Neural Style Transfer")</f>
        <v>Response: Adversarially Robust Neural Style Transfer</v>
      </c>
      <c r="D8" s="1" t="str">
        <f>IFERROR(__xludf.DUMMYFUNCTION("""COMPUTED_VALUE"""),"Reiichiro Nakano")</f>
        <v>Reiichiro Nakano</v>
      </c>
      <c r="E8" s="1" t="str">
        <f>IFERROR(__xludf.DUMMYFUNCTION("""COMPUTED_VALUE"""),"Distill")</f>
        <v>Distill</v>
      </c>
      <c r="F8" s="1">
        <f>IFERROR(__xludf.DUMMYFUNCTION("""COMPUTED_VALUE"""),2019.0)</f>
        <v>2019</v>
      </c>
      <c r="G8" s="1"/>
      <c r="H8" s="2" t="str">
        <f>IFERROR(__xludf.DUMMYFUNCTION("""COMPUTED_VALUE"""),"AN #62")</f>
        <v>AN #62</v>
      </c>
      <c r="I8" s="1" t="str">
        <f>IFERROR(__xludf.DUMMYFUNCTION("""COMPUTED_VALUE"""),"Rohin")</f>
        <v>Rohin</v>
      </c>
      <c r="J8" s="1" t="str">
        <f>IFERROR(__xludf.DUMMYFUNCTION("""COMPUTED_VALUE"""),"The original paper showed that adversarial examples don't transfer well to VGG, and that VGG doesn't tend to learn similar non-robust features as a ResNet. Separately, VGG works particularly well for style transfer. Perhaps since VGG doesn't capture non-r"&amp;"obust features as well, the results of style transfer look better to humans? This response and the author's response investigate this hypothesis in more detail and find that it seems broadly supported, but there are still finnicky details to be worked out"&amp;".")</f>
        <v>The original paper showed that adversarial examples don't transfer well to VGG, and that VGG doesn't tend to learn similar non-robust features as a ResNet. Separately, VGG works particularly well for style transfer. Perhaps since VGG doesn't capture non-robust features as well, the results of style transfer look better to humans? This response and the author's response investigate this hypothesis in more detail and find that it seems broadly supported, but there are still finnicky details to be worked out.</v>
      </c>
      <c r="K8" t="str">
        <f>IFERROR(__xludf.DUMMYFUNCTION("""COMPUTED_VALUE"""),"This is an intriguing empirical fact. However, I don't really buy the theoretical argument that style transfer works because it doesn't use non-robust features, since I would typically expect that a model that doesn't use L_p-fragile features would instea"&amp;"d use features that are fragile or non-robust in some other way.")</f>
        <v>This is an intriguing empirical fact. However, I don't really buy the theoretical argument that style transfer works because it doesn't use non-robust features, since I would typically expect that a model that doesn't use L_p-fragile features would instead use features that are fragile or non-robust in some other way.</v>
      </c>
    </row>
    <row r="9">
      <c r="A9" s="1" t="str">
        <f>IFERROR(__xludf.DUMMYFUNCTION("""COMPUTED_VALUE"""),"Adversarial examples")</f>
        <v>Adversarial examples</v>
      </c>
      <c r="B9" s="1" t="str">
        <f>IFERROR(__xludf.DUMMYFUNCTION("""COMPUTED_VALUE"""),"Highlight")</f>
        <v>Highlight</v>
      </c>
      <c r="C9" s="2" t="str">
        <f>IFERROR(__xludf.DUMMYFUNCTION("""COMPUTED_VALUE"""),"Feature Denoising for Improving Adversarial Robustness")</f>
        <v>Feature Denoising for Improving Adversarial Robustness</v>
      </c>
      <c r="D9" s="1" t="str">
        <f>IFERROR(__xludf.DUMMYFUNCTION("""COMPUTED_VALUE"""),"Cihang Xie, Yuxin Wu, Laurens van der Maaten, Alan Yuille, Kaiming He")</f>
        <v>Cihang Xie, Yuxin Wu, Laurens van der Maaten, Alan Yuille, Kaiming He</v>
      </c>
      <c r="E9" s="1" t="str">
        <f>IFERROR(__xludf.DUMMYFUNCTION("""COMPUTED_VALUE"""),"ICML 2018")</f>
        <v>ICML 2018</v>
      </c>
      <c r="F9" s="1">
        <f>IFERROR(__xludf.DUMMYFUNCTION("""COMPUTED_VALUE"""),2018.0)</f>
        <v>2018</v>
      </c>
      <c r="G9" s="1"/>
      <c r="H9" s="2" t="str">
        <f>IFERROR(__xludf.DUMMYFUNCTION("""COMPUTED_VALUE"""),"AN #49")</f>
        <v>AN #49</v>
      </c>
      <c r="I9" s="1" t="str">
        <f>IFERROR(__xludf.DUMMYFUNCTION("""COMPUTED_VALUE"""),"Dan H")</f>
        <v>Dan H</v>
      </c>
      <c r="J9" s="1" t="str">
        <f>IFERROR(__xludf.DUMMYFUNCTION("""COMPUTED_VALUE"""),"This paper claims to obtain nontrivial adversarial robustness on ImageNet. Assuming an adversary can add perturbations of size 16/255 (l_infinity), previous adversarially trained classifiers could not obtain above 1% adversarial accuracy. Some groups have"&amp;" tried to break the model proposed in this paper, but so far it appears its robustness is close to what it claims, [around](https://github.com/facebookresearch/ImageNet-Adversarial-Training/issues/1#issuecomment-470069171) 40% adversarial accuracy. Vanill"&amp;"a adversarial training is how they obtain said adversarial robustness. There has only been one previous public attempt at applying (multistep) adversarial training to ImageNet, as those at universities simply do not have the GPUs necessary to perform adve"&amp;"rsarial training on 224x224 images. Unlike the previous attempt, this paper ostensibly uses better hyperparameters, possibly accounting for the discrepancy. If true, this result reminds us that hyperparameter tuning can be critical even in vision, and tha"&amp;"t improving adversarial robustness on large-scale images may not be possible outside industry for many years.")</f>
        <v>This paper claims to obtain nontrivial adversarial robustness on ImageNet. Assuming an adversary can add perturbations of size 16/255 (l_infinity), previous adversarially trained classifiers could not obtain above 1% adversarial accuracy. Some groups have tried to break the model proposed in this paper, but so far it appears its robustness is close to what it claims, [around](https://github.com/facebookresearch/ImageNet-Adversarial-Training/issues/1#issuecomment-470069171) 40% adversarial accuracy. Vanilla adversarial training is how they obtain said adversarial robustness. There has only been one previous public attempt at applying (multistep) adversarial training to ImageNet, as those at universities simply do not have the GPUs necessary to perform adversarial training on 224x224 images. Unlike the previous attempt, this paper ostensibly uses better hyperparameters, possibly accounting for the discrepancy. If true, this result reminds us that hyperparameter tuning can be critical even in vision, and that improving adversarial robustness on large-scale images may not be possible outside industry for many years.</v>
      </c>
    </row>
    <row r="10">
      <c r="A10" s="1" t="str">
        <f>IFERROR(__xludf.DUMMYFUNCTION("""COMPUTED_VALUE"""),"Adversarial examples")</f>
        <v>Adversarial examples</v>
      </c>
      <c r="B10" s="1" t="str">
        <f>IFERROR(__xludf.DUMMYFUNCTION("""COMPUTED_VALUE"""),"Highlight")</f>
        <v>Highlight</v>
      </c>
      <c r="C10" s="2" t="str">
        <f>IFERROR(__xludf.DUMMYFUNCTION("""COMPUTED_VALUE"""),"Constructing Unrestricted Adversarial Examples with Generative Models")</f>
        <v>Constructing Unrestricted Adversarial Examples with Generative Models</v>
      </c>
      <c r="D10" s="1" t="str">
        <f>IFERROR(__xludf.DUMMYFUNCTION("""COMPUTED_VALUE"""),"Yang Song, Rui Shu, Nate Kushman, Stefano Ermon")</f>
        <v>Yang Song, Rui Shu, Nate Kushman, Stefano Ermon</v>
      </c>
      <c r="E10" s="1" t="str">
        <f>IFERROR(__xludf.DUMMYFUNCTION("""COMPUTED_VALUE"""),"NeurIPS 2018")</f>
        <v>NeurIPS 2018</v>
      </c>
      <c r="F10" s="1">
        <f>IFERROR(__xludf.DUMMYFUNCTION("""COMPUTED_VALUE"""),2018.0)</f>
        <v>2018</v>
      </c>
      <c r="G10" s="1"/>
      <c r="H10" s="2" t="str">
        <f>IFERROR(__xludf.DUMMYFUNCTION("""COMPUTED_VALUE"""),"AN #39")</f>
        <v>AN #39</v>
      </c>
      <c r="I10" s="1" t="str">
        <f>IFERROR(__xludf.DUMMYFUNCTION("""COMPUTED_VALUE"""),"Rohin")</f>
        <v>Rohin</v>
      </c>
      <c r="J10" s="1" t="str">
        <f>IFERROR(__xludf.DUMMYFUNCTION("""COMPUTED_VALUE"""),"This paper predates the [unrestricted adversarial examples challenge](https://ai.googleblog.com/2018/09/introducing-unrestricted-adversarial.html) ([AN #24](https://mailchi.mp/d7b5059d64ed/alignment-newsletter-24)) and shows how to generate such unrestric"&amp;"ted adversarial examples using generative models. As a reminder, most adversarial examples research is focused on finding imperceptible perturbations to existing images that cause the model to make a mistake. In contrast, unrestricted adversarial examples"&amp;" allow you to find _any_ image that humans will reliably classify a particular way, where the model produces some other classification.
The key idea is simple -- train a GAN to generate images in the domain of interest, and then create adversarial exampl"&amp;"es by optimizing an image to simultaneously be ""realistic"" (as evaluated by the generator), while still being misclassified by the model under attack. The authors also introduce another term into the loss function that minimizes deviation from a randoml"&amp;"y chosen noise vector -- this allows them to get diverse adversarial examples, rather than always converging to the same one.
They also consider a ""noise-augmented"" attack, where in effect they are running the normal attack they have, and then running "&amp;"a standard attack like FGSM or PGD afterwards. (They do these two things simultaneously, but I believe it's nearly equivalent.)
For evaluation, they generate adversarial examples with their method and check that humans on Mechanical Turk reliably classif"&amp;"y the examples as a particular class. Unsurprisingly, their adversarial examples ""break"" all existing defenses, including the certified defenses, though to be clear existing defenses assume a different threat model where an adversarial example must be a"&amp;"n imperceptible perturbation to one of a known set of images. You could imagine doing something similar by taking the imperceptible-perturbation attacks and raise the value of ϵ until it is perceptible -- but in this case the generated images are much les"&amp;"s realistic.")</f>
        <v>This paper predates the [unrestricted adversarial examples challenge](https://ai.googleblog.com/2018/09/introducing-unrestricted-adversarial.html) ([AN #24](https://mailchi.mp/d7b5059d64ed/alignment-newsletter-24)) and shows how to generate such unrestricted adversarial examples using generative models. As a reminder, most adversarial examples research is focused on finding imperceptible perturbations to existing images that cause the model to make a mistake. In contrast, unrestricted adversarial examples allow you to find _any_ image that humans will reliably classify a particular way, where the model produces some other classification.
The key idea is simple -- train a GAN to generate images in the domain of interest, and then create adversarial examples by optimizing an image to simultaneously be "realistic" (as evaluated by the generator), while still being misclassified by the model under attack. The authors also introduce another term into the loss function that minimizes deviation from a randomly chosen noise vector -- this allows them to get diverse adversarial examples, rather than always converging to the same one.
They also consider a "noise-augmented" attack, where in effect they are running the normal attack they have, and then running a standard attack like FGSM or PGD afterwards. (They do these two things simultaneously, but I believe it's nearly equivalent.)
For evaluation, they generate adversarial examples with their method and check that humans on Mechanical Turk reliably classify the examples as a particular class. Unsurprisingly, their adversarial examples "break" all existing defenses, including the certified defenses, though to be clear existing defenses assume a different threat model where an adversarial example must be an imperceptible perturbation to one of a known set of images. You could imagine doing something similar by taking the imperceptible-perturbation attacks and raise the value of ϵ until it is perceptible -- but in this case the generated images are much less realistic.</v>
      </c>
      <c r="K10" t="str">
        <f>IFERROR(__xludf.DUMMYFUNCTION("""COMPUTED_VALUE"""),"This is the clear first thing to try with unrestricted adversarial examples, and it seems to work reasonably well. I'd love to see whether adversarial training with these sorts of adversarial examples works as a defense against both this attack and standa"&amp;"rd imperceptible-perturbation attacks. In addition, it would be interesting to see if humans could direct or control the search for unrestricted adversarial examples.")</f>
        <v>This is the clear first thing to try with unrestricted adversarial examples, and it seems to work reasonably well. I'd love to see whether adversarial training with these sorts of adversarial examples works as a defense against both this attack and standard imperceptible-perturbation attacks. In addition, it would be interesting to see if humans could direct or control the search for unrestricted adversarial examples.</v>
      </c>
    </row>
    <row r="11">
      <c r="A11" s="1" t="str">
        <f>IFERROR(__xludf.DUMMYFUNCTION("""COMPUTED_VALUE"""),"Adversarial examples")</f>
        <v>Adversarial examples</v>
      </c>
      <c r="B11" s="1" t="str">
        <f>IFERROR(__xludf.DUMMYFUNCTION("""COMPUTED_VALUE"""),"Highlight")</f>
        <v>Highlight</v>
      </c>
      <c r="C11" s="2" t="str">
        <f>IFERROR(__xludf.DUMMYFUNCTION("""COMPUTED_VALUE"""),"Motivating the Rules of the Game for Adversarial Example Research")</f>
        <v>Motivating the Rules of the Game for Adversarial Example Research</v>
      </c>
      <c r="D11" s="1" t="str">
        <f>IFERROR(__xludf.DUMMYFUNCTION("""COMPUTED_VALUE"""),"Justin Gilmer, Ryan P. Adams, Ian Goodfellow, David Andersen, George E. Dahl")</f>
        <v>Justin Gilmer, Ryan P. Adams, Ian Goodfellow, David Andersen, George E. Dahl</v>
      </c>
      <c r="E11" s="1" t="str">
        <f>IFERROR(__xludf.DUMMYFUNCTION("""COMPUTED_VALUE"""),"2018 IEEE/RSJ International Conference on Intelligent Robots and Systems")</f>
        <v>2018 IEEE/RSJ International Conference on Intelligent Robots and Systems</v>
      </c>
      <c r="F11" s="1">
        <f>IFERROR(__xludf.DUMMYFUNCTION("""COMPUTED_VALUE"""),2018.0)</f>
        <v>2018</v>
      </c>
      <c r="G11" s="1"/>
      <c r="H11" s="2" t="str">
        <f>IFERROR(__xludf.DUMMYFUNCTION("""COMPUTED_VALUE"""),"AN #28")</f>
        <v>AN #28</v>
      </c>
      <c r="I11" s="1" t="str">
        <f>IFERROR(__xludf.DUMMYFUNCTION("""COMPUTED_VALUE"""),"Dan H")</f>
        <v>Dan H</v>
      </c>
      <c r="J11" s="1" t="str">
        <f>IFERROR(__xludf.DUMMYFUNCTION("""COMPUTED_VALUE"""),"In this position paper, the authors argue that many of the threat models which motivate adversarial examples are unrealistic. They enumerate various previously proposed threat models, and then they show their limitations or detachment from reality. For ex"&amp;"ample, it is common to assume that an adversary must create an imperceptible perturbation to an example, but often attackers can input whatever they please. In fact, in some settings an attacker can provide an input from the clean test set that is misclas"&amp;"sified. Also, they argue that adversarial robustness defenses which degrade clean test set error are likely to make systems less secure since benign or nonadversarial inputs are vastly more common. They recommend that future papers motivated by adversaria"&amp;"l examples take care to define the threat model realistically. In addition, they encourage researchers to establish “content-preserving” adversarial attacks (as opposed to “imperceptible” l_p attacks) and improve robustness to unseen input transformations"&amp;".")</f>
        <v>In this position paper, the authors argue that many of the threat models which motivate adversarial examples are unrealistic. They enumerate various previously proposed threat models, and then they show their limitations or detachment from reality. For example, it is common to assume that an adversary must create an imperceptible perturbation to an example, but often attackers can input whatever they please. In fact, in some settings an attacker can provide an input from the clean test set that is misclassified. Also, they argue that adversarial robustness defenses which degrade clean test set error are likely to make systems less secure since benign or nonadversarial inputs are vastly more common. They recommend that future papers motivated by adversarial examples take care to define the threat model realistically. In addition, they encourage researchers to establish “content-preserving” adversarial attacks (as opposed to “imperceptible” l_p attacks) and improve robustness to unseen input transformations.</v>
      </c>
      <c r="K11" t="str">
        <f>IFERROR(__xludf.DUMMYFUNCTION("""COMPUTED_VALUE"""),"This is my favorite paper of the year as it handily counteracts much of the media coverage and research lab PR purporting ``doom'' from adversarial examples. While there are some scenarios in which imperceptible perturbations may be a motivation---conside"&amp;"r user-generated privacy-creating perturbations to Facebook photos which stupefy face detection algorithms---much of the current adversarial robustness research optimizing small l_p ball robustness can be thought of as tackling a simplified subproblem bef"&amp;"ore moving to a more realistic setting. Because of this paper, new tasks such as [Unrestricted Adversarial Examples](https://ai.googleblog.com/2018/09/introducing-unrestricted-adversarial.html) ([AN #24](https://mailchi.mp/d7b5059d64ed/alignment-newslette"&amp;"r-24)) take an appropriate step toward increasing realism without appearing to make the problem too hard.")</f>
        <v>This is my favorite paper of the year as it handily counteracts much of the media coverage and research lab PR purporting ``doom'' from adversarial examples. While there are some scenarios in which imperceptible perturbations may be a motivation---consider user-generated privacy-creating perturbations to Facebook photos which stupefy face detection algorithms---much of the current adversarial robustness research optimizing small l_p ball robustness can be thought of as tackling a simplified subproblem before moving to a more realistic setting. Because of this paper, new tasks such as [Unrestricted Adversarial Examples](https://ai.googleblog.com/2018/09/introducing-unrestricted-adversarial.html) ([AN #24](https://mailchi.mp/d7b5059d64ed/alignment-newsletter-24)) take an appropriate step toward increasing realism without appearing to make the problem too hard.</v>
      </c>
    </row>
    <row r="12">
      <c r="A12" s="1" t="str">
        <f>IFERROR(__xludf.DUMMYFUNCTION("""COMPUTED_VALUE"""),"Adversarial examples")</f>
        <v>Adversarial examples</v>
      </c>
      <c r="B12" s="1" t="str">
        <f>IFERROR(__xludf.DUMMYFUNCTION("""COMPUTED_VALUE"""),"Highlight")</f>
        <v>Highlight</v>
      </c>
      <c r="C12" s="2" t="str">
        <f>IFERROR(__xludf.DUMMYFUNCTION("""COMPUTED_VALUE"""),"Introducing the Unrestricted Adversarial Examples Challenge")</f>
        <v>Introducing the Unrestricted Adversarial Examples Challenge</v>
      </c>
      <c r="D12" s="1" t="str">
        <f>IFERROR(__xludf.DUMMYFUNCTION("""COMPUTED_VALUE"""),"Tom B. Brown and Catherine Olsson, Reserach Engineers, Google Brain Team")</f>
        <v>Tom B. Brown and Catherine Olsson, Reserach Engineers, Google Brain Team</v>
      </c>
      <c r="E12" s="1" t="str">
        <f>IFERROR(__xludf.DUMMYFUNCTION("""COMPUTED_VALUE"""),"Google AI Blog")</f>
        <v>Google AI Blog</v>
      </c>
      <c r="F12" s="1">
        <f>IFERROR(__xludf.DUMMYFUNCTION("""COMPUTED_VALUE"""),2018.0)</f>
        <v>2018</v>
      </c>
      <c r="G12" s="1"/>
      <c r="H12" s="2" t="str">
        <f>IFERROR(__xludf.DUMMYFUNCTION("""COMPUTED_VALUE"""),"AN #24")</f>
        <v>AN #24</v>
      </c>
      <c r="I12" s="1" t="str">
        <f>IFERROR(__xludf.DUMMYFUNCTION("""COMPUTED_VALUE"""),"Rohin")</f>
        <v>Rohin</v>
      </c>
      <c r="J12" s="1" t="str">
        <f>IFERROR(__xludf.DUMMYFUNCTION("""COMPUTED_VALUE"""),"There's a new adversarial examples contest, after the one from NIPS 2017. The goal of this contest is to figure out how to create a model that never confidently makes a mistake on a very simple task, even in the presence of a powerful adversary. This lead"&amp;"s to many differences from the previous contest. The task is a lot simpler -- classifiers only need to distinguish between bicycles and birds, with an option of saying ""ambiguous"". Instead of using the L-infinity norm ball to define what an adversarial "&amp;"example is, attackers are allowed to supply any image whatsoever, as long as a team of human evaluators agrees unanimously on the classification of the image. The contest has no time bound, and will run until some defense survives for 90 days without bein"&amp;"g broken even once. A defense is not broken if it says ""ambiguous"" on an adversarial example. Any submitted defense will be published, which means that attackers can specialize their attacks to that specific model (i.e. it is white box).")</f>
        <v>There's a new adversarial examples contest, after the one from NIPS 2017. The goal of this contest is to figure out how to create a model that never confidently makes a mistake on a very simple task, even in the presence of a powerful adversary. This leads to many differences from the previous contest. The task is a lot simpler -- classifiers only need to distinguish between bicycles and birds, with an option of saying "ambiguous". Instead of using the L-infinity norm ball to define what an adversarial example is, attackers are allowed to supply any image whatsoever, as long as a team of human evaluators agrees unanimously on the classification of the image. The contest has no time bound, and will run until some defense survives for 90 days without being broken even once. A defense is not broken if it says "ambiguous" on an adversarial example. Any submitted defense will be published, which means that attackers can specialize their attacks to that specific model (i.e. it is white box).</v>
      </c>
      <c r="K12" t="str">
        <f>IFERROR(__xludf.DUMMYFUNCTION("""COMPUTED_VALUE"""),"I really like this contest format, it seems like it's actually answering the question we care about, for a simple task. If I were designing a defense, the first thing I'd aim for would be to get a lot of training data, ideally from different distributions"&amp;" in the real world, but data augmentation techniques may also be necessary, especially for eg. images of a bicycle against an unrealistic textured background. The second thing would be to shrink the size of the model, to make it more likely that it genera"&amp;"lizes better (in accordance with Occam's razor or the minimum description length principle). After that I'd think about the defenses proposed in the literature. I'm not sure how the verification-based approaches will work, since they are intrinsically tie"&amp;"d to the L-infinity norm ball definition of adversarial examples, or something similar -- you can't include the human evaluators in your specification of what you want to verify.")</f>
        <v>I really like this contest format, it seems like it's actually answering the question we care about, for a simple task. If I were designing a defense, the first thing I'd aim for would be to get a lot of training data, ideally from different distributions in the real world, but data augmentation techniques may also be necessary, especially for eg. images of a bicycle against an unrealistic textured background. The second thing would be to shrink the size of the model, to make it more likely that it generalizes better (in accordance with Occam's razor or the minimum description length principle). After that I'd think about the defenses proposed in the literature. I'm not sure how the verification-based approaches will work, since they are intrinsically tied to the L-infinity norm ball definition of adversarial examples, or something similar -- you can't include the human evaluators in your specification of what you want to verify.</v>
      </c>
    </row>
    <row r="13">
      <c r="A13" s="1" t="str">
        <f>IFERROR(__xludf.DUMMYFUNCTION("""COMPUTED_VALUE"""),"Adversarial examples")</f>
        <v>Adversarial examples</v>
      </c>
      <c r="B13" s="1" t="str">
        <f>IFERROR(__xludf.DUMMYFUNCTION("""COMPUTED_VALUE"""),"Highlight")</f>
        <v>Highlight</v>
      </c>
      <c r="C13" s="2" t="str">
        <f>IFERROR(__xludf.DUMMYFUNCTION("""COMPUTED_VALUE"""),"Adversarial Attacks and Defences Competition")</f>
        <v>Adversarial Attacks and Defences Competition</v>
      </c>
      <c r="D13" s="1" t="str">
        <f>IFERROR(__xludf.DUMMYFUNCTION("""COMPUTED_VALUE"""),"Alexey Kurakin, Ian Goodfellow, Samy Bengio, Yinpeng Dong, Fangzhou Liao, Ming Liang, Tianyu Pang, Jun Zhu, Xiaolin Hu, Cihang Xie, Jianyu Wang, Zhishuai Zhang, Zhou Ren, Alan Yuille, Sangxia Huang, Yao Zhao, Yuzhe Zhao, Zhonglin Han, Junjiajia Long, Yerk"&amp;"ebulan Berdibekov, Takuya Akiba, Seiya Tokui, Motoki Abe")</f>
        <v>Alexey Kurakin, Ian Goodfellow, Samy Bengio, Yinpeng Dong, Fangzhou Liao, Ming Liang, Tianyu Pang, Jun Zhu, Xiaolin Hu, Cihang Xie, Jianyu Wang, Zhishuai Zhang, Zhou Ren, Alan Yuille, Sangxia Huang, Yao Zhao, Yuzhe Zhao, Zhonglin Han, Junjiajia Long, Yerkebulan Berdibekov, Takuya Akiba, Seiya Tokui, Motoki Abe</v>
      </c>
      <c r="E13" s="1" t="str">
        <f>IFERROR(__xludf.DUMMYFUNCTION("""COMPUTED_VALUE"""),"The NIPS '17 Competition: Building Intelligent Systems")</f>
        <v>The NIPS '17 Competition: Building Intelligent Systems</v>
      </c>
      <c r="F13" s="1">
        <f>IFERROR(__xludf.DUMMYFUNCTION("""COMPUTED_VALUE"""),2018.0)</f>
        <v>2018</v>
      </c>
      <c r="G13" s="1"/>
      <c r="H13" s="2" t="str">
        <f>IFERROR(__xludf.DUMMYFUNCTION("""COMPUTED_VALUE"""),"AN #1")</f>
        <v>AN #1</v>
      </c>
      <c r="I13" s="1" t="str">
        <f>IFERROR(__xludf.DUMMYFUNCTION("""COMPUTED_VALUE"""),"Rohin")</f>
        <v>Rohin</v>
      </c>
      <c r="J13" s="1" t="str">
        <f>IFERROR(__xludf.DUMMYFUNCTION("""COMPUTED_VALUE"""),"This is a report on a competition held at NIPS 2017 for the best adversarial attacks and defences. It includes a summary of the field and then shows the results from the competition.")</f>
        <v>This is a report on a competition held at NIPS 2017 for the best adversarial attacks and defences. It includes a summary of the field and then shows the results from the competition.</v>
      </c>
      <c r="K13" t="str">
        <f>IFERROR(__xludf.DUMMYFUNCTION("""COMPUTED_VALUE"""),"I'm not very familiar with the literature on adversarial examples and so I found this very useful as an overview of the field, especially since it talks about the advantages and disadvantages of different methods, which are hard to find by reading individ"&amp;"ual papers. The actual competition results are also quite interesting -- they find that the best attacks and defences are both quite successful on average, but have very bad worst-case performance (that is, the best defence is still very weak against at l"&amp;"east one attack, and the best attack fails to attack at least one defence). Overall, this paints a bleak picture for defence, at least if the attacker has access to enough compute to actually try out different attack methods, and has a way of verifying wh"&amp;"ether the attacks succeed.")</f>
        <v>I'm not very familiar with the literature on adversarial examples and so I found this very useful as an overview of the field, especially since it talks about the advantages and disadvantages of different methods, which are hard to find by reading individual papers. The actual competition results are also quite interesting -- they find that the best attacks and defences are both quite successful on average, but have very bad worst-case performance (that is, the best defence is still very weak against at least one attack, and the best attack fails to attack at least one defence). Overall, this paints a bleak picture for defence, at least if the attacker has access to enough compute to actually try out different attack methods, and has a way of verifying whether the attacks succeed.</v>
      </c>
    </row>
    <row r="14">
      <c r="A14" s="1" t="str">
        <f>IFERROR(__xludf.DUMMYFUNCTION("""COMPUTED_VALUE"""),"Adversarial examples")</f>
        <v>Adversarial examples</v>
      </c>
      <c r="B14" s="1" t="str">
        <f>IFERROR(__xludf.DUMMYFUNCTION("""COMPUTED_VALUE"""),"")</f>
        <v/>
      </c>
      <c r="C14" s="2" t="str">
        <f>IFERROR(__xludf.DUMMYFUNCTION("""COMPUTED_VALUE"""),"Physically Realistic Attacks on Deep Reinforcement Learning")</f>
        <v>Physically Realistic Attacks on Deep Reinforcement Learning</v>
      </c>
      <c r="D14" s="1" t="str">
        <f>IFERROR(__xludf.DUMMYFUNCTION("""COMPUTED_VALUE"""),"Adam Gleave")</f>
        <v>Adam Gleave</v>
      </c>
      <c r="E14" s="1" t="str">
        <f>IFERROR(__xludf.DUMMYFUNCTION("""COMPUTED_VALUE"""),"BAIR Blog")</f>
        <v>BAIR Blog</v>
      </c>
      <c r="F14" s="1">
        <f>IFERROR(__xludf.DUMMYFUNCTION("""COMPUTED_VALUE"""),2020.0)</f>
        <v>2020</v>
      </c>
      <c r="G14" s="1"/>
      <c r="H14" s="2" t="str">
        <f>IFERROR(__xludf.DUMMYFUNCTION("""COMPUTED_VALUE"""),"AN #93")</f>
        <v>AN #93</v>
      </c>
      <c r="I14" s="1" t="str">
        <f>IFERROR(__xludf.DUMMYFUNCTION("""COMPUTED_VALUE"""),"Rohin")</f>
        <v>Rohin</v>
      </c>
      <c r="J14" s="1" t="str">
        <f>IFERROR(__xludf.DUMMYFUNCTION("""COMPUTED_VALUE"""),"This is a blog post for a previously summarized paper, &lt;@Adversarial Policies: Attacking Deep Reinforcement Learning@&gt;.")</f>
        <v>This is a blog post for a previously summarized paper, &lt;@Adversarial Policies: Attacking Deep Reinforcement Learning@&gt;.</v>
      </c>
    </row>
    <row r="15">
      <c r="A15" s="1" t="str">
        <f>IFERROR(__xludf.DUMMYFUNCTION("""COMPUTED_VALUE"""),"Adversarial examples")</f>
        <v>Adversarial examples</v>
      </c>
      <c r="B15" s="1" t="str">
        <f>IFERROR(__xludf.DUMMYFUNCTION("""COMPUTED_VALUE"""),"")</f>
        <v/>
      </c>
      <c r="C15" s="2" t="str">
        <f>IFERROR(__xludf.DUMMYFUNCTION("""COMPUTED_VALUE"""),"Robustness beyond Security: Representation Learning")</f>
        <v>Robustness beyond Security: Representation Learning</v>
      </c>
      <c r="D15" s="1" t="str">
        <f>IFERROR(__xludf.DUMMYFUNCTION("""COMPUTED_VALUE"""),"Logan Engstrom, Andrew Ilyas, Shibani Santurkar, Dimitris Tsipras, Brandon Tran, Aleksander Madry")</f>
        <v>Logan Engstrom, Andrew Ilyas, Shibani Santurkar, Dimitris Tsipras, Brandon Tran, Aleksander Madry</v>
      </c>
      <c r="E15" s="1" t="str">
        <f>IFERROR(__xludf.DUMMYFUNCTION("""COMPUTED_VALUE"""),"arXiv")</f>
        <v>arXiv</v>
      </c>
      <c r="F15" s="1">
        <f>IFERROR(__xludf.DUMMYFUNCTION("""COMPUTED_VALUE"""),2019.0)</f>
        <v>2019</v>
      </c>
      <c r="G15" s="1"/>
      <c r="H15" s="2" t="str">
        <f>IFERROR(__xludf.DUMMYFUNCTION("""COMPUTED_VALUE"""),"AN #68")</f>
        <v>AN #68</v>
      </c>
      <c r="I15" s="1" t="str">
        <f>IFERROR(__xludf.DUMMYFUNCTION("""COMPUTED_VALUE"""),"Cody")</f>
        <v>Cody</v>
      </c>
      <c r="J15" s="1" t="str">
        <f>IFERROR(__xludf.DUMMYFUNCTION("""COMPUTED_VALUE"""),"Earlier this year, a &lt;@provocative paper@&gt;(@Adversarial Examples Are Not Bugs, They Are Features@) out of MIT claimed that adversarial perturbations weren’t just spurious correlations, but were, at least in some cases, features that generalize to the test"&amp;" set. A subtler implied point of the paper was that robustness to adversarial examples wasn’t a matter of resolving the model’s misapprehensions, but rather one of removing the model’s sensitivity to features that would be too small for a human to perceiv"&amp;"e. If we do this via adversarial training, we get so-called “robust representations”. The same group has now put out another paper, asking the question: are robust representations also human-like representations?
To evaluate how human-like the representa"&amp;"tions are, they propose the following experiment: take a source image, and optimize it until its representations (penultimate layer activations) match those of some target image. If the representations are human-like, the result of this optimization shoul"&amp;"d look (to humans) very similar to the target image. (They call this property “invertibility”.) Normal image classifiers fail miserably at this test: the image looks basically like the source image, making it a classic adversarial example. Robust models o"&amp;"n the other hand pass the test, suggesting that robust representations usually are human-like. They provide further evidence by showing that you can run feature visualization without regularization and get meaningful results (existing methods result in no"&amp;"ise if you don’t regularize).")</f>
        <v>Earlier this year, a &lt;@provocative paper@&gt;(@Adversarial Examples Are Not Bugs, They Are Features@) out of MIT claimed that adversarial perturbations weren’t just spurious correlations, but were, at least in some cases, features that generalize to the test set. A subtler implied point of the paper was that robustness to adversarial examples wasn’t a matter of resolving the model’s misapprehensions, but rather one of removing the model’s sensitivity to features that would be too small for a human to perceive. If we do this via adversarial training, we get so-called “robust representations”. The same group has now put out another paper, asking the question: are robust representations also human-like representations?
To evaluate how human-like the representations are, they propose the following experiment: take a source image, and optimize it until its representations (penultimate layer activations) match those of some target image. If the representations are human-like, the result of this optimization should look (to humans) very similar to the target image. (They call this property “invertibility”.) Normal image classifiers fail miserably at this test: the image looks basically like the source image, making it a classic adversarial example. Robust models on the other hand pass the test, suggesting that robust representations usually are human-like. They provide further evidence by showing that you can run feature visualization without regularization and get meaningful results (existing methods result in noise if you don’t regularize).</v>
      </c>
      <c r="K15" t="str">
        <f>IFERROR(__xludf.DUMMYFUNCTION("""COMPUTED_VALUE"""),"I found this paper clear, well-written, and straightforward in its empirical examination of how the representations learned by standard and robust models differ. I also have a particular interest in this line of research, since I have thought for a while "&amp;"that we should be more clear about the fact that adversarially-susceptible models aren’t wrong in some absolute sense, but relative to human perception in particular.
**Rohin’s opinion:** I agree with Cody above, and have a few more thoughts.
Most of th"&amp;"e evidence in this paper suggests that the learned representations are “human-like” in the sense that two images that have similar representations must also be perceptually similar (to humans). That is, by enforcing that “small change in pixels” implies “"&amp;"small change in representations”, you seem to get for free the converse: “small change in representations” implies “small change in pixels”. This wasn’t obvious to me: a priori, each feature could have corresponded to 2+ “clusters” of inputs.
The authors"&amp;" also seem to be making a claim that the representations are semantically similar to the ones humans use. I don’t find the evidence for this as compelling. For example, they claim that when putting the “stripes” feature on a picture of an animal, only the"&amp;" animal gets the stripes and not the background. However, when I tried it myself in the interactive visualization, it looked like a lot of the background was also getting stripes.
One typical regularization for [feature visualization](https://distill.pub"&amp;"/2017/feature-visualization/) is to jitter the image while optimizing it, which seems similar to selecting for robustness to imperceptible changes, so it makes sense that using robust features helps with feature visualization. That said, there are several"&amp;" other techniques for regularization, and the authors didn’t need any of them, which is very interesting. On the other hand, their visualizations don't look as good to me as those from other papers.")</f>
        <v>I found this paper clear, well-written, and straightforward in its empirical examination of how the representations learned by standard and robust models differ. I also have a particular interest in this line of research, since I have thought for a while that we should be more clear about the fact that adversarially-susceptible models aren’t wrong in some absolute sense, but relative to human perception in particular.
**Rohin’s opinion:** I agree with Cody above, and have a few more thoughts.
Most of the evidence in this paper suggests that the learned representations are “human-like” in the sense that two images that have similar representations must also be perceptually similar (to humans). That is, by enforcing that “small change in pixels” implies “small change in representations”, you seem to get for free the converse: “small change in representations” implies “small change in pixels”. This wasn’t obvious to me: a priori, each feature could have corresponded to 2+ “clusters” of inputs.
The authors also seem to be making a claim that the representations are semantically similar to the ones humans use. I don’t find the evidence for this as compelling. For example, they claim that when putting the “stripes” feature on a picture of an animal, only the animal gets the stripes and not the background. However, when I tried it myself in the interactive visualization, it looked like a lot of the background was also getting stripes.
One typical regularization for [feature visualization](https://distill.pub/2017/feature-visualization/) is to jitter the image while optimizing it, which seems similar to selecting for robustness to imperceptible changes, so it makes sense that using robust features helps with feature visualization. That said, there are several other techniques for regularization, and the authors didn’t need any of them, which is very interesting. On the other hand, their visualizations don't look as good to me as those from other papers.</v>
      </c>
      <c r="M15" s="3" t="str">
        <f>IFERROR(__xludf.DUMMYFUNCTION("""COMPUTED_VALUE"""),"Paper: Adversarial Robustness as a Prior for Learned Representations")</f>
        <v>Paper: Adversarial Robustness as a Prior for Learned Representations</v>
      </c>
    </row>
    <row r="16">
      <c r="A16" s="1" t="str">
        <f>IFERROR(__xludf.DUMMYFUNCTION("""COMPUTED_VALUE"""),"Adversarial examples")</f>
        <v>Adversarial examples</v>
      </c>
      <c r="B16" s="1" t="str">
        <f>IFERROR(__xludf.DUMMYFUNCTION("""COMPUTED_VALUE"""),"")</f>
        <v/>
      </c>
      <c r="C16" s="2" t="str">
        <f>IFERROR(__xludf.DUMMYFUNCTION("""COMPUTED_VALUE"""),"Robustness beyond Security: Computer Vision Applications")</f>
        <v>Robustness beyond Security: Computer Vision Applications</v>
      </c>
      <c r="D16" s="1" t="str">
        <f>IFERROR(__xludf.DUMMYFUNCTION("""COMPUTED_VALUE"""),"Shibani Santurkar*, Dimitris Tsipras*, Brandon Tran*, Andrew Ilyas*, Logan Engstrom*, Aleksander Madry")</f>
        <v>Shibani Santurkar*, Dimitris Tsipras*, Brandon Tran*, Andrew Ilyas*, Logan Engstrom*, Aleksander Madry</v>
      </c>
      <c r="E16" s="1" t="str">
        <f>IFERROR(__xludf.DUMMYFUNCTION("""COMPUTED_VALUE"""),"arXiv")</f>
        <v>arXiv</v>
      </c>
      <c r="F16" s="1">
        <f>IFERROR(__xludf.DUMMYFUNCTION("""COMPUTED_VALUE"""),2019.0)</f>
        <v>2019</v>
      </c>
      <c r="G16" s="1"/>
      <c r="H16" s="2" t="str">
        <f>IFERROR(__xludf.DUMMYFUNCTION("""COMPUTED_VALUE"""),"AN #68")</f>
        <v>AN #68</v>
      </c>
      <c r="I16" s="1" t="str">
        <f>IFERROR(__xludf.DUMMYFUNCTION("""COMPUTED_VALUE"""),"Rohin")</f>
        <v>Rohin</v>
      </c>
      <c r="J16" s="1" t="str">
        <f>IFERROR(__xludf.DUMMYFUNCTION("""COMPUTED_VALUE"""),"Since a robust model seems to have significantly more ""human-like"" features (see post above), it should be able to help with many of the tasks in computer vision. The authors demonstrate results on image generation, image-to-image translation, inpaintin"&amp;"g, superresolution and interactive image manipulation: all of which are done simply by optimizing the image to maximize the probability of a particular class label or the value of a particular learned feature.")</f>
        <v>Since a robust model seems to have significantly more "human-like" features (see post above), it should be able to help with many of the tasks in computer vision. The authors demonstrate results on image generation, image-to-image translation, inpainting, superresolution and interactive image manipulation: all of which are done simply by optimizing the image to maximize the probability of a particular class label or the value of a particular learned feature.</v>
      </c>
      <c r="K16" t="str">
        <f>IFERROR(__xludf.DUMMYFUNCTION("""COMPUTED_VALUE"""),"This provides more evidence of the utility of robust features, though all of the comments from the previous paper apply here as well. In particular, looking at the results, my non-expert guess is that they are probably not state-of-the-art (but it's still"&amp;" interesting that one simple method is able to do well on all of these tasks).")</f>
        <v>This provides more evidence of the utility of robust features, though all of the comments from the previous paper apply here as well. In particular, looking at the results, my non-expert guess is that they are probably not state-of-the-art (but it's still interesting that one simple method is able to do well on all of these tasks).</v>
      </c>
      <c r="M16" s="3" t="str">
        <f>IFERROR(__xludf.DUMMYFUNCTION("""COMPUTED_VALUE"""),"Paper: Image Synthesis with a Single (Robust) Classifier")</f>
        <v>Paper: Image Synthesis with a Single (Robust) Classifier</v>
      </c>
    </row>
    <row r="17">
      <c r="A17" s="1" t="str">
        <f>IFERROR(__xludf.DUMMYFUNCTION("""COMPUTED_VALUE"""),"Adversarial examples")</f>
        <v>Adversarial examples</v>
      </c>
      <c r="B17" s="1" t="str">
        <f>IFERROR(__xludf.DUMMYFUNCTION("""COMPUTED_VALUE"""),"")</f>
        <v/>
      </c>
      <c r="C17" s="2" t="str">
        <f>IFERROR(__xludf.DUMMYFUNCTION("""COMPUTED_VALUE"""),"Natural Adversarial Examples")</f>
        <v>Natural Adversarial Examples</v>
      </c>
      <c r="D17" s="1" t="str">
        <f>IFERROR(__xludf.DUMMYFUNCTION("""COMPUTED_VALUE"""),"Dan Hendrycks, Kevin Zhao, Steven Basart, Jacob Steinhardt, Dawn Song")</f>
        <v>Dan Hendrycks, Kevin Zhao, Steven Basart, Jacob Steinhardt, Dawn Song</v>
      </c>
      <c r="E17" s="1" t="str">
        <f>IFERROR(__xludf.DUMMYFUNCTION("""COMPUTED_VALUE"""),"arXiv")</f>
        <v>arXiv</v>
      </c>
      <c r="F17" s="1">
        <f>IFERROR(__xludf.DUMMYFUNCTION("""COMPUTED_VALUE"""),2019.0)</f>
        <v>2019</v>
      </c>
      <c r="G17" s="1"/>
      <c r="H17" s="2" t="str">
        <f>IFERROR(__xludf.DUMMYFUNCTION("""COMPUTED_VALUE"""),"AN #64")</f>
        <v>AN #64</v>
      </c>
      <c r="I17" s="1" t="str">
        <f>IFERROR(__xludf.DUMMYFUNCTION("""COMPUTED_VALUE"""),"Flo Dorner")</f>
        <v>Flo Dorner</v>
      </c>
      <c r="J17" s="1" t="str">
        <f>IFERROR(__xludf.DUMMYFUNCTION("""COMPUTED_VALUE"""),"This paper introduces a new dataset to evaluate the worst-case performance of image classifiers. ImageNet-A consists of unmodified natural images that are consistently misclassified by popular neural-network architectures trained on ImageNet. Based on som"&amp;"e concrete misclassifications, like a dragonfly on a yellow plastic shovel being classified as a banana, the authors hypothesize that current classifiers rely too much on color, texture and background cues. Neither classical adversarial training nor train"&amp;"ing on a version of ImageNet designed to reduce the reliance on texture helps a lot, but modifying the network architecture can increase the accuracy on ImageNet-A from around 5% to 15%.")</f>
        <v>This paper introduces a new dataset to evaluate the worst-case performance of image classifiers. ImageNet-A consists of unmodified natural images that are consistently misclassified by popular neural-network architectures trained on ImageNet. Based on some concrete misclassifications, like a dragonfly on a yellow plastic shovel being classified as a banana, the authors hypothesize that current classifiers rely too much on color, texture and background cues. Neither classical adversarial training nor training on a version of ImageNet designed to reduce the reliance on texture helps a lot, but modifying the network architecture can increase the accuracy on ImageNet-A from around 5% to 15%.</v>
      </c>
      <c r="K17" t="str">
        <f>IFERROR(__xludf.DUMMYFUNCTION("""COMPUTED_VALUE"""),"This seems to show that current methods and/or training sets for image classification are still far away from allowing for robust generalization, even in naturally occuring scenarios. While not too surprising, the results might convince those who have hea"&amp;"vily discounted the evidence provided by classical adversarial examples due to the reliance on artificial perturbations.
**Rohin's opinion:** I'm particularly excited about this dataset because it seems like a significantly better way to evaluate new tec"&amp;"hniques for robustness: it's much closer to a ""real world"" test of the technique (as opposed to e.g. introducing an artificial perturbation that classifiers are expected to be robust to).")</f>
        <v>This seems to show that current methods and/or training sets for image classification are still far away from allowing for robust generalization, even in naturally occuring scenarios. While not too surprising, the results might convince those who have heavily discounted the evidence provided by classical adversarial examples due to the reliance on artificial perturbations.
**Rohin's opinion:** I'm particularly excited about this dataset because it seems like a significantly better way to evaluate new techniques for robustness: it's much closer to a "real world" test of the technique (as opposed to e.g. introducing an artificial perturbation that classifiers are expected to be robust to).</v>
      </c>
    </row>
    <row r="18">
      <c r="A18" s="1" t="str">
        <f>IFERROR(__xludf.DUMMYFUNCTION("""COMPUTED_VALUE"""),"Adversarial examples")</f>
        <v>Adversarial examples</v>
      </c>
      <c r="B18" s="1" t="str">
        <f>IFERROR(__xludf.DUMMYFUNCTION("""COMPUTED_VALUE"""),"")</f>
        <v/>
      </c>
      <c r="C18" s="2" t="str">
        <f>IFERROR(__xludf.DUMMYFUNCTION("""COMPUTED_VALUE"""),"Testing Robustness Against Unforeseen Adversaries")</f>
        <v>Testing Robustness Against Unforeseen Adversaries</v>
      </c>
      <c r="D18" s="1" t="str">
        <f>IFERROR(__xludf.DUMMYFUNCTION("""COMPUTED_VALUE"""),"Daniel Kang, Yi Sun, Dan Hendrycks, Tom Brown, Jacob Steinhardt")</f>
        <v>Daniel Kang, Yi Sun, Dan Hendrycks, Tom Brown, Jacob Steinhardt</v>
      </c>
      <c r="E18" s="1" t="str">
        <f>IFERROR(__xludf.DUMMYFUNCTION("""COMPUTED_VALUE"""),"arXiv")</f>
        <v>arXiv</v>
      </c>
      <c r="F18" s="1">
        <f>IFERROR(__xludf.DUMMYFUNCTION("""COMPUTED_VALUE"""),2019.0)</f>
        <v>2019</v>
      </c>
      <c r="G18" s="1"/>
      <c r="H18" s="2" t="str">
        <f>IFERROR(__xludf.DUMMYFUNCTION("""COMPUTED_VALUE"""),"AN #63")</f>
        <v>AN #63</v>
      </c>
      <c r="I18" s="1" t="str">
        <f>IFERROR(__xludf.DUMMYFUNCTION("""COMPUTED_VALUE"""),"Cody")</f>
        <v>Cody</v>
      </c>
      <c r="J18" s="1" t="str">
        <f>IFERROR(__xludf.DUMMYFUNCTION("""COMPUTED_VALUE"""),"This paper demonstrates that adversarially training on just one type or family of adversarial distortions fails to provide general robustness against different kinds of possible distortions. In particular, they show that adversarial training against L-p n"&amp;"orm ball distortions transfer reasonably well to other L-p norm ball attacks, but provides little value, and can in fact reduce robustness, when evaluated on other families of attacks, such as adversarially-chosen Gabor noise, ""snow"" noise, or JPEG comp"&amp;"ression. In addition to proposing these new perturbation types beyond the typical L-p norm ball, the paper also provides a ""calibration table"" with epsilon sizes they judge to be comparable between attack types, by evaluating them according to how much "&amp;"they reduce accuracy on either a defended or undefended model. (Because attacks are so different in approach, a given numerical value of epsilon won't correspond to the same ""strength"" of attack across methods) ")</f>
        <v>This paper demonstrates that adversarially training on just one type or family of adversarial distortions fails to provide general robustness against different kinds of possible distortions. In particular, they show that adversarial training against L-p norm ball distortions transfer reasonably well to other L-p norm ball attacks, but provides little value, and can in fact reduce robustness, when evaluated on other families of attacks, such as adversarially-chosen Gabor noise, "snow" noise, or JPEG compression. In addition to proposing these new perturbation types beyond the typical L-p norm ball, the paper also provides a "calibration table" with epsilon sizes they judge to be comparable between attack types, by evaluating them according to how much they reduce accuracy on either a defended or undefended model. (Because attacks are so different in approach, a given numerical value of epsilon won't correspond to the same "strength" of attack across methods) </v>
      </c>
      <c r="K18" t="str">
        <f>IFERROR(__xludf.DUMMYFUNCTION("""COMPUTED_VALUE"""),"I didn't personally find this paper hugely surprising, given the past pattern of whack-a-mole between attack and defense suggesting that defenses tend to be limited in their scope, and don't confer general robustness. That said, I appreciate how centrally"&amp;" the authors lay this lack of transfer as a problem, and the effort they put in to generating new attack types and calibrating them so they can be meaningfully compared to existing L-p norm ball ones. 
**Rohin's opinion:** I see this paper as calling for"&amp;" adversarial examples researchers to stop focusing just on the L-p norm ball, in line with &lt;@one of the responses@&gt;(@Response: Adversarial Example Researchers Need to Expand What is Meant by ‘Robustness’@) to the last newsletter's highlight, &lt;@Adversarial"&amp;" Examples Are Not Bugs, They Are Features@&gt;.")</f>
        <v>I didn't personally find this paper hugely surprising, given the past pattern of whack-a-mole between attack and defense suggesting that defenses tend to be limited in their scope, and don't confer general robustness. That said, I appreciate how centrally the authors lay this lack of transfer as a problem, and the effort they put in to generating new attack types and calibrating them so they can be meaningfully compared to existing L-p norm ball ones. 
**Rohin's opinion:** I see this paper as calling for adversarial examples researchers to stop focusing just on the L-p norm ball, in line with &lt;@one of the responses@&gt;(@Response: Adversarial Example Researchers Need to Expand What is Meant by ‘Robustness’@) to the last newsletter's highlight, &lt;@Adversarial Examples Are Not Bugs, They Are Features@&gt;.</v>
      </c>
      <c r="M18" s="3" t="str">
        <f>IFERROR(__xludf.DUMMYFUNCTION("""COMPUTED_VALUE"""),"Testing Robustness Against Unforeseen Adversaries")</f>
        <v>Testing Robustness Against Unforeseen Adversaries</v>
      </c>
    </row>
    <row r="19">
      <c r="A19" s="1" t="str">
        <f>IFERROR(__xludf.DUMMYFUNCTION("""COMPUTED_VALUE"""),"Adversarial examples")</f>
        <v>Adversarial examples</v>
      </c>
      <c r="B19" s="1" t="str">
        <f>IFERROR(__xludf.DUMMYFUNCTION("""COMPUTED_VALUE"""),"")</f>
        <v/>
      </c>
      <c r="C19" s="2" t="str">
        <f>IFERROR(__xludf.DUMMYFUNCTION("""COMPUTED_VALUE"""),"On the Geometry of Adversarial Examples")</f>
        <v>On the Geometry of Adversarial Examples</v>
      </c>
      <c r="D19" s="1" t="str">
        <f>IFERROR(__xludf.DUMMYFUNCTION("""COMPUTED_VALUE"""),"Marc Khoury, Dylan Hadfield-Menell")</f>
        <v>Marc Khoury, Dylan Hadfield-Menell</v>
      </c>
      <c r="E19" s="1" t="str">
        <f>IFERROR(__xludf.DUMMYFUNCTION("""COMPUTED_VALUE"""),"Proceedings of the Genetic and Evolutionary Computation Conference '18")</f>
        <v>Proceedings of the Genetic and Evolutionary Computation Conference '18</v>
      </c>
      <c r="F19" s="1">
        <f>IFERROR(__xludf.DUMMYFUNCTION("""COMPUTED_VALUE"""),2018.0)</f>
        <v>2018</v>
      </c>
      <c r="G19" s="1"/>
      <c r="H19" s="2" t="str">
        <f>IFERROR(__xludf.DUMMYFUNCTION("""COMPUTED_VALUE"""),"AN #36")</f>
        <v>AN #36</v>
      </c>
      <c r="I19" s="1" t="str">
        <f>IFERROR(__xludf.DUMMYFUNCTION("""COMPUTED_VALUE"""),"Rohin")</f>
        <v>Rohin</v>
      </c>
      <c r="J19" s="1" t="str">
        <f>IFERROR(__xludf.DUMMYFUNCTION("""COMPUTED_VALUE"""),"This paper analyzes adversarial examples based off a key idea: even if the data of interest forms a low-dimensional manifold, as we often assume, the ϵ-tube _around_ the manifold is still high-dimensional, and so accuracy in an ϵ-ball around true data p"&amp;"oints will be hard to learn.
For a given L_p norm, we can define the optimal decision boundary to be the one that maximizes the margin from the true data manifold. If there exists some classifier that is adversarially robust, then the optimal decision bo"&amp;"undary is as well. Their first result is that the optimal decision boundary can change dramatically if you change p. In particular, for concentric spheres, the optimal L_inf decision boundary provides an L_2 robustness guarantee √d times smaller than the "&amp;"optimal L_2 decision boundary, where d is the dimensionality of the input. This explains why a classifier that is adversarially trained on L_inf adversarial examples does so poorly on L_2 adversarial examples.
I'm not sure I understand the point of the n"&amp;"ext section, but I'll give it a try. They show that a nearest neighbors classifier can achieve perfect robustness if the underlying manifold is sampled sufficiently densely (requiring samples exponential in k, the dimensionality of the manifold). However,"&amp;" a learning algorithm with a particular property that they formalize would require exponentially more samples in at least some cases in order to have the same guarantee. I don't know why they chose the particular property they did -- my best guess is that"&amp;" the property is meant to represent what we get when we train a neural net on L_p adversarial examples. If so, then their theorem suggests that we would need exponentially more training points to achieve perfect robustness with adversarial training compar"&amp;"ed to a nearest neighbor classifier.
They next turn to the fact that the ϵ-tube around the manifold is d-dimensional instead of k-dimensional. If we consider ϵ-balls around the training set X, this covers a very small fraction of the ϵ-tube, approaching "&amp;"0 as d becomes much larger than k, even if the training set X covers the k-dimensional manifold sufficiently well.
Another issue is that if we require adversarial robustness, then we severely restrict the number of possible decision boundaries, and so we"&amp;" may need significantly more expressive models to get one of these decision boundaries. In particular, since feedforward neural nets with Relu activations have ""piecewise linear"" decision boundaries (in quotes because I might be using the term incorrect"&amp;"ly), it is hard for them to separate concentric spheres. Suppose that the spheres are separated by a distance d. Then for accuracy on the manifold, we only need the decision boundary to lie entirely in the shell of width d. However, for ϵ-tube adversarial"&amp;" robustness, the decision boundary must lie in a shell of width d - 2ϵ. They prove a lower bound on the number of linear regions for the decision boundary that grows as τ^(-d), where τ is the width of the shell, suggesting that adversarial robustness woul"&amp;"d require more parameters in the model.
Their experiments show that for simple learning problems (spheres and planes), adversarial examples tend to be in directions orthogonal to the manifold. In addition, if the true manifold has high codimension, then "&amp;"the learned model has poor robustness.")</f>
        <v>This paper analyzes adversarial examples based off a key idea: even if the data of interest forms a low-dimensional manifold, as we often assume, the _x000f__x000f_ϵ-tube _around_ the manifold is still high-dimensional, and so accuracy in an ϵ-ball around true data points will be hard to learn.
For a given L_p norm, we can define the optimal decision boundary to be the one that maximizes the margin from the true data manifold. If there exists some classifier that is adversarially robust, then the optimal decision boundary is as well. Their first result is that the optimal decision boundary can change dramatically if you change p. In particular, for concentric spheres, the optimal L_inf decision boundary provides an L_2 robustness guarantee √d times smaller than the optimal L_2 decision boundary, where d is the dimensionality of the input. This explains why a classifier that is adversarially trained on L_inf adversarial examples does so poorly on L_2 adversarial examples.
I'm not sure I understand the point of the next section, but I'll give it a try. They show that a nearest neighbors classifier can achieve perfect robustness if the underlying manifold is sampled sufficiently densely (requiring samples exponential in k, the dimensionality of the manifold). However, a learning algorithm with a particular property that they formalize would require exponentially more samples in at least some cases in order to have the same guarantee. I don't know why they chose the particular property they did -- my best guess is that the property is meant to represent what we get when we train a neural net on L_p adversarial examples. If so, then their theorem suggests that we would need exponentially more training points to achieve perfect robustness with adversarial training compared to a nearest neighbor classifier.
They next turn to the fact that the ϵ-tube around the manifold is d-dimensional instead of k-dimensional. If we consider ϵ-balls around the training set X, this covers a very small fraction of the ϵ-tube, approaching 0 as d becomes much larger than k, even if the training set X covers the k-dimensional manifold sufficiently well.
Another issue is that if we require adversarial robustness, then we severely restrict the number of possible decision boundaries, and so we may need significantly more expressive models to get one of these decision boundaries. In particular, since feedforward neural nets with Relu activations have "piecewise linear" decision boundaries (in quotes because I might be using the term incorrectly), it is hard for them to separate concentric spheres. Suppose that the spheres are separated by a distance d. Then for accuracy on the manifold, we only need the decision boundary to lie entirely in the shell of width d. However, for ϵ-tube adversarial robustness, the decision boundary must lie in a shell of width d - 2ϵ. They prove a lower bound on the number of linear regions for the decision boundary that grows as τ^(-d), where τ is the width of the shell, suggesting that adversarial robustness would require more parameters in the model.
Their experiments show that for simple learning problems (spheres and planes), adversarial examples tend to be in directions orthogonal to the manifold. In addition, if the true manifold has high codimension, then the learned model has poor robustness.</v>
      </c>
      <c r="K19" t="str">
        <f>IFERROR(__xludf.DUMMYFUNCTION("""COMPUTED_VALUE"""),"I think this paper has given me a significantly better understanding of how L_p norm balls work in high dimensions. I'm more fuzzy on how this applies to adversarial examples, in the sense of any confident misclassification by the model on an example that"&amp;" humans agree is obvious. Should we be giving up on L_p robustness since it forms a d-dimensional manifold, whereas we can only hope to learn the smaller k-dimensional manifold? Surely though a small enough perturbation shouldn't change anything? On the o"&amp;"ther hand, even humans have _some_ decision boundary, and the points near the decision boundary have some small perturbation which would change their classification (though possibly to ""I don't know"" rather than some other class).
There is a phenomenon"&amp;" where if you train on L_inf adversarial examples, the resulting classifier fails on L_2 adversarial examples, which has previously been described as ""overfitting to L_inf"". The authors interpret their first theorem as contradicting this statement, sinc"&amp;"e the optimal decision boundaries are very different for L_inf and L_2. I don't see this as a contradiction. The L_p norms are simply a method of label propagation, which augments the set of data points for which we know labels. Ultimately, we want the cl"&amp;"assifier to reproduce the labels that we would assign to data points, and L_p propagation captures some of that. So, we can think of there as being many different ways that we can augment the set of training points until it matches human classification, a"&amp;"nd the L_p norm balls are such methods. Then an algorithm is more robust as it works with more of these augmentation methods. Simply doing L_inf training means that by default the learned model only works on one of the methods (L_inf norm balls) and not a"&amp;"ll of them as we wanted, and we can think of this as ""overfitting"" to the imperfect L_inf notion of adversarial robustness. The meaning of ""overfitting"" here is that the learned model is too optimized for L_inf, at the cost of other notions of robustn"&amp;"ess like L_2 -- and their theorem says basically the same thing, that optimizing for L_inf comes at the cost of L_2 robustness.")</f>
        <v>I think this paper has given me a significantly better understanding of how L_p norm balls work in high dimensions. I'm more fuzzy on how this applies to adversarial examples, in the sense of any confident misclassification by the model on an example that humans agree is obvious. Should we be giving up on L_p robustness since it forms a d-dimensional manifold, whereas we can only hope to learn the smaller k-dimensional manifold? Surely though a small enough perturbation shouldn't change anything? On the other hand, even humans have _some_ decision boundary, and the points near the decision boundary have some small perturbation which would change their classification (though possibly to "I don't know" rather than some other class).
There is a phenomenon where if you train on L_inf adversarial examples, the resulting classifier fails on L_2 adversarial examples, which has previously been described as "overfitting to L_inf". The authors interpret their first theorem as contradicting this statement, since the optimal decision boundaries are very different for L_inf and L_2. I don't see this as a contradiction. The L_p norms are simply a method of label propagation, which augments the set of data points for which we know labels. Ultimately, we want the classifier to reproduce the labels that we would assign to data points, and L_p propagation captures some of that. So, we can think of there as being many different ways that we can augment the set of training points until it matches human classification, and the L_p norm balls are such methods. Then an algorithm is more robust as it works with more of these augmentation methods. Simply doing L_inf training means that by default the learned model only works on one of the methods (L_inf norm balls) and not all of them as we wanted, and we can think of this as "overfitting" to the imperfect L_inf notion of adversarial robustness. The meaning of "overfitting" here is that the learned model is too optimized for L_inf, at the cost of other notions of robustness like L_2 -- and their theorem says basically the same thing, that optimizing for L_inf comes at the cost of L_2 robustness.</v>
      </c>
    </row>
    <row r="20">
      <c r="A20" s="1" t="str">
        <f>IFERROR(__xludf.DUMMYFUNCTION("""COMPUTED_VALUE"""),"Adversarial examples")</f>
        <v>Adversarial examples</v>
      </c>
      <c r="B20" s="1" t="str">
        <f>IFERROR(__xludf.DUMMYFUNCTION("""COMPUTED_VALUE"""),"")</f>
        <v/>
      </c>
      <c r="C20" s="2" t="str">
        <f>IFERROR(__xludf.DUMMYFUNCTION("""COMPUTED_VALUE"""),"A Geometric Perspective on the Transferability of Adversarial Directions")</f>
        <v>A Geometric Perspective on the Transferability of Adversarial Directions</v>
      </c>
      <c r="D20" s="1" t="str">
        <f>IFERROR(__xludf.DUMMYFUNCTION("""COMPUTED_VALUE"""),"Zachary Charles, Harrison Rosenberg, Dimitris Papailiopoulos")</f>
        <v>Zachary Charles, Harrison Rosenberg, Dimitris Papailiopoulos</v>
      </c>
      <c r="E20" s="1" t="str">
        <f>IFERROR(__xludf.DUMMYFUNCTION("""COMPUTED_VALUE"""),"arXiv")</f>
        <v>arXiv</v>
      </c>
      <c r="F20" s="1">
        <f>IFERROR(__xludf.DUMMYFUNCTION("""COMPUTED_VALUE"""),2018.0)</f>
        <v>2018</v>
      </c>
      <c r="G20" s="1"/>
      <c r="H20" s="2" t="str">
        <f>IFERROR(__xludf.DUMMYFUNCTION("""COMPUTED_VALUE"""),"AN #34")</f>
        <v>AN #34</v>
      </c>
      <c r="I20" s="1"/>
      <c r="J20" s="1"/>
    </row>
    <row r="21">
      <c r="A21" s="1" t="str">
        <f>IFERROR(__xludf.DUMMYFUNCTION("""COMPUTED_VALUE"""),"Adversarial examples")</f>
        <v>Adversarial examples</v>
      </c>
      <c r="B21" s="1" t="str">
        <f>IFERROR(__xludf.DUMMYFUNCTION("""COMPUTED_VALUE"""),"")</f>
        <v/>
      </c>
      <c r="C21" s="2" t="str">
        <f>IFERROR(__xludf.DUMMYFUNCTION("""COMPUTED_VALUE"""),"Towards the first adversarially robust neural network model on MNIST")</f>
        <v>Towards the first adversarially robust neural network model on MNIST</v>
      </c>
      <c r="D21" s="1" t="str">
        <f>IFERROR(__xludf.DUMMYFUNCTION("""COMPUTED_VALUE"""),"Lukas Schott, Jonas Rauber, Matthias Bethge, Wieland Brendel")</f>
        <v>Lukas Schott, Jonas Rauber, Matthias Bethge, Wieland Brendel</v>
      </c>
      <c r="E21" s="1" t="str">
        <f>IFERROR(__xludf.DUMMYFUNCTION("""COMPUTED_VALUE"""),"arXiv")</f>
        <v>arXiv</v>
      </c>
      <c r="F21" s="1">
        <f>IFERROR(__xludf.DUMMYFUNCTION("""COMPUTED_VALUE"""),2018.0)</f>
        <v>2018</v>
      </c>
      <c r="G21" s="1"/>
      <c r="H21" s="2" t="str">
        <f>IFERROR(__xludf.DUMMYFUNCTION("""COMPUTED_VALUE"""),"AN #27")</f>
        <v>AN #27</v>
      </c>
      <c r="I21" s="1" t="str">
        <f>IFERROR(__xludf.DUMMYFUNCTION("""COMPUTED_VALUE"""),"Dan H")</f>
        <v>Dan H</v>
      </c>
      <c r="J21" s="1" t="str">
        <f>IFERROR(__xludf.DUMMYFUNCTION("""COMPUTED_VALUE"""),"This recent pre-print claims to make MNIST classifiers more adversarially robust to different L-p perturbations, while the previous paper only worked for L-infinity perturbations. The basic building block in their approach is a variational autoencoder, on"&amp;"e for each MNIST class. Each variational autoencoder computes the likelihood of the input sample, and this information is used for classification. The authors also demonstrate that binarizing MNIST images can serve as strong defense against some perturbat"&amp;"ions. They evaluate against strong attacks and not just the fast gradient sign method.")</f>
        <v>This recent pre-print claims to make MNIST classifiers more adversarially robust to different L-p perturbations, while the previous paper only worked for L-infinity perturbations. The basic building block in their approach is a variational autoencoder, one for each MNIST class. Each variational autoencoder computes the likelihood of the input sample, and this information is used for classification. The authors also demonstrate that binarizing MNIST images can serve as strong defense against some perturbations. They evaluate against strong attacks and not just the fast gradient sign method.</v>
      </c>
      <c r="K21" t="str">
        <f>IFERROR(__xludf.DUMMYFUNCTION("""COMPUTED_VALUE"""),"This paper has generated considerable excitement among my peers. Yet inference time with this approach is approximately 100,000 times that of normal inference (10^4 samples per VAE * 10 VAEs). Also unusual is that the L-infinity ""latent descent attack"" "&amp;"result is missing. It is not clear why training a single VAE does not work. Also, could results improve by adversarially training the VAEs? As with all defense papers, it is prudent to wait for third-party reimplementations and analysis, but the range of "&amp;"attacks they consider is certainly thorough.")</f>
        <v>This paper has generated considerable excitement among my peers. Yet inference time with this approach is approximately 100,000 times that of normal inference (10^4 samples per VAE * 10 VAEs). Also unusual is that the L-infinity "latent descent attack" result is missing. It is not clear why training a single VAE does not work. Also, could results improve by adversarially training the VAEs? As with all defense papers, it is prudent to wait for third-party reimplementations and analysis, but the range of attacks they consider is certainly thorough.</v>
      </c>
    </row>
    <row r="22">
      <c r="A22" s="1" t="str">
        <f>IFERROR(__xludf.DUMMYFUNCTION("""COMPUTED_VALUE"""),"Adversarial examples")</f>
        <v>Adversarial examples</v>
      </c>
      <c r="B22" s="1" t="str">
        <f>IFERROR(__xludf.DUMMYFUNCTION("""COMPUTED_VALUE"""),"")</f>
        <v/>
      </c>
      <c r="C22" s="2" t="str">
        <f>IFERROR(__xludf.DUMMYFUNCTION("""COMPUTED_VALUE"""),"Towards Deep Learning Models Resistant to Adversarial Attacks")</f>
        <v>Towards Deep Learning Models Resistant to Adversarial Attacks</v>
      </c>
      <c r="D22" s="1" t="str">
        <f>IFERROR(__xludf.DUMMYFUNCTION("""COMPUTED_VALUE"""),"Aleksander Madry, Aleksandar Makelov, Ludwig Schmidt, Dimitris Tsipras, Adrian Vladu")</f>
        <v>Aleksander Madry, Aleksandar Makelov, Ludwig Schmidt, Dimitris Tsipras, Adrian Vladu</v>
      </c>
      <c r="E22" s="1" t="str">
        <f>IFERROR(__xludf.DUMMYFUNCTION("""COMPUTED_VALUE"""),"ICLR")</f>
        <v>ICLR</v>
      </c>
      <c r="F22" s="1">
        <f>IFERROR(__xludf.DUMMYFUNCTION("""COMPUTED_VALUE"""),2018.0)</f>
        <v>2018</v>
      </c>
      <c r="G22" s="1"/>
      <c r="H22" s="2" t="str">
        <f>IFERROR(__xludf.DUMMYFUNCTION("""COMPUTED_VALUE"""),"AN #27")</f>
        <v>AN #27</v>
      </c>
      <c r="I22" s="1" t="str">
        <f>IFERROR(__xludf.DUMMYFUNCTION("""COMPUTED_VALUE"""),"Dan H")</f>
        <v>Dan H</v>
      </c>
      <c r="J22" s="1" t="str">
        <f>IFERROR(__xludf.DUMMYFUNCTION("""COMPUTED_VALUE"""),"Madry et al.'s paper is a seminal work which shows that some neural networks can attain more adversarial robustness with a well-designed adversarial training procedure. The key idea is to phrase the adversarial defense problem as minimizing the expected r"&amp;"esult of the adversarial attack problem, which is maximizing the loss on an input training point when the adversary is allowed to perturb the point anywhere within an L-infinity norm ball. They also start the gradient descent from a random point in the no"&amp;"rm ball. Then, given this attack, to optimize the adversarial defense problem, we simply do adversarial training. When trained long enough, some networks will attain more adversarial robustness.")</f>
        <v>Madry et al.'s paper is a seminal work which shows that some neural networks can attain more adversarial robustness with a well-designed adversarial training procedure. The key idea is to phrase the adversarial defense problem as minimizing the expected result of the adversarial attack problem, which is maximizing the loss on an input training point when the adversary is allowed to perturb the point anywhere within an L-infinity norm ball. They also start the gradient descent from a random point in the norm ball. Then, given this attack, to optimize the adversarial defense problem, we simply do adversarial training. When trained long enough, some networks will attain more adversarial robustness.</v>
      </c>
      <c r="K22" t="str">
        <f>IFERROR(__xludf.DUMMYFUNCTION("""COMPUTED_VALUE"""),"It is notable that this paper has survived third-party security analysis, so this is a solid contribution. This contribution is limited by the fact that its improvements are limited to L-infinity adversarial perturbations on small images, as [follow-up wo"&amp;"rk](https://arxiv.org/abs/1710.10733) has shown.")</f>
        <v>It is notable that this paper has survived third-party security analysis, so this is a solid contribution. This contribution is limited by the fact that its improvements are limited to L-infinity adversarial perturbations on small images, as [follow-up work](https://arxiv.org/abs/1710.10733) has shown.</v>
      </c>
    </row>
    <row r="23">
      <c r="A23" s="1" t="str">
        <f>IFERROR(__xludf.DUMMYFUNCTION("""COMPUTED_VALUE"""),"Adversarial examples")</f>
        <v>Adversarial examples</v>
      </c>
      <c r="B23" s="1" t="str">
        <f>IFERROR(__xludf.DUMMYFUNCTION("""COMPUTED_VALUE"""),"")</f>
        <v/>
      </c>
      <c r="C23" s="2" t="str">
        <f>IFERROR(__xludf.DUMMYFUNCTION("""COMPUTED_VALUE"""),"Motivating the Rules of the Game for Adversarial Example Research")</f>
        <v>Motivating the Rules of the Game for Adversarial Example Research</v>
      </c>
      <c r="D23" s="1" t="str">
        <f>IFERROR(__xludf.DUMMYFUNCTION("""COMPUTED_VALUE"""),"Justin Gilmer, Ryan P. Adams, Ian Goodfellow, David Andersen, George E. Dahl")</f>
        <v>Justin Gilmer, Ryan P. Adams, Ian Goodfellow, David Andersen, George E. Dahl</v>
      </c>
      <c r="E23" s="1" t="str">
        <f>IFERROR(__xludf.DUMMYFUNCTION("""COMPUTED_VALUE"""),"arXiv")</f>
        <v>arXiv</v>
      </c>
      <c r="F23" s="1">
        <f>IFERROR(__xludf.DUMMYFUNCTION("""COMPUTED_VALUE"""),2018.0)</f>
        <v>2018</v>
      </c>
      <c r="G23" s="1" t="str">
        <f>IFERROR(__xludf.DUMMYFUNCTION("""COMPUTED_VALUE"""),"Daniel Filan")</f>
        <v>Daniel Filan</v>
      </c>
      <c r="H23" s="2" t="str">
        <f>IFERROR(__xludf.DUMMYFUNCTION("""COMPUTED_VALUE"""),"AN #19")</f>
        <v>AN #19</v>
      </c>
      <c r="I23" s="1"/>
      <c r="J23" s="1"/>
    </row>
    <row r="24">
      <c r="A24" s="1" t="str">
        <f>IFERROR(__xludf.DUMMYFUNCTION("""COMPUTED_VALUE"""),"Adversarial examples")</f>
        <v>Adversarial examples</v>
      </c>
      <c r="B24" s="1" t="str">
        <f>IFERROR(__xludf.DUMMYFUNCTION("""COMPUTED_VALUE"""),"")</f>
        <v/>
      </c>
      <c r="C24" s="2" t="str">
        <f>IFERROR(__xludf.DUMMYFUNCTION("""COMPUTED_VALUE"""),"Pixels still beat text: Attacking the OpenAI CLIP model with text patches and adversarial pixel perturbations")</f>
        <v>Pixels still beat text: Attacking the OpenAI CLIP model with text patches and adversarial pixel perturbations</v>
      </c>
      <c r="D24" s="1" t="str">
        <f>IFERROR(__xludf.DUMMYFUNCTION("""COMPUTED_VALUE"""),"Stanislav Fort")</f>
        <v>Stanislav Fort</v>
      </c>
      <c r="E24" s="1" t="str">
        <f>IFERROR(__xludf.DUMMYFUNCTION("""COMPUTED_VALUE"""),"Author's Website")</f>
        <v>Author's Website</v>
      </c>
      <c r="F24" s="1">
        <f>IFERROR(__xludf.DUMMYFUNCTION("""COMPUTED_VALUE"""),2021.0)</f>
        <v>2021</v>
      </c>
      <c r="G24" s="1"/>
      <c r="H24" s="2" t="str">
        <f>IFERROR(__xludf.DUMMYFUNCTION("""COMPUTED_VALUE"""),"AN #142")</f>
        <v>AN #142</v>
      </c>
      <c r="I24" s="1" t="str">
        <f>IFERROR(__xludf.DUMMYFUNCTION("""COMPUTED_VALUE"""),"Rohin")</f>
        <v>Rohin</v>
      </c>
      <c r="J24" s="1" t="str">
        <f>IFERROR(__xludf.DUMMYFUNCTION("""COMPUTED_VALUE"""),"Typographic adversarial examples demonstrate that [CLIP](https://openai.com/blog/clip/) can be significantly affected by text in an image. How powerfully does text affect CLIP, and how does it compare to more traditional attack vectors like imperceptible "&amp;"pixel changes? This blog post seeks to find out, through some simple tests on CIFAR-10.
First, to see how much text can affect CLIP’s performance, we add a handwritten label to each of the test images that spells out the class (so a picture of a deer wou"&amp;"ld have overlaid a picture of a handwritten sticker of the word “deer”). This boosts CLIP’s zero-shot performance on CIFAR-10 from 87.37% to literally 100% (not a single mistake), showing that text really is quite powerful in affecting CLIP’s behavior.
Y"&amp;"ou might think that since text can boost performance so powerfully, CLIP would at least be more robust against pixel-level attacks when the sticker is present. However, this does _not_ seem to be true: even when there is a sticker with the true class, a p"&amp;"ixel-level attack works quite well (and is still imperceptible).
This suggests that while the text is powerful, pixel-level changes are more powerful still. To test this, we can try adding another, new sticker (with the same label). It turns out that thi"&amp;"s _does_ successfully switch the label back to the original correct label. In general, you can keep iterating the text sticker attack and the pixel-change attack, and the attacks keep working, with CLIP’s classification being determined by whichever attac"&amp;"k was performed most recently.
You might think that the model's ability to read text is fairly brittle, and that's what's being changed by pixel-level attacks, hence adding a fresh piece of text would switch it back. Unfortunately, it doesn't seem like a"&amp;"nything quite that simple is going on. The author conducts several experiments where only the sticker can be adversarially perturbed, or everything but the sticker can be adversarially perturbed, or where the copy-pasted sticker is one that was previously"&amp;" adversarially perturbed; unfortunately the results don't seem to tell a clean story.")</f>
        <v>Typographic adversarial examples demonstrate that [CLIP](https://openai.com/blog/clip/) can be significantly affected by text in an image. How powerfully does text affect CLIP, and how does it compare to more traditional attack vectors like imperceptible pixel changes? This blog post seeks to find out, through some simple tests on CIFAR-10.
First, to see how much text can affect CLIP’s performance, we add a handwritten label to each of the test images that spells out the class (so a picture of a deer would have overlaid a picture of a handwritten sticker of the word “deer”). This boosts CLIP’s zero-shot performance on CIFAR-10 from 87.37% to literally 100% (not a single mistake), showing that text really is quite powerful in affecting CLIP’s behavior.
You might think that since text can boost performance so powerfully, CLIP would at least be more robust against pixel-level attacks when the sticker is present. However, this does _not_ seem to be true: even when there is a sticker with the true class, a pixel-level attack works quite well (and is still imperceptible).
This suggests that while the text is powerful, pixel-level changes are more powerful still. To test this, we can try adding another, new sticker (with the same label). It turns out that this _does_ successfully switch the label back to the original correct label. In general, you can keep iterating the text sticker attack and the pixel-change attack, and the attacks keep working, with CLIP’s classification being determined by whichever attack was performed most recently.
You might think that the model's ability to read text is fairly brittle, and that's what's being changed by pixel-level attacks, hence adding a fresh piece of text would switch it back. Unfortunately, it doesn't seem like anything quite that simple is going on. The author conducts several experiments where only the sticker can be adversarially perturbed, or everything but the sticker can be adversarially perturbed, or where the copy-pasted sticker is one that was previously adversarially perturbed; unfortunately the results don't seem to tell a clean story.</v>
      </c>
      <c r="K24" t="str">
        <f>IFERROR(__xludf.DUMMYFUNCTION("""COMPUTED_VALUE"""),"This is quite an interesting phenomenon, and I'm pretty curious to understand what's going on here. Maybe that's an interesting new challenge for people interested in Circuits-style interpretability? My pretty uneducated guess is that it seems difficult e"&amp;"nough to actually stress our techniques, but not so difficult that we can't make any progress.")</f>
        <v>This is quite an interesting phenomenon, and I'm pretty curious to understand what's going on here. Maybe that's an interesting new challenge for people interested in Circuits-style interpretability? My pretty uneducated guess is that it seems difficult enough to actually stress our techniques, but not so difficult that we can't make any progress.</v>
      </c>
    </row>
    <row r="25">
      <c r="A25" s="1" t="str">
        <f>IFERROR(__xludf.DUMMYFUNCTION("""COMPUTED_VALUE"""),"Adversarial examples")</f>
        <v>Adversarial examples</v>
      </c>
      <c r="B25" s="1" t="str">
        <f>IFERROR(__xludf.DUMMYFUNCTION("""COMPUTED_VALUE"""),"")</f>
        <v/>
      </c>
      <c r="C25" s="2" t="str">
        <f>IFERROR(__xludf.DUMMYFUNCTION("""COMPUTED_VALUE"""),"Adversarial examples for the OpenAI CLIP in its zero-shot classification regime and their semantic generalization")</f>
        <v>Adversarial examples for the OpenAI CLIP in its zero-shot classification regime and their semantic generalization</v>
      </c>
      <c r="D25" s="1" t="str">
        <f>IFERROR(__xludf.DUMMYFUNCTION("""COMPUTED_VALUE"""),"Stanislav Fort")</f>
        <v>Stanislav Fort</v>
      </c>
      <c r="E25" s="1" t="str">
        <f>IFERROR(__xludf.DUMMYFUNCTION("""COMPUTED_VALUE"""),"Author's Website")</f>
        <v>Author's Website</v>
      </c>
      <c r="F25" s="1">
        <f>IFERROR(__xludf.DUMMYFUNCTION("""COMPUTED_VALUE"""),2021.0)</f>
        <v>2021</v>
      </c>
      <c r="G25" s="1"/>
      <c r="H25" s="2" t="str">
        <f>IFERROR(__xludf.DUMMYFUNCTION("""COMPUTED_VALUE"""),"AN #136")</f>
        <v>AN #136</v>
      </c>
      <c r="I25" s="1" t="str">
        <f>IFERROR(__xludf.DUMMYFUNCTION("""COMPUTED_VALUE"""),"Rohin")</f>
        <v>Rohin</v>
      </c>
      <c r="J25" s="1" t="str">
        <f>IFERROR(__xludf.DUMMYFUNCTION("""COMPUTED_VALUE"""),"[CLIP](https://openai.com/blog/clip/) is a model that was trained on a vast soup of image-caption data, and as a result can perform zero-shot image classification (for example, it gets 87% accuracy on CIFAR-10 out of the box). Does it also have adversaria"&amp;"l examples within the image classification regime? This post shows that the answer is yes, and in fact these adversarial examples are easy to find.
More interestingly though, these adversarial examples persist if you change the labels in a semantically m"&amp;"eaningful way. For example, if you take an image X that is correctly classified as a cat and imperceptibly modify it to Y which is now classified as a dog, if you change the class names to “kitty” and “hound”, then the same X will now be classified as a k"&amp;"itty while the same Y will be classified as a hound. This even works (though not as well) for labels like “domesticated animal which barks and is best friend”. The author takes this as evidence that the adversarial image actually looks like the adversaria"&amp;"l class to the neural net, rather than being a peculiar consequence of the specific label.")</f>
        <v>[CLIP](https://openai.com/blog/clip/) is a model that was trained on a vast soup of image-caption data, and as a result can perform zero-shot image classification (for example, it gets 87% accuracy on CIFAR-10 out of the box). Does it also have adversarial examples within the image classification regime? This post shows that the answer is yes, and in fact these adversarial examples are easy to find.
More interestingly though, these adversarial examples persist if you change the labels in a semantically meaningful way. For example, if you take an image X that is correctly classified as a cat and imperceptibly modify it to Y which is now classified as a dog, if you change the class names to “kitty” and “hound”, then the same X will now be classified as a kitty while the same Y will be classified as a hound. This even works (though not as well) for labels like “domesticated animal which barks and is best friend”. The author takes this as evidence that the adversarial image actually looks like the adversarial class to the neural net, rather than being a peculiar consequence of the specific label.</v>
      </c>
      <c r="K25" t="str">
        <f>IFERROR(__xludf.DUMMYFUNCTION("""COMPUTED_VALUE"""),"This seems like further validation of the broad view put forth in &lt;@Adversarial Examples Are Not Bugs, They Are Features@&gt;.")</f>
        <v>This seems like further validation of the broad view put forth in &lt;@Adversarial Examples Are Not Bugs, They Are Features@&gt;.</v>
      </c>
    </row>
    <row r="26">
      <c r="A26" s="1" t="str">
        <f>IFERROR(__xludf.DUMMYFUNCTION("""COMPUTED_VALUE"""),"Adversarial examples")</f>
        <v>Adversarial examples</v>
      </c>
      <c r="B26" s="1" t="str">
        <f>IFERROR(__xludf.DUMMYFUNCTION("""COMPUTED_VALUE"""),"")</f>
        <v/>
      </c>
      <c r="C26" s="2" t="str">
        <f>IFERROR(__xludf.DUMMYFUNCTION("""COMPUTED_VALUE"""),"AXRP 1: Adversarial Policies")</f>
        <v>AXRP 1: Adversarial Policies</v>
      </c>
      <c r="D26" s="1" t="str">
        <f>IFERROR(__xludf.DUMMYFUNCTION("""COMPUTED_VALUE"""),"Daniel Filan and Adam Gleave")</f>
        <v>Daniel Filan and Adam Gleave</v>
      </c>
      <c r="E26" s="1" t="str">
        <f>IFERROR(__xludf.DUMMYFUNCTION("""COMPUTED_VALUE"""),"AXRP Podcast")</f>
        <v>AXRP Podcast</v>
      </c>
      <c r="F26" s="1">
        <f>IFERROR(__xludf.DUMMYFUNCTION("""COMPUTED_VALUE"""),2020.0)</f>
        <v>2020</v>
      </c>
      <c r="G26" s="1"/>
      <c r="H26" s="2" t="str">
        <f>IFERROR(__xludf.DUMMYFUNCTION("""COMPUTED_VALUE"""),"AN #130")</f>
        <v>AN #130</v>
      </c>
      <c r="I26" s="1" t="str">
        <f>IFERROR(__xludf.DUMMYFUNCTION("""COMPUTED_VALUE"""),"Rohin")</f>
        <v>Rohin</v>
      </c>
      <c r="J26" s="1" t="str">
        <f>IFERROR(__xludf.DUMMYFUNCTION("""COMPUTED_VALUE"""),"The first part of this podcast describes the &lt;@adversarial policies paper@&gt;(@Adversarial Policies: Attacking Deep Reinforcement Learning@); see the summary for details about that. (As a reminder, this is the work which trained an adversarial goalie, that "&amp;"by spasming in a random-looking manner, causes the kicker to completely fail to even kick the ball towards the goal.)
Let’s move on to the more speculative thoughts discussed in this podcast (and not in the paper). One interesting thing that the paper hi"&amp;"ghlights is that the space of policies is very non-transitive: it is possible, perhaps even common, that policy A beats policy B, which beats policy C, which beats policy A. This is clear if you allow arbitrary policies -- for example, the policy “play we"&amp;"ll, unless you see your opponent make a particular gesture; if you see that gesture then automatically lose” will beat many policies, but can be beaten by a very weak policy that knows to make the particular gesture. You might have thought that in practic"&amp;"e, the policies produced by deep RL would exclude these weird possibilities, and so could be ranked by some notion of “competence”, where more competent agents would usually beat less competent agents (implying transitivity). The results of this paper sug"&amp;"gest that isn’t the case.
The conversation then shifts to the research community and how to choose what research to do. The motivation behind this work was to improve the evaluation of policies learned by deep RL: while the freedom from the lack of theor"&amp;"etical guarantees (as in control theory) has allowed RL to make progress on previously challenging problems, there hasn’t been a corresponding uptick in engineering-based guarantees, such as testing. The work has had a fairly positive reception in the AI "&amp;"community, though unfortunately it seems this is probably due in part to its flashy results. Other papers that Adam is equally excited about have not had as good a reception.")</f>
        <v>The first part of this podcast describes the &lt;@adversarial policies paper@&gt;(@Adversarial Policies: Attacking Deep Reinforcement Learning@); see the summary for details about that. (As a reminder, this is the work which trained an adversarial goalie, that by spasming in a random-looking manner, causes the kicker to completely fail to even kick the ball towards the goal.)
Let’s move on to the more speculative thoughts discussed in this podcast (and not in the paper). One interesting thing that the paper highlights is that the space of policies is very non-transitive: it is possible, perhaps even common, that policy A beats policy B, which beats policy C, which beats policy A. This is clear if you allow arbitrary policies -- for example, the policy “play well, unless you see your opponent make a particular gesture; if you see that gesture then automatically lose” will beat many policies, but can be beaten by a very weak policy that knows to make the particular gesture. You might have thought that in practice, the policies produced by deep RL would exclude these weird possibilities, and so could be ranked by some notion of “competence”, where more competent agents would usually beat less competent agents (implying transitivity). The results of this paper suggest that isn’t the case.
The conversation then shifts to the research community and how to choose what research to do. The motivation behind this work was to improve the evaluation of policies learned by deep RL: while the freedom from the lack of theoretical guarantees (as in control theory) has allowed RL to make progress on previously challenging problems, there hasn’t been a corresponding uptick in engineering-based guarantees, such as testing. The work has had a fairly positive reception in the AI community, though unfortunately it seems this is probably due in part to its flashy results. Other papers that Adam is equally excited about have not had as good a reception.</v>
      </c>
    </row>
    <row r="27">
      <c r="A27" s="1" t="str">
        <f>IFERROR(__xludf.DUMMYFUNCTION("""COMPUTED_VALUE"""),"Adversarial examples")</f>
        <v>Adversarial examples</v>
      </c>
      <c r="B27" s="1" t="str">
        <f>IFERROR(__xludf.DUMMYFUNCTION("""COMPUTED_VALUE"""),"")</f>
        <v/>
      </c>
      <c r="C27" s="2" t="str">
        <f>IFERROR(__xludf.DUMMYFUNCTION("""COMPUTED_VALUE"""),"A learning and masking approach to secure learning")</f>
        <v>A learning and masking approach to secure learning</v>
      </c>
      <c r="D27" s="1" t="str">
        <f>IFERROR(__xludf.DUMMYFUNCTION("""COMPUTED_VALUE"""),"Linh Nguyen, Sky Wang, Arunesh Sinha")</f>
        <v>Linh Nguyen, Sky Wang, Arunesh Sinha</v>
      </c>
      <c r="E27" s="1" t="str">
        <f>IFERROR(__xludf.DUMMYFUNCTION("""COMPUTED_VALUE"""),"International Conference on Decision and Game Theory for Security 2018")</f>
        <v>International Conference on Decision and Game Theory for Security 2018</v>
      </c>
      <c r="F27" s="1">
        <f>IFERROR(__xludf.DUMMYFUNCTION("""COMPUTED_VALUE"""),2018.0)</f>
        <v>2018</v>
      </c>
      <c r="G27" s="1"/>
      <c r="H27" s="1" t="str">
        <f>IFERROR(__xludf.DUMMYFUNCTION("""COMPUTED_VALUE"""),"N/A")</f>
        <v>N/A</v>
      </c>
      <c r="I27" s="1" t="str">
        <f>IFERROR(__xludf.DUMMYFUNCTION("""COMPUTED_VALUE"""),"Rohin")</f>
        <v>Rohin</v>
      </c>
      <c r="J27" s="1" t="str">
        <f>IFERROR(__xludf.DUMMYFUNCTION("""COMPUTED_VALUE"""),"One way to view the problem of adversarial examples is that adversarial attacks map ""good"" clean data points that are classified correctly into a nearby ""bad"" space that is low probability and so is misclassified. This suggests that in order to attack"&amp;" a model, we can use a neural net to _learn_ a transformation from good data points to bad ones. The loss function is easy -- one term encourages similarity to the original data point, and the other term encourages the new data point to have a different c"&amp;"lass label. Then, for any new input data point, we can simply feed it through the neural net to get an adversarial example.
Similarly, in order to defend a model, we can learn a neural net transformation that maps bad data points to good ones. The loss f"&amp;"unction continues to encourage similarity between the data points, but now encourages that the new data point have the correct label. Note that we need to use some attack algorithm in order to generate the bad data points that are used to train the defend"&amp;"ing neural net.")</f>
        <v>One way to view the problem of adversarial examples is that adversarial attacks map "good" clean data points that are classified correctly into a nearby "bad" space that is low probability and so is misclassified. This suggests that in order to attack a model, we can use a neural net to _learn_ a transformation from good data points to bad ones. The loss function is easy -- one term encourages similarity to the original data point, and the other term encourages the new data point to have a different class label. Then, for any new input data point, we can simply feed it through the neural net to get an adversarial example.
Similarly, in order to defend a model, we can learn a neural net transformation that maps bad data points to good ones. The loss function continues to encourage similarity between the data points, but now encourages that the new data point have the correct label. Note that we need to use some attack algorithm in order to generate the bad data points that are used to train the defending neural net.</v>
      </c>
      <c r="K27" t="str">
        <f>IFERROR(__xludf.DUMMYFUNCTION("""COMPUTED_VALUE"""),"Ultimately, in the defense proposed here, the information on how to be more robust comes from the ""bad"" data points that are used to train the neural net. It's not clear why this would outperform adversarial training, where we train the original classif"&amp;"ier on the ""bad"" data points. In fact, if the best way to deal with adversarial examples is to transform them to regular examples, then we could simply use adversarial training with a more expressive neural net, and it could learn this transformation.")</f>
        <v>Ultimately, in the defense proposed here, the information on how to be more robust comes from the "bad" data points that are used to train the neural net. It's not clear why this would outperform adversarial training, where we train the original classifier on the "bad" data points. In fact, if the best way to deal with adversarial examples is to transform them to regular examples, then we could simply use adversarial training with a more expressive neural net, and it could learn this transformation.</v>
      </c>
    </row>
    <row r="28">
      <c r="A28" s="1" t="str">
        <f>IFERROR(__xludf.DUMMYFUNCTION("""COMPUTED_VALUE"""),"Adversarial examples")</f>
        <v>Adversarial examples</v>
      </c>
      <c r="B28" s="1" t="str">
        <f>IFERROR(__xludf.DUMMYFUNCTION("""COMPUTED_VALUE"""),"")</f>
        <v/>
      </c>
      <c r="C28" s="2" t="str">
        <f>IFERROR(__xludf.DUMMYFUNCTION("""COMPUTED_VALUE"""),"Adversarial Policies: Attacking Deep Reinforcement Learning")</f>
        <v>Adversarial Policies: Attacking Deep Reinforcement Learning</v>
      </c>
      <c r="D28" s="1" t="str">
        <f>IFERROR(__xludf.DUMMYFUNCTION("""COMPUTED_VALUE"""),"Adam Gleave, Michael Dennis, Neel Kant, Cody Wild, Sergey Levine, Stuart Russell")</f>
        <v>Adam Gleave, Michael Dennis, Neel Kant, Cody Wild, Sergey Levine, Stuart Russell</v>
      </c>
      <c r="E28" s="1" t="str">
        <f>IFERROR(__xludf.DUMMYFUNCTION("""COMPUTED_VALUE"""),"arXiv")</f>
        <v>arXiv</v>
      </c>
      <c r="F28" s="1">
        <f>IFERROR(__xludf.DUMMYFUNCTION("""COMPUTED_VALUE"""),2019.0)</f>
        <v>2019</v>
      </c>
      <c r="G28" s="1"/>
      <c r="H28" s="2" t="str">
        <f>IFERROR(__xludf.DUMMYFUNCTION("""COMPUTED_VALUE"""),"AN #70")</f>
        <v>AN #70</v>
      </c>
      <c r="I28" s="1" t="str">
        <f>IFERROR(__xludf.DUMMYFUNCTION("""COMPUTED_VALUE"""),"Sudhanshu")</f>
        <v>Sudhanshu</v>
      </c>
      <c r="J28" s="1" t="str">
        <f>IFERROR(__xludf.DUMMYFUNCTION("""COMPUTED_VALUE"""),"This work demonstrates the existence of _adversarial policies_ of behaviour in high-dimensional, two-player zero-sum games. Specifically, they show that adversarially-trained agents (""Adv""), who can only affect a victim's observations of their (Adv's) s"&amp;"tates, can act in ways that confuse the victim into behaving suboptimally.
An adversarial policy is trained by reinforcement learning in a single-player paradigm where the victim is a black-box fixed policy that was previously trained via self-play to be"&amp;" robust to adversarial attacks. As a result, the adversarial policies learn to push the observations of the victim outside the training distribution, causing the victim to behave poorly. The adversarial policies do not actually behave intelligently, such "&amp;"as blocking or tackling the victim, but instead do unusual things like spasming in a manner that appears random to humans, curling into a ball or kneeling.
Further experiments showed that if the victim's observations of the adversary were removed, then t"&amp;"he adversary was unable to learn such an adversarial policy. In addition, the victim's network activations were very different when playing against an adversarial policy relative to playing against a random or lifeless opponent. By comparing two similar g"&amp;"ames where the key difference was the number of adversary dimensions being observed, they showed that such policies were easier to learn in higher-dimensional games.")</f>
        <v>This work demonstrates the existence of _adversarial policies_ of behaviour in high-dimensional, two-player zero-sum games. Specifically, they show that adversarially-trained agents ("Adv"), who can only affect a victim's observations of their (Adv's) states, can act in ways that confuse the victim into behaving suboptimally.
An adversarial policy is trained by reinforcement learning in a single-player paradigm where the victim is a black-box fixed policy that was previously trained via self-play to be robust to adversarial attacks. As a result, the adversarial policies learn to push the observations of the victim outside the training distribution, causing the victim to behave poorly. The adversarial policies do not actually behave intelligently, such as blocking or tackling the victim, but instead do unusual things like spasming in a manner that appears random to humans, curling into a ball or kneeling.
Further experiments showed that if the victim's observations of the adversary were removed, then the adversary was unable to learn such an adversarial policy. In addition, the victim's network activations were very different when playing against an adversarial policy relative to playing against a random or lifeless opponent. By comparing two similar games where the key difference was the number of adversary dimensions being observed, they showed that such policies were easier to learn in higher-dimensional games.</v>
      </c>
      <c r="K28" t="str">
        <f>IFERROR(__xludf.DUMMYFUNCTION("""COMPUTED_VALUE"""),"This work points to an important question about optimisation in high dimension continuous spaces: without guarantees on achieving solution optimality, how do we design performant systems that are robust to (irrelevant) off-distribution observations? By ge"&amp;"nerating demonstrations that current methods are insufficient, it can inspire future work across areas like active learning, continual learning, fall-back policies, and exploration.
I had a tiny nit-pick: while the discussion is excellent, the paper does"&amp;"n't cover whether this phenomenon has been observed before with discrete observation/action spaces, and why/why not, which I feel would be an important aspect to draw out. In a finite environment, the victim policy might have actually covered every possib"&amp;"le situation, and thus be robust to such attacks; for continuous spaces, it is not clear to me whether we can _always_ find an adversarial attack.
In separate correspondence, author Adam Gleave notes that he considers these to be relatively low-dimension"&amp;"al -- even MNIST has way more dimensions -- so when comparing to regular adversarial examples work, it seems like multi-agent RL is harder to make robust than supervised learning.")</f>
        <v>This work points to an important question about optimisation in high dimension continuous spaces: without guarantees on achieving solution optimality, how do we design performant systems that are robust to (irrelevant) off-distribution observations? By generating demonstrations that current methods are insufficient, it can inspire future work across areas like active learning, continual learning, fall-back policies, and exploration.
I had a tiny nit-pick: while the discussion is excellent, the paper doesn't cover whether this phenomenon has been observed before with discrete observation/action spaces, and why/why not, which I feel would be an important aspect to draw out. In a finite environment, the victim policy might have actually covered every possible situation, and thus be robust to such attacks; for continuous spaces, it is not clear to me whether we can _always_ find an adversarial attack.
In separate correspondence, author Adam Gleave notes that he considers these to be relatively low-dimensional -- even MNIST has way more dimensions -- so when comparing to regular adversarial examples work, it seems like multi-agent RL is harder to make robust than supervised learning.</v>
      </c>
      <c r="M28" s="3" t="str">
        <f>IFERROR(__xludf.DUMMYFUNCTION("""COMPUTED_VALUE"""),"Adversarial Policies website")</f>
        <v>Adversarial Policies website</v>
      </c>
    </row>
    <row r="29">
      <c r="A29" s="1" t="str">
        <f>IFERROR(__xludf.DUMMYFUNCTION("""COMPUTED_VALUE"""),"Adversarial examples")</f>
        <v>Adversarial examples</v>
      </c>
      <c r="B29" s="1" t="str">
        <f>IFERROR(__xludf.DUMMYFUNCTION("""COMPUTED_VALUE"""),"")</f>
        <v/>
      </c>
      <c r="C29" s="2" t="str">
        <f>IFERROR(__xludf.DUMMYFUNCTION("""COMPUTED_VALUE"""),"E-LPIPS: Robust Perceptual Image Similarity via Random Transformation Ensembles")</f>
        <v>E-LPIPS: Robust Perceptual Image Similarity via Random Transformation Ensembles</v>
      </c>
      <c r="D29" s="1" t="str">
        <f>IFERROR(__xludf.DUMMYFUNCTION("""COMPUTED_VALUE"""),"Markus Kettunen et al")</f>
        <v>Markus Kettunen et al</v>
      </c>
      <c r="E29" s="1" t="str">
        <f>IFERROR(__xludf.DUMMYFUNCTION("""COMPUTED_VALUE"""),"arXiv")</f>
        <v>arXiv</v>
      </c>
      <c r="F29" s="1">
        <f>IFERROR(__xludf.DUMMYFUNCTION("""COMPUTED_VALUE"""),2019.0)</f>
        <v>2019</v>
      </c>
      <c r="G29" s="1"/>
      <c r="H29" s="2" t="str">
        <f>IFERROR(__xludf.DUMMYFUNCTION("""COMPUTED_VALUE"""),"AN #66")</f>
        <v>AN #66</v>
      </c>
      <c r="I29" s="1" t="str">
        <f>IFERROR(__xludf.DUMMYFUNCTION("""COMPUTED_VALUE"""),"Dan H")</f>
        <v>Dan H</v>
      </c>
      <c r="J29" s="1" t="str">
        <f>IFERROR(__xludf.DUMMYFUNCTION("""COMPUTED_VALUE"""),"Convolutional neural networks are one of the best methods for assessing the perceptual similarity between images. This paper provides evidence that perceptual similarity metrics can be made adversarially robust. Out-of-the-box, network-based perceptual si"&amp;"milarity metrics exhibit some adversarial robustness. While classifiers transform a long embedding vector to class scores, perceptual similarity measures compute distances between long and wide embedding tensors, possibly from multiple layers. Thus the at"&amp;"tacker must alter far more neural network responses, which makes attacks on perceptual similarity measures harder for adversaries. This paper makes attacks even harder for the adversary by using a barrage of input image transformations and by using techni"&amp;"ques such as dropout while computing the embeddings. This forces the adversarial perturbation to be substantially larger.")</f>
        <v>Convolutional neural networks are one of the best methods for assessing the perceptual similarity between images. This paper provides evidence that perceptual similarity metrics can be made adversarially robust. Out-of-the-box, network-based perceptual similarity metrics exhibit some adversarial robustness. While classifiers transform a long embedding vector to class scores, perceptual similarity measures compute distances between long and wide embedding tensors, possibly from multiple layers. Thus the attacker must alter far more neural network responses, which makes attacks on perceptual similarity measures harder for adversaries. This paper makes attacks even harder for the adversary by using a barrage of input image transformations and by using techniques such as dropout while computing the embeddings. This forces the adversarial perturbation to be substantially larger.</v>
      </c>
    </row>
    <row r="30">
      <c r="A30" s="1" t="str">
        <f>IFERROR(__xludf.DUMMYFUNCTION("""COMPUTED_VALUE"""),"Adversarial examples")</f>
        <v>Adversarial examples</v>
      </c>
      <c r="B30" s="1" t="str">
        <f>IFERROR(__xludf.DUMMYFUNCTION("""COMPUTED_VALUE"""),"")</f>
        <v/>
      </c>
      <c r="C30" s="2" t="str">
        <f>IFERROR(__xludf.DUMMYFUNCTION("""COMPUTED_VALUE"""),"The LogBarrier adversarial attack: making effective use of decision boundary information")</f>
        <v>The LogBarrier adversarial attack: making effective use of decision boundary information</v>
      </c>
      <c r="D30" s="1" t="str">
        <f>IFERROR(__xludf.DUMMYFUNCTION("""COMPUTED_VALUE"""),"Chris Finlay, Aram-Alexandre Pooladian, Adam M. Oberman")</f>
        <v>Chris Finlay, Aram-Alexandre Pooladian, Adam M. Oberman</v>
      </c>
      <c r="E30" s="1" t="str">
        <f>IFERROR(__xludf.DUMMYFUNCTION("""COMPUTED_VALUE"""),"arXiv")</f>
        <v>arXiv</v>
      </c>
      <c r="F30" s="1">
        <f>IFERROR(__xludf.DUMMYFUNCTION("""COMPUTED_VALUE"""),2019.0)</f>
        <v>2019</v>
      </c>
      <c r="G30" s="1"/>
      <c r="H30" s="2" t="str">
        <f>IFERROR(__xludf.DUMMYFUNCTION("""COMPUTED_VALUE"""),"AN #53")</f>
        <v>AN #53</v>
      </c>
      <c r="I30" s="1" t="str">
        <f>IFERROR(__xludf.DUMMYFUNCTION("""COMPUTED_VALUE"""),"Dan H")</f>
        <v>Dan H</v>
      </c>
      <c r="J30" s="1" t="str">
        <f>IFERROR(__xludf.DUMMYFUNCTION("""COMPUTED_VALUE"""),"Rather than maximizing the loss of a model given a perturbation budget, this paper minimizes the perturbation size subject to the constraint that the model misclassify the example. This misclassification constraint is enforced by adding a logarithmic barr"&amp;"ier to the objective, which they prevent from causing a loss explosion through through a few clever tricks. Their attack appears to be faster than the Carlini-Wagner attack.")</f>
        <v>Rather than maximizing the loss of a model given a perturbation budget, this paper minimizes the perturbation size subject to the constraint that the model misclassify the example. This misclassification constraint is enforced by adding a logarithmic barrier to the objective, which they prevent from causing a loss explosion through through a few clever tricks. Their attack appears to be faster than the Carlini-Wagner attack.</v>
      </c>
      <c r="M30" t="str">
        <f>IFERROR(__xludf.DUMMYFUNCTION("""COMPUTED_VALUE"""),"[The code is here.](https://github.com/cfinlay/logbarrier)")</f>
        <v>[The code is here.](https://github.com/cfinlay/logbarrier)</v>
      </c>
    </row>
    <row r="31">
      <c r="A31" s="1" t="str">
        <f>IFERROR(__xludf.DUMMYFUNCTION("""COMPUTED_VALUE"""),"Adversarial examples")</f>
        <v>Adversarial examples</v>
      </c>
      <c r="B31" s="1" t="str">
        <f>IFERROR(__xludf.DUMMYFUNCTION("""COMPUTED_VALUE"""),"")</f>
        <v/>
      </c>
      <c r="C31" s="2" t="str">
        <f>IFERROR(__xludf.DUMMYFUNCTION("""COMPUTED_VALUE"""),"Quantifying Perceptual Distortion of Adversarial Examples")</f>
        <v>Quantifying Perceptual Distortion of Adversarial Examples</v>
      </c>
      <c r="D31" s="1" t="str">
        <f>IFERROR(__xludf.DUMMYFUNCTION("""COMPUTED_VALUE"""),"Matt Jordan, Naren Manoj, Surbhi Goel, Alexandros G. Dimakis")</f>
        <v>Matt Jordan, Naren Manoj, Surbhi Goel, Alexandros G. Dimakis</v>
      </c>
      <c r="E31" s="1" t="str">
        <f>IFERROR(__xludf.DUMMYFUNCTION("""COMPUTED_VALUE"""),"arXiv")</f>
        <v>arXiv</v>
      </c>
      <c r="F31" s="1">
        <f>IFERROR(__xludf.DUMMYFUNCTION("""COMPUTED_VALUE"""),2019.0)</f>
        <v>2019</v>
      </c>
      <c r="G31" s="1"/>
      <c r="H31" s="2" t="str">
        <f>IFERROR(__xludf.DUMMYFUNCTION("""COMPUTED_VALUE"""),"AN #48")</f>
        <v>AN #48</v>
      </c>
      <c r="I31" s="1" t="str">
        <f>IFERROR(__xludf.DUMMYFUNCTION("""COMPUTED_VALUE"""),"Dan H")</f>
        <v>Dan H</v>
      </c>
      <c r="J31" s="1" t="str">
        <f>IFERROR(__xludf.DUMMYFUNCTION("""COMPUTED_VALUE"""),"This paper takes a step toward more general adversarial threat models by combining adversarial additive perturbations small in an l_p sense with [spatially transformed adversarial examples](https://arxiv.org/abs/1801.02612), among other other attacks. In "&amp;"this more general setting, they measure the size of perturbations by computing the [SSIM](https://ece.uwaterloo.ca/~z70wang/research/ssim/#MAD) between clean and perturbed samples, which has limitations but is on the whole better than the l_2 distance. Th"&amp;"is work shows, along with other concurrent works, that perturbation robustness under some threat models does not yield robustness under other threat models. Therefore the view that l_p perturbation robustness must be achieved before considering other thre"&amp;"at models is made more questionable. The paper also contributes a large code library for testing adversarial perturbation robustness.")</f>
        <v>This paper takes a step toward more general adversarial threat models by combining adversarial additive perturbations small in an l_p sense with [spatially transformed adversarial examples](https://arxiv.org/abs/1801.02612), among other other attacks. In this more general setting, they measure the size of perturbations by computing the [SSIM](https://ece.uwaterloo.ca/~z70wang/research/ssim/#MAD) between clean and perturbed samples, which has limitations but is on the whole better than the l_2 distance. This work shows, along with other concurrent works, that perturbation robustness under some threat models does not yield robustness under other threat models. Therefore the view that l_p perturbation robustness must be achieved before considering other threat models is made more questionable. The paper also contributes a large code library for testing adversarial perturbation robustness.</v>
      </c>
    </row>
    <row r="32">
      <c r="A32" s="1" t="str">
        <f>IFERROR(__xludf.DUMMYFUNCTION("""COMPUTED_VALUE"""),"Adversarial examples")</f>
        <v>Adversarial examples</v>
      </c>
      <c r="B32" s="1" t="str">
        <f>IFERROR(__xludf.DUMMYFUNCTION("""COMPUTED_VALUE"""),"")</f>
        <v/>
      </c>
      <c r="C32" s="2" t="str">
        <f>IFERROR(__xludf.DUMMYFUNCTION("""COMPUTED_VALUE"""),"On the Sensitivity of Adversarial Robustness to Input Data Distributions")</f>
        <v>On the Sensitivity of Adversarial Robustness to Input Data Distributions</v>
      </c>
      <c r="D32" s="1" t="str">
        <f>IFERROR(__xludf.DUMMYFUNCTION("""COMPUTED_VALUE"""),"Gavin Weiguang Ding, Kry Yik Chau Lui, Xiaomeng Jin, Luyu Wang, Ruitong Huang")</f>
        <v>Gavin Weiguang Ding, Kry Yik Chau Lui, Xiaomeng Jin, Luyu Wang, Ruitong Huang</v>
      </c>
      <c r="E32" s="1" t="str">
        <f>IFERROR(__xludf.DUMMYFUNCTION("""COMPUTED_VALUE"""),"ICLR 2019")</f>
        <v>ICLR 2019</v>
      </c>
      <c r="F32" s="1">
        <f>IFERROR(__xludf.DUMMYFUNCTION("""COMPUTED_VALUE"""),2019.0)</f>
        <v>2019</v>
      </c>
      <c r="G32" s="1"/>
      <c r="H32" s="2" t="str">
        <f>IFERROR(__xludf.DUMMYFUNCTION("""COMPUTED_VALUE"""),"AN #48")</f>
        <v>AN #48</v>
      </c>
      <c r="I32" s="1"/>
      <c r="J32" s="1"/>
    </row>
    <row r="33">
      <c r="A33" s="1" t="str">
        <f>IFERROR(__xludf.DUMMYFUNCTION("""COMPUTED_VALUE"""),"Adversarial examples")</f>
        <v>Adversarial examples</v>
      </c>
      <c r="B33" s="1" t="str">
        <f>IFERROR(__xludf.DUMMYFUNCTION("""COMPUTED_VALUE"""),"")</f>
        <v/>
      </c>
      <c r="C33" s="2" t="str">
        <f>IFERROR(__xludf.DUMMYFUNCTION("""COMPUTED_VALUE"""),"Theoretically Principled Trade-off between Robustness and Accuracy")</f>
        <v>Theoretically Principled Trade-off between Robustness and Accuracy</v>
      </c>
      <c r="D33" s="1" t="str">
        <f>IFERROR(__xludf.DUMMYFUNCTION("""COMPUTED_VALUE"""),"Hongyang Zhang, Yaodong Yu, Jiantao Jiao, Eric P. Xing, Laurent El Ghaoui, Michael I. Jordan")</f>
        <v>Hongyang Zhang, Yaodong Yu, Jiantao Jiao, Eric P. Xing, Laurent El Ghaoui, Michael I. Jordan</v>
      </c>
      <c r="E33" s="1" t="str">
        <f>IFERROR(__xludf.DUMMYFUNCTION("""COMPUTED_VALUE"""),"arXiv")</f>
        <v>arXiv</v>
      </c>
      <c r="F33" s="1">
        <f>IFERROR(__xludf.DUMMYFUNCTION("""COMPUTED_VALUE"""),2019.0)</f>
        <v>2019</v>
      </c>
      <c r="G33" s="1"/>
      <c r="H33" s="2" t="str">
        <f>IFERROR(__xludf.DUMMYFUNCTION("""COMPUTED_VALUE"""),"AN #44")</f>
        <v>AN #44</v>
      </c>
      <c r="I33" s="1" t="str">
        <f>IFERROR(__xludf.DUMMYFUNCTION("""COMPUTED_VALUE"""),"Dan H")</f>
        <v>Dan H</v>
      </c>
      <c r="J33" s="1" t="str">
        <f>IFERROR(__xludf.DUMMYFUNCTION("""COMPUTED_VALUE"""),"This paper won the NeurIPS 2018 Adversarial Vision Challenge. For robustness on CIFAR-10 against l_infinity perturbations (epsilon = 8/255), it improves over the Madry et al. adversarial training baseline from 45.8% to 56.61%, making it [almost](https://a"&amp;"rxiv.org/pdf/1901.09960.pdf) state-of-the-art. However, it does decrease clean set accuracy by a few percent, despite using a deeper network than Madry et al. Their technique has many similarities to Adversarial Logit Pairing, which is not cited, because "&amp;"they encourage the network to embed a clean example and an adversarial perturbation of a clean example similarly. I now describe Adversarial Logit Pairing. During training, ALP teaches the network to classify clean and adversarially perturbed points; adde"&amp;"d to that loss is an l_2 loss between the logit embeddings of clean examples and the logits of the corresponding adversarial examples. In contrast, in place of the l_2 loss from ALP, this paper uses the KL divergence from the softmax of the clean example "&amp;"to the softmax of an adversarial example. Yet the softmax distributions are given a high temperature, so this loss is not much different from an l_2 loss between logits. The other main change in this paper is that adversarial examples are generated by try"&amp;"ing to maximize the aforementioned KL divergence between clean and adversarial pairs, not by trying to maximize the classification log loss as in ALP. This paper then shows that some further engineering to adversarial logit pairing can improve adversarial"&amp;" robustness on CIFAR-10.")</f>
        <v>This paper won the NeurIPS 2018 Adversarial Vision Challenge. For robustness on CIFAR-10 against l_infinity perturbations (epsilon = 8/255), it improves over the Madry et al. adversarial training baseline from 45.8% to 56.61%, making it [almost](https://arxiv.org/pdf/1901.09960.pdf) state-of-the-art. However, it does decrease clean set accuracy by a few percent, despite using a deeper network than Madry et al. Their technique has many similarities to Adversarial Logit Pairing, which is not cited, because they encourage the network to embed a clean example and an adversarial perturbation of a clean example similarly. I now describe Adversarial Logit Pairing. During training, ALP teaches the network to classify clean and adversarially perturbed points; added to that loss is an l_2 loss between the logit embeddings of clean examples and the logits of the corresponding adversarial examples. In contrast, in place of the l_2 loss from ALP, this paper uses the KL divergence from the softmax of the clean example to the softmax of an adversarial example. Yet the softmax distributions are given a high temperature, so this loss is not much different from an l_2 loss between logits. The other main change in this paper is that adversarial examples are generated by trying to maximize the aforementioned KL divergence between clean and adversarial pairs, not by trying to maximize the classification log loss as in ALP. This paper then shows that some further engineering to adversarial logit pairing can improve adversarial robustness on CIFAR-10.</v>
      </c>
    </row>
    <row r="34">
      <c r="A34" s="1" t="str">
        <f>IFERROR(__xludf.DUMMYFUNCTION("""COMPUTED_VALUE"""),"Adversarial examples")</f>
        <v>Adversarial examples</v>
      </c>
      <c r="B34" s="1" t="str">
        <f>IFERROR(__xludf.DUMMYFUNCTION("""COMPUTED_VALUE"""),"")</f>
        <v/>
      </c>
      <c r="C34" s="2" t="str">
        <f>IFERROR(__xludf.DUMMYFUNCTION("""COMPUTED_VALUE"""),"Adversarial Vulnerability of Neural Networks Increases With Input Dimension")</f>
        <v>Adversarial Vulnerability of Neural Networks Increases With Input Dimension</v>
      </c>
      <c r="D34" s="1" t="str">
        <f>IFERROR(__xludf.DUMMYFUNCTION("""COMPUTED_VALUE"""),"Carl-Johann Simon-Gabriel, Yann Ollivier, Léon Bottou, Bernhard Schölkopf, David Lopez-Paz")</f>
        <v>Carl-Johann Simon-Gabriel, Yann Ollivier, Léon Bottou, Bernhard Schölkopf, David Lopez-Paz</v>
      </c>
      <c r="E34" s="1" t="str">
        <f>IFERROR(__xludf.DUMMYFUNCTION("""COMPUTED_VALUE"""),"arXiv")</f>
        <v>arXiv</v>
      </c>
      <c r="F34" s="1">
        <f>IFERROR(__xludf.DUMMYFUNCTION("""COMPUTED_VALUE"""),2018.0)</f>
        <v>2018</v>
      </c>
      <c r="G34" s="1"/>
      <c r="H34" s="2" t="str">
        <f>IFERROR(__xludf.DUMMYFUNCTION("""COMPUTED_VALUE"""),"AN #36")</f>
        <v>AN #36</v>
      </c>
      <c r="I34" s="1" t="str">
        <f>IFERROR(__xludf.DUMMYFUNCTION("""COMPUTED_VALUE"""),"Rohin")</f>
        <v>Rohin</v>
      </c>
      <c r="J34" s="1" t="str">
        <f>IFERROR(__xludf.DUMMYFUNCTION("""COMPUTED_VALUE"""),"The key idea of this paper is that imperceptible adversarial vulnerability happens when small changes in the input lead to large changes in the output, suggesting that the gradient is large. They first recommend choosing ϵ_p to be proportional to d^(1/p)."&amp;" Intuitively, this is because larger values of p behave more like maxing instead of summing, and so using the same value of ϵ across values of p would lead to more points being considered for larger p. They show a link between adversarial robustness and r"&amp;"egularization, which makes sense since both of these techniques aim for better generalization.
Their main point is that the norm of the gradient increases with the input dimension d. In particular, a typical initialization scheme will set the variance of"&amp;" the weights to be inversely proportional to d, which means the absolute value of each weight is inversely proportional to √d. For a single-layer neural net (that is, a perceptron), the gradient is exactly the weights. For L_inf adversarial robustness, th"&amp;"e relevant norm for the gradient is the L_1 norm. This gives the sum of the d weights, which will be proportional to √d. For L_p adversarial robustness, the corresponding gradient is L_q with q larger than 1, which decreases the size of the gradient. Howe"&amp;"ver, this is exactly offset by the increase in the size of ϵ_p that they proposed. Thus, in this simple case the adversarial vulnerability increases with input dimension. They then prove theorems that show that this generalizes to other neural nets, inclu"&amp;"ding CNNS (albeit still only at initialization, not after training). They also perform experiments showing that their result also holds after training.")</f>
        <v>The key idea of this paper is that imperceptible adversarial vulnerability happens when small changes in the input lead to large changes in the output, suggesting that the gradient is large. They first recommend choosing ϵ_p to be proportional to d^(1/p). Intuitively, this is because larger values of p behave more like maxing instead of summing, and so using the same value of ϵ across values of p would lead to more points being considered for larger p. They show a link between adversarial robustness and regularization, which makes sense since both of these techniques aim for better generalization.
Their main point is that the norm of the gradient increases with the input dimension d. In particular, a typical initialization scheme will set the variance of the weights to be inversely proportional to d, which means the absolute value of each weight is inversely proportional to √d. For a single-layer neural net (that is, a perceptron), the gradient is exactly the weights. For L_inf adversarial robustness, the relevant norm for the gradient is the L_1 norm. This gives the sum of the d weights, which will be proportional to √d. For L_p adversarial robustness, the corresponding gradient is L_q with q larger than 1, which decreases the size of the gradient. However, this is exactly offset by the increase in the size of ϵ_p that they proposed. Thus, in this simple case the adversarial vulnerability increases with input dimension. They then prove theorems that show that this generalizes to other neural nets, including CNNS (albeit still only at initialization, not after training). They also perform experiments showing that their result also holds after training.</v>
      </c>
      <c r="K34" t="str">
        <f>IFERROR(__xludf.DUMMYFUNCTION("""COMPUTED_VALUE"""),"I suspect that there is some sort of connection between the explanation given in this paper and the explanation that there are many different perturbation directions in high-dimensional space which means that there are lots of potential adversarial exampl"&amp;"es, which increases the chance that you can find one. Their theoretical result comes primarily from the fact that weights are initialized with variance inversely proportional to d. We could eliminate this by having the variance be inversely proportional t"&amp;"o d^2, in which case their result would say that adversarial vulnerability is constant with input dimension. However, in this case the variance of the activations would be inversely proportional to d, making it hard to learn. It seems like adversarial vul"&amp;"nerability should be the product of ""number of directions"", and ""amount you can search in a direction"", where the latter is related to the variance of the activations, making the connection to this paper.")</f>
        <v>I suspect that there is some sort of connection between the explanation given in this paper and the explanation that there are many different perturbation directions in high-dimensional space which means that there are lots of potential adversarial examples, which increases the chance that you can find one. Their theoretical result comes primarily from the fact that weights are initialized with variance inversely proportional to d. We could eliminate this by having the variance be inversely proportional to d^2, in which case their result would say that adversarial vulnerability is constant with input dimension. However, in this case the variance of the activations would be inversely proportional to d, making it hard to learn. It seems like adversarial vulnerability should be the product of "number of directions", and "amount you can search in a direction", where the latter is related to the variance of the activations, making the connection to this paper.</v>
      </c>
    </row>
    <row r="35">
      <c r="A35" s="1" t="str">
        <f>IFERROR(__xludf.DUMMYFUNCTION("""COMPUTED_VALUE"""),"Adversarial examples")</f>
        <v>Adversarial examples</v>
      </c>
      <c r="B35" s="1" t="str">
        <f>IFERROR(__xludf.DUMMYFUNCTION("""COMPUTED_VALUE"""),"")</f>
        <v/>
      </c>
      <c r="C35" s="2" t="str">
        <f>IFERROR(__xludf.DUMMYFUNCTION("""COMPUTED_VALUE"""),"Robustness via curvature regularization, and vice versa")</f>
        <v>Robustness via curvature regularization, and vice versa</v>
      </c>
      <c r="D35" s="1" t="str">
        <f>IFERROR(__xludf.DUMMYFUNCTION("""COMPUTED_VALUE"""),"Seyed-Mohsen Moosavi-Dezfooli, Alhussein Fawzi, Jonathan Uesato, Pascal Frossard")</f>
        <v>Seyed-Mohsen Moosavi-Dezfooli, Alhussein Fawzi, Jonathan Uesato, Pascal Frossard</v>
      </c>
      <c r="E35" s="1" t="str">
        <f>IFERROR(__xludf.DUMMYFUNCTION("""COMPUTED_VALUE"""),"arXiv")</f>
        <v>arXiv</v>
      </c>
      <c r="F35" s="1">
        <f>IFERROR(__xludf.DUMMYFUNCTION("""COMPUTED_VALUE"""),2018.0)</f>
        <v>2018</v>
      </c>
      <c r="G35" s="1"/>
      <c r="H35" s="2" t="str">
        <f>IFERROR(__xludf.DUMMYFUNCTION("""COMPUTED_VALUE"""),"AN #35")</f>
        <v>AN #35</v>
      </c>
      <c r="I35" s="1" t="str">
        <f>IFERROR(__xludf.DUMMYFUNCTION("""COMPUTED_VALUE"""),"Dan H")</f>
        <v>Dan H</v>
      </c>
      <c r="J35" s="1" t="str">
        <f>IFERROR(__xludf.DUMMYFUNCTION("""COMPUTED_VALUE"""),"This paper proposes a distinct way to increase adversarial perturbation robustness. They take an adversarial example generated with the FGSM, compute the gradient of the loss for the clean example and the gradient of the loss for the adversarial example, "&amp;"and they penalize this difference. Decreasing this penalty relates to decreasing the loss surface curvature. The technique works slightly worse than adversarial training.")</f>
        <v>This paper proposes a distinct way to increase adversarial perturbation robustness. They take an adversarial example generated with the FGSM, compute the gradient of the loss for the clean example and the gradient of the loss for the adversarial example, and they penalize this difference. Decreasing this penalty relates to decreasing the loss surface curvature. The technique works slightly worse than adversarial training.</v>
      </c>
    </row>
    <row r="36">
      <c r="A36" s="1" t="str">
        <f>IFERROR(__xludf.DUMMYFUNCTION("""COMPUTED_VALUE"""),"Adversarial examples")</f>
        <v>Adversarial examples</v>
      </c>
      <c r="B36" s="1" t="str">
        <f>IFERROR(__xludf.DUMMYFUNCTION("""COMPUTED_VALUE"""),"")</f>
        <v/>
      </c>
      <c r="C36" s="2" t="str">
        <f>IFERROR(__xludf.DUMMYFUNCTION("""COMPUTED_VALUE"""),"Is Robustness [at] the Cost of Accuracy?")</f>
        <v>Is Robustness [at] the Cost of Accuracy?</v>
      </c>
      <c r="D36" s="1" t="str">
        <f>IFERROR(__xludf.DUMMYFUNCTION("""COMPUTED_VALUE"""),"Dong Su, Huan Zhang, Hongge Chen, Jinfeng Yi, Pin-Yu Chen, Yupeng Gao")</f>
        <v>Dong Su, Huan Zhang, Hongge Chen, Jinfeng Yi, Pin-Yu Chen, Yupeng Gao</v>
      </c>
      <c r="E36" s="1" t="str">
        <f>IFERROR(__xludf.DUMMYFUNCTION("""COMPUTED_VALUE"""),"ECCV")</f>
        <v>ECCV</v>
      </c>
      <c r="F36" s="1">
        <f>IFERROR(__xludf.DUMMYFUNCTION("""COMPUTED_VALUE"""),2018.0)</f>
        <v>2018</v>
      </c>
      <c r="G36" s="1"/>
      <c r="H36" s="2" t="str">
        <f>IFERROR(__xludf.DUMMYFUNCTION("""COMPUTED_VALUE"""),"AN #32")</f>
        <v>AN #32</v>
      </c>
      <c r="I36" s="1" t="str">
        <f>IFERROR(__xludf.DUMMYFUNCTION("""COMPUTED_VALUE"""),"Dan H")</f>
        <v>Dan H</v>
      </c>
      <c r="J36" s="1" t="str">
        <f>IFERROR(__xludf.DUMMYFUNCTION("""COMPUTED_VALUE"""),"This work shows that older architectures such as VGG exhibit more adversarial robustness than newer models such as ResNets. Here they take adversarial robustness to be the average adversarial perturbation size required to fool a network. They use this to "&amp;"show that architecture choice matters for adversarial robustness and that accuracy on the clean dataset is not necessarily predictive of adversarial robustness. A separate observation they make is that adversarial examples created with VGG transfers far b"&amp;"etter than those created with other architectures. All of these findings are for models without adversarial training.")</f>
        <v>This work shows that older architectures such as VGG exhibit more adversarial robustness than newer models such as ResNets. Here they take adversarial robustness to be the average adversarial perturbation size required to fool a network. They use this to show that architecture choice matters for adversarial robustness and that accuracy on the clean dataset is not necessarily predictive of adversarial robustness. A separate observation they make is that adversarial examples created with VGG transfers far better than those created with other architectures. All of these findings are for models without adversarial training.</v>
      </c>
    </row>
    <row r="37">
      <c r="A37" s="1" t="str">
        <f>IFERROR(__xludf.DUMMYFUNCTION("""COMPUTED_VALUE"""),"Adversarial examples")</f>
        <v>Adversarial examples</v>
      </c>
      <c r="B37" s="1" t="str">
        <f>IFERROR(__xludf.DUMMYFUNCTION("""COMPUTED_VALUE"""),"")</f>
        <v/>
      </c>
      <c r="C37" s="2" t="str">
        <f>IFERROR(__xludf.DUMMYFUNCTION("""COMPUTED_VALUE"""),"Adversarial Examples Are a Natural Consequence of Test Error in Noise")</f>
        <v>Adversarial Examples Are a Natural Consequence of Test Error in Noise</v>
      </c>
      <c r="D37" s="1" t="str">
        <f>IFERROR(__xludf.DUMMYFUNCTION("""COMPUTED_VALUE"""),"Nic Ford*, Justin Gilmer*, Nicolas Carlini, Dogus Cubuk")</f>
        <v>Nic Ford*, Justin Gilmer*, Nicolas Carlini, Dogus Cubuk</v>
      </c>
      <c r="E37" s="1" t="str">
        <f>IFERROR(__xludf.DUMMYFUNCTION("""COMPUTED_VALUE"""),"arXiv")</f>
        <v>arXiv</v>
      </c>
      <c r="F37" s="1">
        <f>IFERROR(__xludf.DUMMYFUNCTION("""COMPUTED_VALUE"""),2018.0)</f>
        <v>2018</v>
      </c>
      <c r="G37" s="1"/>
      <c r="H37" s="2" t="str">
        <f>IFERROR(__xludf.DUMMYFUNCTION("""COMPUTED_VALUE"""),"AN #32")</f>
        <v>AN #32</v>
      </c>
      <c r="I37" s="1" t="str">
        <f>IFERROR(__xludf.DUMMYFUNCTION("""COMPUTED_VALUE"""),"Dan H")</f>
        <v>Dan H</v>
      </c>
      <c r="J37" s="1" t="str">
        <f>IFERROR(__xludf.DUMMYFUNCTION("""COMPUTED_VALUE"""),"This paper argues that there is a link between model accuracy on noisy images and model accuracy on adversarial images. They establish this empirically by showing that augmenting the dataset with random additive noise can improve adversarial robustness re"&amp;"liably. To establish this theoretically, they use the Gaussian Isoperimetric Inequality, which directly gives a relation between error rates on noisy images and the median adversarial perturbation size. Given that measuring test error on noisy images is e"&amp;"asy, given that claims about adversarial robustness are almost always wrong, and given the relation between adversarial noise and random noise, they suggest that future defense research include experiments demonstrating enhanced robustness on nonadversari"&amp;"al, noisy images.")</f>
        <v>This paper argues that there is a link between model accuracy on noisy images and model accuracy on adversarial images. They establish this empirically by showing that augmenting the dataset with random additive noise can improve adversarial robustness reliably. To establish this theoretically, they use the Gaussian Isoperimetric Inequality, which directly gives a relation between error rates on noisy images and the median adversarial perturbation size. Given that measuring test error on noisy images is easy, given that claims about adversarial robustness are almost always wrong, and given the relation between adversarial noise and random noise, they suggest that future defense research include experiments demonstrating enhanced robustness on nonadversarial, noisy images.</v>
      </c>
    </row>
    <row r="38">
      <c r="A38" s="1" t="str">
        <f>IFERROR(__xludf.DUMMYFUNCTION("""COMPUTED_VALUE"""),"Adversarial examples")</f>
        <v>Adversarial examples</v>
      </c>
      <c r="B38" s="1" t="str">
        <f>IFERROR(__xludf.DUMMYFUNCTION("""COMPUTED_VALUE"""),"")</f>
        <v/>
      </c>
      <c r="C38" s="2" t="str">
        <f>IFERROR(__xludf.DUMMYFUNCTION("""COMPUTED_VALUE"""),"Robustness May Be at Odds with Accuracy")</f>
        <v>Robustness May Be at Odds with Accuracy</v>
      </c>
      <c r="D38" s="1" t="str">
        <f>IFERROR(__xludf.DUMMYFUNCTION("""COMPUTED_VALUE"""),"Dimitris Tsipras, Shibani Santurkar, Logan Engstrom, Alexander Turner, Aleksander Madry")</f>
        <v>Dimitris Tsipras, Shibani Santurkar, Logan Engstrom, Alexander Turner, Aleksander Madry</v>
      </c>
      <c r="E38" s="1" t="str">
        <f>IFERROR(__xludf.DUMMYFUNCTION("""COMPUTED_VALUE"""),"OpenReview")</f>
        <v>OpenReview</v>
      </c>
      <c r="F38" s="1">
        <f>IFERROR(__xludf.DUMMYFUNCTION("""COMPUTED_VALUE"""),2018.0)</f>
        <v>2018</v>
      </c>
      <c r="G38" s="1"/>
      <c r="H38" s="2" t="str">
        <f>IFERROR(__xludf.DUMMYFUNCTION("""COMPUTED_VALUE"""),"AN #32")</f>
        <v>AN #32</v>
      </c>
      <c r="I38" s="1" t="str">
        <f>IFERROR(__xludf.DUMMYFUNCTION("""COMPUTED_VALUE"""),"Dan H")</f>
        <v>Dan H</v>
      </c>
      <c r="J38" s="1" t="str">
        <f>IFERROR(__xludf.DUMMYFUNCTION("""COMPUTED_VALUE"""),"Since adversarial training can markedly reduce accuracy on clean images, one may ask whether there exists an inherent trade-off between adversarial robustness and accuracy on clean images. They use a simple model amenable to theoretical analysis, and for "&amp;"this model they demonstrate a trade-off. In the second half of the paper, they show adversarial training can improve feature visualization, which has been shown in several concurrent works.")</f>
        <v>Since adversarial training can markedly reduce accuracy on clean images, one may ask whether there exists an inherent trade-off between adversarial robustness and accuracy on clean images. They use a simple model amenable to theoretical analysis, and for this model they demonstrate a trade-off. In the second half of the paper, they show adversarial training can improve feature visualization, which has been shown in several concurrent works.</v>
      </c>
    </row>
    <row r="39">
      <c r="A39" s="1" t="str">
        <f>IFERROR(__xludf.DUMMYFUNCTION("""COMPUTED_VALUE"""),"Adversarial examples")</f>
        <v>Adversarial examples</v>
      </c>
      <c r="B39" s="1" t="str">
        <f>IFERROR(__xludf.DUMMYFUNCTION("""COMPUTED_VALUE"""),"")</f>
        <v/>
      </c>
      <c r="C39" s="2" t="str">
        <f>IFERROR(__xludf.DUMMYFUNCTION("""COMPUTED_VALUE"""),"Are adversarial examples inevitable?")</f>
        <v>Are adversarial examples inevitable?</v>
      </c>
      <c r="D39" s="1" t="str">
        <f>IFERROR(__xludf.DUMMYFUNCTION("""COMPUTED_VALUE"""),"Ali Shafahi, W. Ronny Huang, Christoph Studer, Soheil Feizi, Tom Goldstein")</f>
        <v>Ali Shafahi, W. Ronny Huang, Christoph Studer, Soheil Feizi, Tom Goldstein</v>
      </c>
      <c r="E39" s="1" t="str">
        <f>IFERROR(__xludf.DUMMYFUNCTION("""COMPUTED_VALUE"""),"International Conference on Learning Representations, 2019.")</f>
        <v>International Conference on Learning Representations, 2019.</v>
      </c>
      <c r="F39" s="1">
        <f>IFERROR(__xludf.DUMMYFUNCTION("""COMPUTED_VALUE"""),2018.0)</f>
        <v>2018</v>
      </c>
      <c r="G39" s="1"/>
      <c r="H39" s="2" t="str">
        <f>IFERROR(__xludf.DUMMYFUNCTION("""COMPUTED_VALUE"""),"AN #24")</f>
        <v>AN #24</v>
      </c>
      <c r="I39" s="1"/>
      <c r="J39" s="1"/>
    </row>
    <row r="40">
      <c r="A40" s="1" t="str">
        <f>IFERROR(__xludf.DUMMYFUNCTION("""COMPUTED_VALUE"""),"Adversarial examples")</f>
        <v>Adversarial examples</v>
      </c>
      <c r="B40" s="1" t="str">
        <f>IFERROR(__xludf.DUMMYFUNCTION("""COMPUTED_VALUE"""),"")</f>
        <v/>
      </c>
      <c r="C40" s="2" t="str">
        <f>IFERROR(__xludf.DUMMYFUNCTION("""COMPUTED_VALUE"""),"Adversarial Reprogramming of Sequence Classification Neural Networks")</f>
        <v>Adversarial Reprogramming of Sequence Classification Neural Networks</v>
      </c>
      <c r="D40" s="1" t="str">
        <f>IFERROR(__xludf.DUMMYFUNCTION("""COMPUTED_VALUE"""),"Paarth Neekhara, Shehzeen Hussain, Shlomo Dubnov, Farinaz Koushanfar")</f>
        <v>Paarth Neekhara, Shehzeen Hussain, Shlomo Dubnov, Farinaz Koushanfar</v>
      </c>
      <c r="E40" s="1" t="str">
        <f>IFERROR(__xludf.DUMMYFUNCTION("""COMPUTED_VALUE"""),"AAAI-2019 Workshop on Engineering Dependable and Secure Machine Learning Systems")</f>
        <v>AAAI-2019 Workshop on Engineering Dependable and Secure Machine Learning Systems</v>
      </c>
      <c r="F40" s="1">
        <f>IFERROR(__xludf.DUMMYFUNCTION("""COMPUTED_VALUE"""),2018.0)</f>
        <v>2018</v>
      </c>
      <c r="G40" s="1"/>
      <c r="H40" s="2" t="str">
        <f>IFERROR(__xludf.DUMMYFUNCTION("""COMPUTED_VALUE"""),"AN #23")</f>
        <v>AN #23</v>
      </c>
      <c r="I40" s="1"/>
      <c r="J40" s="1"/>
    </row>
    <row r="41">
      <c r="A41" s="1" t="str">
        <f>IFERROR(__xludf.DUMMYFUNCTION("""COMPUTED_VALUE"""),"Adversarial examples")</f>
        <v>Adversarial examples</v>
      </c>
      <c r="B41" s="1" t="str">
        <f>IFERROR(__xludf.DUMMYFUNCTION("""COMPUTED_VALUE"""),"")</f>
        <v/>
      </c>
      <c r="C41" s="2" t="str">
        <f>IFERROR(__xludf.DUMMYFUNCTION("""COMPUTED_VALUE"""),"Fortified Networks: Improving the Robustness of Deep Networks by Modeling the Manifold of Hidden Representations")</f>
        <v>Fortified Networks: Improving the Robustness of Deep Networks by Modeling the Manifold of Hidden Representations</v>
      </c>
      <c r="D41" s="1" t="str">
        <f>IFERROR(__xludf.DUMMYFUNCTION("""COMPUTED_VALUE"""),"Alex Lamb, Jonathan Binas, Anirudh Goyal, Dmitriy Serdyuk, Sandeep Subramanian, Ioannis Mitliagkas, Yoshua Bengio")</f>
        <v>Alex Lamb, Jonathan Binas, Anirudh Goyal, Dmitriy Serdyuk, Sandeep Subramanian, Ioannis Mitliagkas, Yoshua Bengio</v>
      </c>
      <c r="E41" s="1" t="str">
        <f>IFERROR(__xludf.DUMMYFUNCTION("""COMPUTED_VALUE"""),"arXiv")</f>
        <v>arXiv</v>
      </c>
      <c r="F41" s="1">
        <f>IFERROR(__xludf.DUMMYFUNCTION("""COMPUTED_VALUE"""),2018.0)</f>
        <v>2018</v>
      </c>
      <c r="G41" s="1"/>
      <c r="H41" s="2" t="str">
        <f>IFERROR(__xludf.DUMMYFUNCTION("""COMPUTED_VALUE"""),"AN #2")</f>
        <v>AN #2</v>
      </c>
      <c r="I41" s="1"/>
      <c r="J41" s="1"/>
    </row>
    <row r="42">
      <c r="A42" s="1" t="str">
        <f>IFERROR(__xludf.DUMMYFUNCTION("""COMPUTED_VALUE"""),"Adversarial examples")</f>
        <v>Adversarial examples</v>
      </c>
      <c r="B42" s="1" t="str">
        <f>IFERROR(__xludf.DUMMYFUNCTION("""COMPUTED_VALUE"""),"")</f>
        <v/>
      </c>
      <c r="C42" s="2" t="str">
        <f>IFERROR(__xludf.DUMMYFUNCTION("""COMPUTED_VALUE"""),"Adversarial Vision Challenge")</f>
        <v>Adversarial Vision Challenge</v>
      </c>
      <c r="D42" s="1" t="str">
        <f>IFERROR(__xludf.DUMMYFUNCTION("""COMPUTED_VALUE"""),"Wieland Brendel, Jonas Rauber, Alexey Kurakin, Nicolas Papernot, Veliqi, Marcel Salathé, Sharada P. Mohanty, Matthias Bethge")</f>
        <v>Wieland Brendel, Jonas Rauber, Alexey Kurakin, Nicolas Papernot, Veliqi, Marcel Salathé, Sharada P. Mohanty, Matthias Bethge</v>
      </c>
      <c r="E42" s="1" t="str">
        <f>IFERROR(__xludf.DUMMYFUNCTION("""COMPUTED_VALUE"""),"NIPS 2018")</f>
        <v>NIPS 2018</v>
      </c>
      <c r="F42" s="1">
        <f>IFERROR(__xludf.DUMMYFUNCTION("""COMPUTED_VALUE"""),2018.0)</f>
        <v>2018</v>
      </c>
      <c r="G42" s="1"/>
      <c r="H42" s="2" t="str">
        <f>IFERROR(__xludf.DUMMYFUNCTION("""COMPUTED_VALUE"""),"AN #19")</f>
        <v>AN #19</v>
      </c>
      <c r="I42" s="1" t="str">
        <f>IFERROR(__xludf.DUMMYFUNCTION("""COMPUTED_VALUE"""),"Rohin")</f>
        <v>Rohin</v>
      </c>
      <c r="J42" s="1" t="str">
        <f>IFERROR(__xludf.DUMMYFUNCTION("""COMPUTED_VALUE"""),"There will be a competition on adversarial examples for vision at NIPS 2018.")</f>
        <v>There will be a competition on adversarial examples for vision at NIPS 2018.</v>
      </c>
    </row>
    <row r="43">
      <c r="A43" s="1" t="str">
        <f>IFERROR(__xludf.DUMMYFUNCTION("""COMPUTED_VALUE"""),"Adversarial examples")</f>
        <v>Adversarial examples</v>
      </c>
      <c r="B43" s="1" t="str">
        <f>IFERROR(__xludf.DUMMYFUNCTION("""COMPUTED_VALUE"""),"")</f>
        <v/>
      </c>
      <c r="C43" s="2" t="str">
        <f>IFERROR(__xludf.DUMMYFUNCTION("""COMPUTED_VALUE"""),"Evaluating and Understanding the Robustness of Adversarial Logit Pairing")</f>
        <v>Evaluating and Understanding the Robustness of Adversarial Logit Pairing</v>
      </c>
      <c r="D43" s="1" t="str">
        <f>IFERROR(__xludf.DUMMYFUNCTION("""COMPUTED_VALUE"""),"Logan Engstrom, Andrew Ilyas, Anish Athalye")</f>
        <v>Logan Engstrom, Andrew Ilyas, Anish Athalye</v>
      </c>
      <c r="E43" s="1" t="str">
        <f>IFERROR(__xludf.DUMMYFUNCTION("""COMPUTED_VALUE"""),"arXiv")</f>
        <v>arXiv</v>
      </c>
      <c r="F43" s="1">
        <f>IFERROR(__xludf.DUMMYFUNCTION("""COMPUTED_VALUE"""),2018.0)</f>
        <v>2018</v>
      </c>
      <c r="G43" s="1"/>
      <c r="H43" s="2" t="str">
        <f>IFERROR(__xludf.DUMMYFUNCTION("""COMPUTED_VALUE"""),"AN #18")</f>
        <v>AN #18</v>
      </c>
      <c r="I43" s="1"/>
      <c r="J43" s="1"/>
    </row>
    <row r="44">
      <c r="A44" s="1" t="str">
        <f>IFERROR(__xludf.DUMMYFUNCTION("""COMPUTED_VALUE"""),"Adversarial examples")</f>
        <v>Adversarial examples</v>
      </c>
      <c r="B44" s="1" t="str">
        <f>IFERROR(__xludf.DUMMYFUNCTION("""COMPUTED_VALUE"""),"")</f>
        <v/>
      </c>
      <c r="C44" s="2" t="str">
        <f>IFERROR(__xludf.DUMMYFUNCTION("""COMPUTED_VALUE"""),"Benchmarking Neural Network Robustness to Common Corruptions and Surface Variations")</f>
        <v>Benchmarking Neural Network Robustness to Common Corruptions and Surface Variations</v>
      </c>
      <c r="D44" s="1" t="str">
        <f>IFERROR(__xludf.DUMMYFUNCTION("""COMPUTED_VALUE"""),"Dan Hendrycks, Thomas G. Dietterich")</f>
        <v>Dan Hendrycks, Thomas G. Dietterich</v>
      </c>
      <c r="E44" s="1" t="str">
        <f>IFERROR(__xludf.DUMMYFUNCTION("""COMPUTED_VALUE"""),"ICLR 2019")</f>
        <v>ICLR 2019</v>
      </c>
      <c r="F44" s="1">
        <f>IFERROR(__xludf.DUMMYFUNCTION("""COMPUTED_VALUE"""),2018.0)</f>
        <v>2018</v>
      </c>
      <c r="G44" s="1"/>
      <c r="H44" s="2" t="str">
        <f>IFERROR(__xludf.DUMMYFUNCTION("""COMPUTED_VALUE"""),"AN #15")</f>
        <v>AN #15</v>
      </c>
      <c r="I44" s="1" t="str">
        <f>IFERROR(__xludf.DUMMYFUNCTION("""COMPUTED_VALUE"""),"Rohin")</f>
        <v>Rohin</v>
      </c>
      <c r="J44" s="1" t="str">
        <f>IFERROR(__xludf.DUMMYFUNCTION("""COMPUTED_VALUE"""),"See [Import AI](https://jack-clark.net/2018/07/09/import-ai-102-testing-ai-robustness-with-imagenet-c-militarycivil-ai-development-in-china-and-how-teamwork-lets-ai-beat-humans/).")</f>
        <v>See [Import AI](https://jack-clark.net/2018/07/09/import-ai-102-testing-ai-robustness-with-imagenet-c-militarycivil-ai-development-in-china-and-how-teamwork-lets-ai-beat-humans/).</v>
      </c>
    </row>
    <row r="45">
      <c r="A45" s="1" t="str">
        <f>IFERROR(__xludf.DUMMYFUNCTION("""COMPUTED_VALUE"""),"Adversarial examples")</f>
        <v>Adversarial examples</v>
      </c>
      <c r="B45" s="1" t="str">
        <f>IFERROR(__xludf.DUMMYFUNCTION("""COMPUTED_VALUE"""),"")</f>
        <v/>
      </c>
      <c r="C45" s="2" t="str">
        <f>IFERROR(__xludf.DUMMYFUNCTION("""COMPUTED_VALUE"""),"Avoiding textual adversarial examples")</f>
        <v>Avoiding textual adversarial examples</v>
      </c>
      <c r="D45" s="1" t="str">
        <f>IFERROR(__xludf.DUMMYFUNCTION("""COMPUTED_VALUE"""),"Noa Nabeshima")</f>
        <v>Noa Nabeshima</v>
      </c>
      <c r="E45" s="1" t="str">
        <f>IFERROR(__xludf.DUMMYFUNCTION("""COMPUTED_VALUE"""),"Twitter")</f>
        <v>Twitter</v>
      </c>
      <c r="F45" s="1">
        <f>IFERROR(__xludf.DUMMYFUNCTION("""COMPUTED_VALUE"""),2021.0)</f>
        <v>2021</v>
      </c>
      <c r="G45" s="1"/>
      <c r="H45" s="2" t="str">
        <f>IFERROR(__xludf.DUMMYFUNCTION("""COMPUTED_VALUE"""),"AN #143")</f>
        <v>AN #143</v>
      </c>
      <c r="I45" s="1" t="str">
        <f>IFERROR(__xludf.DUMMYFUNCTION("""COMPUTED_VALUE"""),"Rohin")</f>
        <v>Rohin</v>
      </c>
      <c r="J45" s="1" t="str">
        <f>IFERROR(__xludf.DUMMYFUNCTION("""COMPUTED_VALUE"""),"Last week I speculated that CLIP might ""know"" that a textual adversarial example is a ""picture of an apple with a piece of paper saying an iPod on it"" and the zero-shot classification prompt is preventing it from demonstrating this knowledge. Gwern Br"&amp;"anwen [commented](https://www.alignmentforum.org/posts/JGByt8TrxREo4twaw/an-142-the-quest-to-understand-a-network-well-enough-to?commentId=keW4DuE7G4SZn9h2r) to link me to this Twitter thread as well as this [YouTube video](https://youtu.be/Rk3MBx20z24) i"&amp;"n which better prompt engineering significantly reduces these textual adversarial examples, demonstrating that CLIP does ""know"" that it's looking at an apple with a piece of paper on it.")</f>
        <v>Last week I speculated that CLIP might "know" that a textual adversarial example is a "picture of an apple with a piece of paper saying an iPod on it" and the zero-shot classification prompt is preventing it from demonstrating this knowledge. Gwern Branwen [commented](https://www.alignmentforum.org/posts/JGByt8TrxREo4twaw/an-142-the-quest-to-understand-a-network-well-enough-to?commentId=keW4DuE7G4SZn9h2r) to link me to this Twitter thread as well as this [YouTube video](https://youtu.be/Rk3MBx20z24) in which better prompt engineering significantly reduces these textual adversarial examples, demonstrating that CLIP does "know" that it's looking at an apple with a piece of paper on it.</v>
      </c>
    </row>
    <row r="46">
      <c r="A46" s="1" t="str">
        <f>IFERROR(__xludf.DUMMYFUNCTION("""COMPUTED_VALUE"""),"Adversarial examples")</f>
        <v>Adversarial examples</v>
      </c>
      <c r="B46" s="1" t="str">
        <f>IFERROR(__xludf.DUMMYFUNCTION("""COMPUTED_VALUE"""),"")</f>
        <v/>
      </c>
      <c r="C46" s="2" t="str">
        <f>IFERROR(__xludf.DUMMYFUNCTION("""COMPUTED_VALUE"""),"Adversarial Reprogramming of Neural Networks")</f>
        <v>Adversarial Reprogramming of Neural Networks</v>
      </c>
      <c r="D46" s="1" t="str">
        <f>IFERROR(__xludf.DUMMYFUNCTION("""COMPUTED_VALUE"""),"Gamaleldin F. Elsayed, Ian Goodfellow, Jascha Sohl-Dickstein")</f>
        <v>Gamaleldin F. Elsayed, Ian Goodfellow, Jascha Sohl-Dickstein</v>
      </c>
      <c r="E46" s="1" t="str">
        <f>IFERROR(__xludf.DUMMYFUNCTION("""COMPUTED_VALUE"""),"arXiv")</f>
        <v>arXiv</v>
      </c>
      <c r="F46" s="1">
        <f>IFERROR(__xludf.DUMMYFUNCTION("""COMPUTED_VALUE"""),2018.0)</f>
        <v>2018</v>
      </c>
      <c r="G46" s="1"/>
      <c r="H46" s="2" t="str">
        <f>IFERROR(__xludf.DUMMYFUNCTION("""COMPUTED_VALUE"""),"AN #14")</f>
        <v>AN #14</v>
      </c>
      <c r="I46" s="1"/>
      <c r="J46" s="1"/>
    </row>
    <row r="47">
      <c r="A47" s="1" t="str">
        <f>IFERROR(__xludf.DUMMYFUNCTION("""COMPUTED_VALUE"""),"Adversarial examples")</f>
        <v>Adversarial examples</v>
      </c>
      <c r="B47" s="1" t="str">
        <f>IFERROR(__xludf.DUMMYFUNCTION("""COMPUTED_VALUE"""),"")</f>
        <v/>
      </c>
      <c r="C47" s="2" t="str">
        <f>IFERROR(__xludf.DUMMYFUNCTION("""COMPUTED_VALUE"""),"Adversarial images for the primate brain")</f>
        <v>Adversarial images for the primate brain</v>
      </c>
      <c r="D47" s="1" t="str">
        <f>IFERROR(__xludf.DUMMYFUNCTION("""COMPUTED_VALUE"""),"Li Yuan, Will Xiao, Gabriel Kreiman, Francis E.H. Tay, Jiashi Feng, Margaret S. Livingstone")</f>
        <v>Li Yuan, Will Xiao, Gabriel Kreiman, Francis E.H. Tay, Jiashi Feng, Margaret S. Livingstone</v>
      </c>
      <c r="E47" s="1" t="str">
        <f>IFERROR(__xludf.DUMMYFUNCTION("""COMPUTED_VALUE"""),"arXiv")</f>
        <v>arXiv</v>
      </c>
      <c r="F47" s="1">
        <f>IFERROR(__xludf.DUMMYFUNCTION("""COMPUTED_VALUE"""),2020.0)</f>
        <v>2020</v>
      </c>
      <c r="G47" s="1" t="str">
        <f>IFERROR(__xludf.DUMMYFUNCTION("""COMPUTED_VALUE"""),"Xuan")</f>
        <v>Xuan</v>
      </c>
      <c r="H47" s="2" t="str">
        <f>IFERROR(__xludf.DUMMYFUNCTION("""COMPUTED_VALUE"""),"AN #138")</f>
        <v>AN #138</v>
      </c>
      <c r="I47" s="1" t="str">
        <f>IFERROR(__xludf.DUMMYFUNCTION("""COMPUTED_VALUE"""),"Rohin")</f>
        <v>Rohin</v>
      </c>
      <c r="J47" s="1" t="str">
        <f>IFERROR(__xludf.DUMMYFUNCTION("""COMPUTED_VALUE"""),"It turns out that you can create adversarial examples for monkeys! The task: classifying a given face as coming from a monkey vs. a human. The method is pretty simple: train a neural network to predict what monkeys would do, and then find adversarial exam"&amp;"ples for monkeys. These examples don’t transfer perfectly, but they transfer enough that it seems reasonable to call them adversarial examples. In fact, these adversarial examples also make humans make the wrong classification reasonably often (though not"&amp;" as often as with monkeys), when given about 1 second to classify (a fairly long amount of time). Still, it is clear that the monkeys and humans are much more behaviorally robust than the neural networks.")</f>
        <v>It turns out that you can create adversarial examples for monkeys! The task: classifying a given face as coming from a monkey vs. a human. The method is pretty simple: train a neural network to predict what monkeys would do, and then find adversarial examples for monkeys. These examples don’t transfer perfectly, but they transfer enough that it seems reasonable to call them adversarial examples. In fact, these adversarial examples also make humans make the wrong classification reasonably often (though not as often as with monkeys), when given about 1 second to classify (a fairly long amount of time). Still, it is clear that the monkeys and humans are much more behaviorally robust than the neural networks.</v>
      </c>
      <c r="K47" t="str">
        <f>IFERROR(__xludf.DUMMYFUNCTION("""COMPUTED_VALUE"""),"First, a nitpick: the adversarially modified images are pretty significantly modified, such that you now have to wonder whether we should say that the humans are getting the answer “wrong”, or that the image has been modified meaningfully enough that ther"&amp;"e is no longer a right answer (as is arguably the case with the infamous [cat-dog](https://twitter.com/goodfellow_ian/status/966853052140470272)). The authors do show that e.g. Gaussian noise of the same magnitude doesn't degrade human performance, which "&amp;"is a good sanity check, but doesn’t negate this point.
Nonetheless, I liked this paper -- it seems like good evidence that neural networks and biological brains are picking up on similar features. My preferred explanation is that these are the “natural” "&amp;"features for our environment, though other explanations are possible, e.g. perhaps brains and neural networks are sufficiently similar architectures that they do similar things. Note however that they do require a _grey-box_ approach, where they first tra"&amp;"in the neural network to predict the monkey's neuronal responses. When they instead use a neural network trained to classify human faces vs. monkey faces, the resulting adversarial images do not cause misclassifications in monkeys. So they do need to at l"&amp;"east finetune the final layer for this to work, and thus there is at least some difference between the neural networks and monkey brains.")</f>
        <v>First, a nitpick: the adversarially modified images are pretty significantly modified, such that you now have to wonder whether we should say that the humans are getting the answer “wrong”, or that the image has been modified meaningfully enough that there is no longer a right answer (as is arguably the case with the infamous [cat-dog](https://twitter.com/goodfellow_ian/status/966853052140470272)). The authors do show that e.g. Gaussian noise of the same magnitude doesn't degrade human performance, which is a good sanity check, but doesn’t negate this point.
Nonetheless, I liked this paper -- it seems like good evidence that neural networks and biological brains are picking up on similar features. My preferred explanation is that these are the “natural” features for our environment, though other explanations are possible, e.g. perhaps brains and neural networks are sufficiently similar architectures that they do similar things. Note however that they do require a _grey-box_ approach, where they first train the neural network to predict the monkey's neuronal responses. When they instead use a neural network trained to classify human faces vs. monkey faces, the resulting adversarial images do not cause misclassifications in monkeys. So they do need to at least finetune the final layer for this to work, and thus there is at least some difference between the neural networks and monkey brains.</v>
      </c>
    </row>
    <row r="48">
      <c r="A48" s="1" t="str">
        <f>IFERROR(__xludf.DUMMYFUNCTION("""COMPUTED_VALUE"""),"Adversarial examples")</f>
        <v>Adversarial examples</v>
      </c>
      <c r="B48" s="1" t="str">
        <f>IFERROR(__xludf.DUMMYFUNCTION("""COMPUTED_VALUE"""),"")</f>
        <v/>
      </c>
      <c r="C48" s="2" t="str">
        <f>IFERROR(__xludf.DUMMYFUNCTION("""COMPUTED_VALUE"""),"Defense Against the Dark Arts: An overview of adversarial example security research and future research directions")</f>
        <v>Defense Against the Dark Arts: An overview of adversarial example security research and future research directions</v>
      </c>
      <c r="D48" s="1" t="str">
        <f>IFERROR(__xludf.DUMMYFUNCTION("""COMPUTED_VALUE"""),"Ian Goodfellow")</f>
        <v>Ian Goodfellow</v>
      </c>
      <c r="E48" s="1" t="str">
        <f>IFERROR(__xludf.DUMMYFUNCTION("""COMPUTED_VALUE"""),"arXiv")</f>
        <v>arXiv</v>
      </c>
      <c r="F48" s="1">
        <f>IFERROR(__xludf.DUMMYFUNCTION("""COMPUTED_VALUE"""),2018.0)</f>
        <v>2018</v>
      </c>
      <c r="G48" s="1"/>
      <c r="H48" s="2" t="str">
        <f>IFERROR(__xludf.DUMMYFUNCTION("""COMPUTED_VALUE"""),"AN #11")</f>
        <v>AN #11</v>
      </c>
      <c r="I48" s="1"/>
      <c r="J48" s="1"/>
    </row>
    <row r="49">
      <c r="A49" s="1" t="str">
        <f>IFERROR(__xludf.DUMMYFUNCTION("""COMPUTED_VALUE"""),"Adversarial examples")</f>
        <v>Adversarial examples</v>
      </c>
      <c r="B49" s="1" t="str">
        <f>IFERROR(__xludf.DUMMYFUNCTION("""COMPUTED_VALUE"""),"")</f>
        <v/>
      </c>
      <c r="C49" s="2" t="str">
        <f>IFERROR(__xludf.DUMMYFUNCTION("""COMPUTED_VALUE"""),"On Evaluating Adversarial Robustness")</f>
        <v>On Evaluating Adversarial Robustness</v>
      </c>
      <c r="D49" s="1" t="str">
        <f>IFERROR(__xludf.DUMMYFUNCTION("""COMPUTED_VALUE"""),"Nicholas Carlini, Anish Athalye, Nicolas Papernot, Wieland Brendel, Jonas Rauber, Dimitris Tsipras, Ian Goodfellow, Aleksander Madry, Alexey Kurakin")</f>
        <v>Nicholas Carlini, Anish Athalye, Nicolas Papernot, Wieland Brendel, Jonas Rauber, Dimitris Tsipras, Ian Goodfellow, Aleksander Madry, Alexey Kurakin</v>
      </c>
      <c r="E49" s="1" t="str">
        <f>IFERROR(__xludf.DUMMYFUNCTION("""COMPUTED_VALUE"""),"NeurIPS SECML 2018")</f>
        <v>NeurIPS SECML 2018</v>
      </c>
      <c r="F49" s="1">
        <f>IFERROR(__xludf.DUMMYFUNCTION("""COMPUTED_VALUE"""),2019.0)</f>
        <v>2019</v>
      </c>
      <c r="G49" s="1"/>
      <c r="H49" s="2" t="str">
        <f>IFERROR(__xludf.DUMMYFUNCTION("""COMPUTED_VALUE"""),"AN #46")</f>
        <v>AN #46</v>
      </c>
      <c r="I49" s="1"/>
      <c r="J49" s="1"/>
    </row>
    <row r="50">
      <c r="A50" s="1" t="str">
        <f>IFERROR(__xludf.DUMMYFUNCTION("""COMPUTED_VALUE"""),"Adversarial examples")</f>
        <v>Adversarial examples</v>
      </c>
      <c r="B50" s="1" t="str">
        <f>IFERROR(__xludf.DUMMYFUNCTION("""COMPUTED_VALUE"""),"")</f>
        <v/>
      </c>
      <c r="C50" s="2" t="str">
        <f>IFERROR(__xludf.DUMMYFUNCTION("""COMPUTED_VALUE"""),"Characterizing Adversarial Examples Based on Spatial Consistency Information for Semantic Segmentation")</f>
        <v>Characterizing Adversarial Examples Based on Spatial Consistency Information for Semantic Segmentation</v>
      </c>
      <c r="D50" s="1" t="str">
        <f>IFERROR(__xludf.DUMMYFUNCTION("""COMPUTED_VALUE"""),"Chaowei Xiao, Ruizhi Deng, Bo Li, Fisher Yu, Mingyan Liu, and Dawn Song")</f>
        <v>Chaowei Xiao, Ruizhi Deng, Bo Li, Fisher Yu, Mingyan Liu, and Dawn Song</v>
      </c>
      <c r="E50" s="1" t="str">
        <f>IFERROR(__xludf.DUMMYFUNCTION("""COMPUTED_VALUE"""),"ECCV")</f>
        <v>ECCV</v>
      </c>
      <c r="F50" s="1">
        <f>IFERROR(__xludf.DUMMYFUNCTION("""COMPUTED_VALUE"""),2018.0)</f>
        <v>2018</v>
      </c>
      <c r="G50" s="1"/>
      <c r="H50" s="2" t="str">
        <f>IFERROR(__xludf.DUMMYFUNCTION("""COMPUTED_VALUE"""),"AN #29")</f>
        <v>AN #29</v>
      </c>
      <c r="I50" s="1" t="str">
        <f>IFERROR(__xludf.DUMMYFUNCTION("""COMPUTED_VALUE"""),"Dan H")</f>
        <v>Dan H</v>
      </c>
      <c r="J50" s="1" t="str">
        <f>IFERROR(__xludf.DUMMYFUNCTION("""COMPUTED_VALUE"""),"This paper considers adversarial attacks on segmentation systems. They find that segmentation systems behave inconsistently on adversarial images, and they use this inconsistency to detect adversarial inputs. Specifically, they take overlapping crops of t"&amp;"he image and segment each crop. For overlapping crops of an adversarial image, they find that the segmentation are more inconsistent. They defend against one adaptive attack.")</f>
        <v>This paper considers adversarial attacks on segmentation systems. They find that segmentation systems behave inconsistently on adversarial images, and they use this inconsistency to detect adversarial inputs. Specifically, they take overlapping crops of the image and segment each crop. For overlapping crops of an adversarial image, they find that the segmentation are more inconsistent. They defend against one adaptive attack.</v>
      </c>
    </row>
    <row r="51">
      <c r="A51" s="1" t="str">
        <f>IFERROR(__xludf.DUMMYFUNCTION("""COMPUTED_VALUE"""),"Adversarial examples")</f>
        <v>Adversarial examples</v>
      </c>
      <c r="B51" s="1" t="str">
        <f>IFERROR(__xludf.DUMMYFUNCTION("""COMPUTED_VALUE"""),"")</f>
        <v/>
      </c>
      <c r="C51" s="2" t="str">
        <f>IFERROR(__xludf.DUMMYFUNCTION("""COMPUTED_VALUE"""),"Spatially Transformed Adversarial Examples")</f>
        <v>Spatially Transformed Adversarial Examples</v>
      </c>
      <c r="D51" s="1" t="str">
        <f>IFERROR(__xludf.DUMMYFUNCTION("""COMPUTED_VALUE"""),"Chaowei Xiao, Jun-Yan Zhu, Bo Li, Warren He, Mingyan Liu, Dawn Song")</f>
        <v>Chaowei Xiao, Jun-Yan Zhu, Bo Li, Warren He, Mingyan Liu, Dawn Song</v>
      </c>
      <c r="E51" s="1" t="str">
        <f>IFERROR(__xludf.DUMMYFUNCTION("""COMPUTED_VALUE"""),"ICLR")</f>
        <v>ICLR</v>
      </c>
      <c r="F51" s="1">
        <f>IFERROR(__xludf.DUMMYFUNCTION("""COMPUTED_VALUE"""),2018.0)</f>
        <v>2018</v>
      </c>
      <c r="G51" s="1"/>
      <c r="H51" s="2" t="str">
        <f>IFERROR(__xludf.DUMMYFUNCTION("""COMPUTED_VALUE"""),"AN #29")</f>
        <v>AN #29</v>
      </c>
      <c r="I51" s="1" t="str">
        <f>IFERROR(__xludf.DUMMYFUNCTION("""COMPUTED_VALUE"""),"Dan H")</f>
        <v>Dan H</v>
      </c>
      <c r="J51" s="1" t="str">
        <f>IFERROR(__xludf.DUMMYFUNCTION("""COMPUTED_VALUE"""),"Many adversarial attacks perturb pixel values, but the attack in this paper perturbs the pixel locations instead. This is accomplished with a smooth image deformation which has subtle effects for large images. For MNIST images, however, the attack is more"&amp;" obvious and not necessarily content-preserving (see Figure 2 of the paper).")</f>
        <v>Many adversarial attacks perturb pixel values, but the attack in this paper perturbs the pixel locations instead. This is accomplished with a smooth image deformation which has subtle effects for large images. For MNIST images, however, the attack is more obvious and not necessarily content-preserving (see Figure 2 of the paper).</v>
      </c>
    </row>
    <row r="52">
      <c r="A52" s="1" t="str">
        <f>IFERROR(__xludf.DUMMYFUNCTION("""COMPUTED_VALUE"""),"Adversarial examples")</f>
        <v>Adversarial examples</v>
      </c>
      <c r="B52" s="1" t="str">
        <f>IFERROR(__xludf.DUMMYFUNCTION("""COMPUTED_VALUE"""),"")</f>
        <v/>
      </c>
      <c r="C52" s="2" t="str">
        <f>IFERROR(__xludf.DUMMYFUNCTION("""COMPUTED_VALUE"""),"Adversarial Logit Pairing")</f>
        <v>Adversarial Logit Pairing</v>
      </c>
      <c r="D52" s="1" t="str">
        <f>IFERROR(__xludf.DUMMYFUNCTION("""COMPUTED_VALUE"""),"Harini Kannan, Alexey Kurakin, Ian Goodfellow")</f>
        <v>Harini Kannan, Alexey Kurakin, Ian Goodfellow</v>
      </c>
      <c r="E52" s="1" t="str">
        <f>IFERROR(__xludf.DUMMYFUNCTION("""COMPUTED_VALUE"""),"arXiv")</f>
        <v>arXiv</v>
      </c>
      <c r="F52" s="1"/>
      <c r="G52" s="1"/>
      <c r="H52" s="2" t="str">
        <f>IFERROR(__xludf.DUMMYFUNCTION("""COMPUTED_VALUE"""),"Recon #5")</f>
        <v>Recon #5</v>
      </c>
      <c r="I52" s="1"/>
      <c r="J52" s="1"/>
    </row>
    <row r="53">
      <c r="A53" s="1" t="str">
        <f>IFERROR(__xludf.DUMMYFUNCTION("""COMPUTED_VALUE"""),"Adversarial examples")</f>
        <v>Adversarial examples</v>
      </c>
      <c r="B53" s="1" t="str">
        <f>IFERROR(__xludf.DUMMYFUNCTION("""COMPUTED_VALUE"""),"")</f>
        <v/>
      </c>
      <c r="C53" s="2" t="str">
        <f>IFERROR(__xludf.DUMMYFUNCTION("""COMPUTED_VALUE"""),"Learning to write programs that generate images")</f>
        <v>Learning to write programs that generate images</v>
      </c>
      <c r="D53" s="1" t="str">
        <f>IFERROR(__xludf.DUMMYFUNCTION("""COMPUTED_VALUE"""),"S M Ali Eslami, Tejas Kulkarni, Oriol Vinyals, Yaroslav Ganin")</f>
        <v>S M Ali Eslami, Tejas Kulkarni, Oriol Vinyals, Yaroslav Ganin</v>
      </c>
      <c r="E53" s="1" t="str">
        <f>IFERROR(__xludf.DUMMYFUNCTION("""COMPUTED_VALUE"""),"DeepMind Blog")</f>
        <v>DeepMind Blog</v>
      </c>
      <c r="F53" s="1"/>
      <c r="G53" s="1"/>
      <c r="H53" s="2" t="str">
        <f>IFERROR(__xludf.DUMMYFUNCTION("""COMPUTED_VALUE"""),"Recon #5")</f>
        <v>Recon #5</v>
      </c>
      <c r="I53" s="1"/>
      <c r="J53" s="1"/>
    </row>
    <row r="54">
      <c r="A54" s="1" t="str">
        <f>IFERROR(__xludf.DUMMYFUNCTION("""COMPUTED_VALUE"""),"Adversarial examples")</f>
        <v>Adversarial examples</v>
      </c>
      <c r="B54" s="1" t="str">
        <f>IFERROR(__xludf.DUMMYFUNCTION("""COMPUTED_VALUE"""),"")</f>
        <v/>
      </c>
      <c r="C54" s="2" t="str">
        <f>IFERROR(__xludf.DUMMYFUNCTION("""COMPUTED_VALUE"""),"Intrinsic Geometric Vulnerability of High-Dimensional Artificial Intelligence")</f>
        <v>Intrinsic Geometric Vulnerability of High-Dimensional Artificial Intelligence</v>
      </c>
      <c r="D54" s="1" t="str">
        <f>IFERROR(__xludf.DUMMYFUNCTION("""COMPUTED_VALUE"""),"Luca Bortolussi, Guido Sanguinetti")</f>
        <v>Luca Bortolussi, Guido Sanguinetti</v>
      </c>
      <c r="E54" s="1" t="str">
        <f>IFERROR(__xludf.DUMMYFUNCTION("""COMPUTED_VALUE"""),"arXiv")</f>
        <v>arXiv</v>
      </c>
      <c r="F54" s="1">
        <f>IFERROR(__xludf.DUMMYFUNCTION("""COMPUTED_VALUE"""),2018.0)</f>
        <v>2018</v>
      </c>
      <c r="G54" s="1"/>
      <c r="H54" s="2" t="str">
        <f>IFERROR(__xludf.DUMMYFUNCTION("""COMPUTED_VALUE"""),"AN #36")</f>
        <v>AN #36</v>
      </c>
      <c r="I54" s="1"/>
      <c r="J54" s="1"/>
    </row>
    <row r="55">
      <c r="A55" s="1" t="str">
        <f>IFERROR(__xludf.DUMMYFUNCTION("""COMPUTED_VALUE"""),"Adversarial examples")</f>
        <v>Adversarial examples</v>
      </c>
      <c r="B55" s="1" t="str">
        <f>IFERROR(__xludf.DUMMYFUNCTION("""COMPUTED_VALUE"""),"")</f>
        <v/>
      </c>
      <c r="C55" s="2" t="str">
        <f>IFERROR(__xludf.DUMMYFUNCTION("""COMPUTED_VALUE"""),"On Adversarial Examples for Character-Level Neural Machine Translation")</f>
        <v>On Adversarial Examples for Character-Level Neural Machine Translation</v>
      </c>
      <c r="D55" s="1" t="str">
        <f>IFERROR(__xludf.DUMMYFUNCTION("""COMPUTED_VALUE"""),"Javid Ebrahimi, Daniel Lowd, Dejing Dou")</f>
        <v>Javid Ebrahimi, Daniel Lowd, Dejing Dou</v>
      </c>
      <c r="E55" s="1" t="str">
        <f>IFERROR(__xludf.DUMMYFUNCTION("""COMPUTED_VALUE"""),"arXiv")</f>
        <v>arXiv</v>
      </c>
      <c r="F55" s="1">
        <f>IFERROR(__xludf.DUMMYFUNCTION("""COMPUTED_VALUE"""),2018.0)</f>
        <v>2018</v>
      </c>
      <c r="G55" s="1"/>
      <c r="H55" s="2" t="str">
        <f>IFERROR(__xludf.DUMMYFUNCTION("""COMPUTED_VALUE"""),"AN #13")</f>
        <v>AN #13</v>
      </c>
      <c r="I55" s="1"/>
      <c r="J55" s="1"/>
    </row>
    <row r="56">
      <c r="A56" s="1" t="str">
        <f>IFERROR(__xludf.DUMMYFUNCTION("""COMPUTED_VALUE"""),"Adversarial examples")</f>
        <v>Adversarial examples</v>
      </c>
      <c r="B56" s="1" t="str">
        <f>IFERROR(__xludf.DUMMYFUNCTION("""COMPUTED_VALUE"""),"")</f>
        <v/>
      </c>
      <c r="C56" s="2" t="str">
        <f>IFERROR(__xludf.DUMMYFUNCTION("""COMPUTED_VALUE"""),"Idealised Bayesian Neural Networks Cannot Have Adversarial Examples: Theoretical and Empirical Study")</f>
        <v>Idealised Bayesian Neural Networks Cannot Have Adversarial Examples: Theoretical and Empirical Study</v>
      </c>
      <c r="D56" s="1" t="str">
        <f>IFERROR(__xludf.DUMMYFUNCTION("""COMPUTED_VALUE"""),"Yarin Gal, Lewis Smith")</f>
        <v>Yarin Gal, Lewis Smith</v>
      </c>
      <c r="E56" s="1" t="str">
        <f>IFERROR(__xludf.DUMMYFUNCTION("""COMPUTED_VALUE"""),"arXiv")</f>
        <v>arXiv</v>
      </c>
      <c r="F56" s="1">
        <f>IFERROR(__xludf.DUMMYFUNCTION("""COMPUTED_VALUE"""),2018.0)</f>
        <v>2018</v>
      </c>
      <c r="G56" s="1"/>
      <c r="H56" s="2" t="str">
        <f>IFERROR(__xludf.DUMMYFUNCTION("""COMPUTED_VALUE"""),"AN #10")</f>
        <v>AN #10</v>
      </c>
      <c r="I56" s="1" t="str">
        <f>IFERROR(__xludf.DUMMYFUNCTION("""COMPUTED_VALUE"""),"Rohin")</f>
        <v>Rohin</v>
      </c>
      <c r="J56" s="1" t="str">
        <f>IFERROR(__xludf.DUMMYFUNCTION("""COMPUTED_VALUE"""),"")</f>
        <v/>
      </c>
      <c r="K56" t="str">
        <f>IFERROR(__xludf.DUMMYFUNCTION("""COMPUTED_VALUE"""),"")</f>
        <v/>
      </c>
    </row>
    <row r="57">
      <c r="A57" s="1" t="str">
        <f>IFERROR(__xludf.DUMMYFUNCTION("""COMPUTED_VALUE"""),"Agent foundations")</f>
        <v>Agent foundations</v>
      </c>
      <c r="B57" s="1" t="str">
        <f>IFERROR(__xludf.DUMMYFUNCTION("""COMPUTED_VALUE"""),"Highlight")</f>
        <v>Highlight</v>
      </c>
      <c r="C57" s="2" t="str">
        <f>IFERROR(__xludf.DUMMYFUNCTION("""COMPUTED_VALUE"""),"Finite Factored Sets sequence")</f>
        <v>Finite Factored Sets sequence</v>
      </c>
      <c r="D57" s="1" t="str">
        <f>IFERROR(__xludf.DUMMYFUNCTION("""COMPUTED_VALUE"""),"Scott Garrabrant")</f>
        <v>Scott Garrabrant</v>
      </c>
      <c r="E57" s="1" t="str">
        <f>IFERROR(__xludf.DUMMYFUNCTION("""COMPUTED_VALUE"""),"Alignment Forum")</f>
        <v>Alignment Forum</v>
      </c>
      <c r="F57" s="1">
        <f>IFERROR(__xludf.DUMMYFUNCTION("""COMPUTED_VALUE"""),2021.0)</f>
        <v>2021</v>
      </c>
      <c r="G57" s="1"/>
      <c r="H57" s="2" t="str">
        <f>IFERROR(__xludf.DUMMYFUNCTION("""COMPUTED_VALUE"""),"AN #163")</f>
        <v>AN #163</v>
      </c>
      <c r="I57" s="1" t="str">
        <f>IFERROR(__xludf.DUMMYFUNCTION("""COMPUTED_VALUE"""),"Rohin")</f>
        <v>Rohin</v>
      </c>
      <c r="J57" s="1" t="str">
        <f>IFERROR(__xludf.DUMMYFUNCTION("""COMPUTED_VALUE"""),"This newsletter is a combined summary + opinion for the [Finite Factored Sets sequence](https://www.alignmentforum.org/s/kxs3eeEti9ouwWFzr) by Scott Garrabrant. I (Rohin) have taken a lot more liberty than I usually do with the interpretation of the resul"&amp;"ts; Scott may or may not agree with these interpretations.
## Motivation
One view on the importance of deep learning is that it allows you to automatically _learn_ the features that are relevant for some task of interest. Instead of having to handcraft "&amp;"features using domain knowledge, we simply point a neural net at an appropriate dataset and it figures out the right features. Arguably this is the _majority_ of what makes up intelligent cognition; in humans it seems very analogous to [System 1](https://"&amp;"en.wikipedia.org/wiki/Thinking,_Fast_and_Slow), which we use for most decisions and actions. We are also able to infer causal relations between the resulting features.
Unfortunately, [existing models](https://en.wikipedia.org/wiki/The_Book_of_Why) of cau"&amp;"sal inference don’t model these learned features -- they instead assume that the features are already given to you. Finite Factored Sets (FFS) provide a theory which can talk directly about different possible ways to featurize the space of outcomes and st"&amp;"ill allows you to perform causal inference. This sequence develops this underlying theory and demonstrates a few examples of using finite factored sets to perform causal inference given only observational data.
Another application is to &lt;@embedded agency"&amp;"@&gt;(@Embedded Agents@): we would like to think of “agency” as a way to featurize the world into an “agent” feature and an “environment” feature, that together interact to determine the world. In &lt;@Cartesian Frames@&gt;, we worked with a function A × E → W, wh"&amp;"ere pairs of (agent, environment) together determined the world. In the finite factored set regime, we’ll think of A and E as features, the space S = A × E as the set of possible feature vectors, and S → W as the mapping from feature vectors to actual wor"&amp;"ld states.
## What is a finite factored set?
Generalizing this idea to apply more broadly, we will assume that there is a set of possible worlds Ω, a set S of arbitrary elements (which we will eventually interpret as feature vectors), and a function f :"&amp;" S → Ω that maps feature vectors to world states. Our goal is to have some notion of “features” of elements of S. Normally, when working with sets, we identify a feature value with the set of elements that have that value. For example, we can identify “re"&amp;"d” as the set of all red objects, and in [some versions of mathematics](https://en.wikipedia.org/wiki/Set-theoretic_definition_of_natural_numbers#Frege_and_Russell), we define “2” to be the class of all sets that have exactly two elements. So, we define a"&amp;" feature to be a _partition_ of S into subsets, where each subset corresponds to one of the possible feature values. We can also interpret a feature as a _question_ about items in S, and the values as possible _answers_ to that question; I’ll be using tha"&amp;"t terminology going forward.
A finite factored set is then given by (S, B), where B is a set of **factors** (questions), such that if you choose a particular answer to every question, that uniquely determines an element in S (and vice versa). We’ll put a"&amp;"side the set of possible worlds Ω; for now we’re just going to focus on the theory of these (S, B) pairs.
Let’s look at a contrived example. Consider S = {chai, caesar salad, lasagna, lava cake, sprite, strawberry sorbet}. Here are some possible question"&amp;"s for this S:
- **FoodType**: Possible answers are Drink = {chai, sprite}, Dessert = {lava cake, strawberry sorbet}, Savory = {caesar salad, lasagna}
- **Temperature**: Possible answers are Hot = {chai, lava cake, lasagna} and Cold = {sprite, strawberry "&amp;"sorbet, caesar salad}.
- **StartingLetter**: Possible answers are “C” = {chai, caesar salad}, “L” = {lasagna, lava cake}, and “S” = {sprite, strawberry sorbet}.
- **NumberOfWords**: Possible answers are “1” = {chai, lasagna, sprite} and “2” = {caesar sala"&amp;"d, lava cake, strawberry sorbet}.
Given these questions, we could factor S into {FoodType, Temperature}, or {StartingLetter, NumberOfWords}. We _cannot_ factor it into, say, {StartingLetter, Temperature}, because if we set StartingLetter = L and Temperat"&amp;"ure = Hot, that does not uniquely determine an element in S (it could be either lava cake or lasagna).
Which of the two factorizations should we use? We’re not going to delve too deeply into this question, but you could imagine that if you were intereste"&amp;"d in questions like “does this need to be put in a glass” you might be more interested in the {FoodType, Temperature} factorization.
Just to appreciate the castle of abstractions we’ve built, here’s the finite factored set F with the factorization {FoodT"&amp;"ype, Temperature}:
F = ({chai, caesar salad, lasagna, lava cake, sprite, strawberry sorbet}, {{{chai, sprite}, {lava cake, strawberry sorbet}, {caesar salad, lasagna}}, {{chai, lava cake, lasagna}, {sprite, strawberry sorbet, caesar salad}}})
To keep it"&amp;" all straight, just remember: a **factorization** B is a set of **questions** (factors, partitions) each of which is a set of **possible answers** (parts), each of which is a set of elements in S.
## A brief interlude
Some objections you might have abou"&amp;"t stuff we’ve talked about so far:
**Q.** Why do we bother with the set S -- couldn’t we just have the set of questions B, and then talk about answer vectors of the form (a1, a2, … aN)?
**A.** You could in theory do this, as there is a bijection between"&amp;" S and the Cartesian product of the sets in B. However, the problem with this framing is that it is hard to talk about other derived features. For example, the question “what is the value of B1+B2” has no easy description in this framing. When we instead "&amp;"directly work with S, the B1+B2 question is just another partition of S, just like B1 or B2 individually.
**Q.** Why does f map S to Ω? Doesn’t this mean that a feature vector uniquely determines a world state, whereas it’s usually the opposite in machin"&amp;"e learning?
**A.** This is true, but here the idea is that the set of features together captures _all_ the information within the setting we are considering. You could think of feature vectors in deep learning as only capturing an important subset of all"&amp;" of the features (which we’d have to do in practice since we only have bounded computation), and those features are not enough to determine world states.
## Orthogonality in Finite Factored Sets
We’re eventually going to use finite factored sets similar"&amp;"ly to Pearlian causal models: to infer which questions (random variables) are conditionally independent of each other. However, our analysis will apply to arbitrary questions, unlike Pearlian models, which can only talk about independence between the pred"&amp;"efined variables from which the causal model is built.
Just like Pearl, we will talk about _conditioning on evidence_: given evidence e, a subset of S, we can “observe” that we are within e. In the formal setup, this looks like erasing all elements that "&amp;"are not in e from all questions, answers, factors, etc.
You might think that ""factors"" are not analogous to nodes or random variables in a Pearlian model. However, this isn't right, since we’re going to assume that all of our factors are &lt;em&gt;independen"&amp;"t&lt;/em&gt; from each other, which is usually not the case in a Pearlian model. For example, you might have a Pearlian model with two binary variables, e.g. “Variable Rain causes Variable Wet Sidewalk”; these are obviously not independent. The corresponding fi"&amp;"nite factored set would have _three_ factors: “did it rain?”, “if it rained did the sidewalk get wet?” and “if it didn’t rain did the sidewalk get wet?” This way all three factors can be independent of each other. We will still be able to ask whether Wet "&amp;"Sidewalk is independent of Rain, since Wet Sidewalk is just another question about the set S -- it just isn’t one of the underlying factors anymore.
The point of this independence is to allow us to reason about _counterfactuals_: it should be possible to"&amp;" say “imagine the element s, except with underlying factor b2 changed to have value v”. As a result, our definitions will include clauses that say “and make sure we can still take counterfactuals”. For example, let’s talk about the “history” of a question"&amp;" X, which for now you can think of as the “factors relevant to X”. The _history_ of X given e is the smallest set of factors such that:
1) if you know the answers to these factors, then you can infer the answer to X, and
2) any factors that are _not_ in "&amp;"the history are independent of X. As suggested above, we can think of this as being about counterfactuals -- we’re saying that for any such factor, we can counterfactually change its answer and this will remain consistent with the evidence e.
(A technica"&amp;"lity on the second point: we’ll never be able to counterfactually change a factor to a value that is never found in the evidence; this is fine and doesn’t prevent things from being independent.)
Time for an example! Consider the set S = {000, 001, 010, 0"&amp;"11, 100, 101, 110, 111} and the factorization {X, Y, Z}, where X is the question “what is the first bit”, Y is the question “what is the second bit”, and Z is the question “what is the third bit”. Consider the question Q = “when interpreted as a binary nu"&amp;"mber, is the number &gt;= 2?” In this case, the history of Q given no evidence is {X, Y} because you can determine the answer to Q with the combination of X and Y. (You can still counterfact on anything, since there is no evidence to be inconsistent with.)
"&amp;"Let’s consider an example with evidence. Suppose we observe that all the bits are equal, that is, e = {000, 111}. Now, what is the history of X? If there wasn’t any evidence, the history would just be {X}; you only need to know X in order to determine the"&amp;" value of X. However, suppose we learned that X = 0, implying that our element is 000. We can’t counterfact on Y or Z, since that would produce 010 or 001, both of which are inconsistent with the evidence. So given this evidence, the history of X is actua"&amp;"lly {X, Y, Z}, i.e. the entire set of factors! If we’d only observed that the first two bits were equal, so e = {000, 001, 110, 111}, then we _could_ counterfact on Z and the history of X would be {X, Y}.
(Should you want more examples, here are two [rel"&amp;"evant](https://www.alignmentforum.org/posts/qGjCt4Xq83MBaygPx/a-simple-example-of-conditional-orthogonality-in-finite) [posts](https://www.alignmentforum.org/posts/GFGNwCwkffBevyXR2/a-second-example-of-conditional-orthogonality-in-finite).)
Given this no"&amp;"tion of “history”, it is easy to define orthogonality: X is orthogonal to Y given evidence e if the history of X given e has no overlap with the history of Y given e. Intuitively, this means that the factors relevant to X are completely separate from thos"&amp;"e relevant to Y, and so there cannot be any entanglement between X and Y. For a _question_ Z, we say that X is orthogonal to Y given Z if X is orthogonal to Y given z, for every possible answer z in Z.
Now that we have defined orthogonality, we can state"&amp;" the _Fundamental Theorem of Finite Factored Sets_. Given some questions X, Y, and Z about a finite factored set F, X is orthogonal to Y given Z if and only if in every probability distribution on F, X is conditionally independent of Y given Z, that is, P"&amp;"(X, Y | Z) = P(X | Z) * P(Y | Z).
(I haven’t told you how you put a probability distribution on F. It’s exactly what you would think -- you assign a probability to every possible answer in every factor, and then the probability of an individual element i"&amp;"s defined to be the product of the probabilities of its answers across all the factors.)
(I also haven’t given you any intuition about why this theorem holds. Unfortunately I don’t have great intuition for this; the proof has multiple non-trivial steps, "&amp;"each of which I locally understand and have intuition for... but globally it’s just a sequence of non-trivial steps to me. Here’s an attempt, which isn’t very good: we specifically defined orthogonality to capture *all* the relevant information for a ques"&amp;"tion, in particular by having that second condition requiring that we be able to counterfact on other factors, and so it intuitively makes sense that if the relevant information doesn’t overlap, then there can’t be a way for the probability distribution t"&amp;"o have interactions between the variables.)
The fundamental theorem is in some sense a _justification_ for calling the property “orthogonality” -- if we determine just by studying the structure of the finite factored set that X is orthogonal to Y given Z"&amp;", then we know that this implies conditional independence in the “true” probability distribution, whatever it ends up being. Pearlian models have a similar theorem, where the graphical property of d-separation implies conditional independence.
## Foundat"&amp;"ions of causality and time
You might be wondering why we have been calling the minimal set of relevant factors “history”. The core philosophical idea is that, if you have the right factorization, then “time” or “causality” can be thought of as flowing in"&amp;" the direction of larger histories. Specifically, we say that X is “before” Y if the history of X is a subset of the history of Y. (We then call it “history” because every factor in the history of X will be “before” X by this definition.)
One intuition p"&amp;"ump for this is that in physics, if an event A causes an event B, then the past light cone of A is a subset of the past light cone of B, and A happens before B in every possible reference frame.
But perhaps the best argument for thinking of this as causa"&amp;"lity is that we can actually use this notion of “time” or “causality” to perform causal inference. Before I talk about that, let’s see what this looks like in Pearlian models.
Strictly speaking, in Pearlian models, the edges do not _have_ to correspond t"&amp;"o causality: formally they only represent conditional independence assumptions on a probability distribution. However, consider the following Cool Fact: for some Pearlian models, if you have observational data that is generated from that model, you can re"&amp;"cover the exact graphical structure of the generating model just by looking at the observational data. In this case, you really are inferring cause-and-effect relationships from observational data! (In the general case where the data is generated by an ar"&amp;"bitrary model, you can recover a lot of the structure of the model but be uncertain about the direction of some of the edges, so you are still doing _some_ causal inference from observational data.)
We will do something similar: we’ll use our notion of “"&amp;"before” to perform causal inference given observational data.
## Temporal inference: the three dependent bits
You are given statistical (i.e. observational) data for three bits: X, Y and Z. You quickly notice that it is always the case that Z = X xor Y "&amp;"(which implies that X = Y xor Z, and Y = Z xor X). Clearly, there are only two independent bits here and the other bit is derived as the xor of the two independent bits. From the raw statistical data, can you tell which bits are the independent ones, and "&amp;"which one is the derived one, thus inferring which one was _caused_ by the other two? It turns out that you can!
Specifically, you want to look for which two bits are _orthogonal_ to each other, that is, you want to check whether we approximately have P("&amp;"X, Y) = P(X) P(Y) (and similarly for other possible pairings). In the world where two of the bits were generated by a biased coin, you will find exactly one pair that is orthogonal in this way. (The case where the bits are generated by a fair coin is spec"&amp;"ial; the argument won’t work there, but it’s in some sense “accidental” and happens because the probability of 0.5 is very special.)
Let’s suppose that the orthogonal pair was (X, Z). In this case, we can _prove_ that in _every_ finite factored set that "&amp;"models this situation, X and Z come “before” Y, i.e. their histories are strict subsets of Y’s history. Thus, we’ve inferred causality using only observational data! (And unlike with Pearlian models, we did this in a case where one “variable” was a determ"&amp;"inistic function of two other “variables”, which is a type of situation that Pearlian models struggle to handle.)
## Future work
Remember that motivation section, a couple thousand words ago? We talked about how we can do causal inference with learned f"&amp;"eaturizations and apply it to embedded agency. Well, we actually haven’t done that yet, beyond a few examples of causal inference (as in the example above). There is a lot of future work to be done in applying it to the case that motivated it in the first"&amp;" place. The author wrote up potential future work [here](https://www.alignmentforum.org/s/kxs3eeEti9ouwWFzr/p/yGFiw23pJ32obgLbw), which has categories for both causal inference and embedded agency, and also adds a third one: generalizing the theory to inf"&amp;"inite sets. If you are interested in this framework, there are many avenues for pushing it forward.
")</f>
        <v>This newsletter is a combined summary + opinion for the [Finite Factored Sets sequence](https://www.alignmentforum.org/s/kxs3eeEti9ouwWFzr) by Scott Garrabrant. I (Rohin) have taken a lot more liberty than I usually do with the interpretation of the results; Scott may or may not agree with these interpretations.
## Motivation
One view on the importance of deep learning is that it allows you to automatically _learn_ the features that are relevant for some task of interest. Instead of having to handcraft features using domain knowledge, we simply point a neural net at an appropriate dataset and it figures out the right features. Arguably this is the _majority_ of what makes up intelligent cognition; in humans it seems very analogous to [System 1](https://en.wikipedia.org/wiki/Thinking,_Fast_and_Slow), which we use for most decisions and actions. We are also able to infer causal relations between the resulting features.
Unfortunately, [existing models](https://en.wikipedia.org/wiki/The_Book_of_Why) of causal inference don’t model these learned features -- they instead assume that the features are already given to you. Finite Factored Sets (FFS) provide a theory which can talk directly about different possible ways to featurize the space of outcomes and still allows you to perform causal inference. This sequence develops this underlying theory and demonstrates a few examples of using finite factored sets to perform causal inference given only observational data.
Another application is to &lt;@embedded agency@&gt;(@Embedded Agents@): we would like to think of “agency” as a way to featurize the world into an “agent” feature and an “environment” feature, that together interact to determine the world. In &lt;@Cartesian Frames@&gt;, we worked with a function A × E → W, where pairs of (agent, environment) together determined the world. In the finite factored set regime, we’ll think of A and E as features, the space S = A × E as the set of possible feature vectors, and S → W as the mapping from feature vectors to actual world states.
## What is a finite factored set?
Generalizing this idea to apply more broadly, we will assume that there is a set of possible worlds Ω, a set S of arbitrary elements (which we will eventually interpret as feature vectors), and a function f : S → Ω that maps feature vectors to world states. Our goal is to have some notion of “features” of elements of S. Normally, when working with sets, we identify a feature value with the set of elements that have that value. For example, we can identify “red” as the set of all red objects, and in [some versions of mathematics](https://en.wikipedia.org/wiki/Set-theoretic_definition_of_natural_numbers#Frege_and_Russell), we define “2” to be the class of all sets that have exactly two elements. So, we define a feature to be a _partition_ of S into subsets, where each subset corresponds to one of the possible feature values. We can also interpret a feature as a _question_ about items in S, and the values as possible _answers_ to that question; I’ll be using that terminology going forward.
A finite factored set is then given by (S, B), where B is a set of **factors** (questions), such that if you choose a particular answer to every question, that uniquely determines an element in S (and vice versa). We’ll put aside the set of possible worlds Ω; for now we’re just going to focus on the theory of these (S, B) pairs.
Let’s look at a contrived example. Consider S = {chai, caesar salad, lasagna, lava cake, sprite, strawberry sorbet}. Here are some possible questions for this S:
- **FoodType**: Possible answers are Drink = {chai, sprite}, Dessert = {lava cake, strawberry sorbet}, Savory = {caesar salad, lasagna}
- **Temperature**: Possible answers are Hot = {chai, lava cake, lasagna} and Cold = {sprite, strawberry sorbet, caesar salad}.
- **StartingLetter**: Possible answers are “C” = {chai, caesar salad}, “L” = {lasagna, lava cake}, and “S” = {sprite, strawberry sorbet}.
- **NumberOfWords**: Possible answers are “1” = {chai, lasagna, sprite} and “2” = {caesar salad, lava cake, strawberry sorbet}.
Given these questions, we could factor S into {FoodType, Temperature}, or {StartingLetter, NumberOfWords}. We _cannot_ factor it into, say, {StartingLetter, Temperature}, because if we set StartingLetter = L and Temperature = Hot, that does not uniquely determine an element in S (it could be either lava cake or lasagna).
Which of the two factorizations should we use? We’re not going to delve too deeply into this question, but you could imagine that if you were interested in questions like “does this need to be put in a glass” you might be more interested in the {FoodType, Temperature} factorization.
Just to appreciate the castle of abstractions we’ve built, here’s the finite factored set F with the factorization {FoodType, Temperature}:
F = ({chai, caesar salad, lasagna, lava cake, sprite, strawberry sorbet}, {{{chai, sprite}, {lava cake, strawberry sorbet}, {caesar salad, lasagna}}, {{chai, lava cake, lasagna}, {sprite, strawberry sorbet, caesar salad}}})
To keep it all straight, just remember: a **factorization** B is a set of **questions** (factors, partitions) each of which is a set of **possible answers** (parts), each of which is a set of elements in S.
## A brief interlude
Some objections you might have about stuff we’ve talked about so far:
**Q.** Why do we bother with the set S -- couldn’t we just have the set of questions B, and then talk about answer vectors of the form (a1, a2, … aN)?
**A.** You could in theory do this, as there is a bijection between S and the Cartesian product of the sets in B. However, the problem with this framing is that it is hard to talk about other derived features. For example, the question “what is the value of B1+B2” has no easy description in this framing. When we instead directly work with S, the B1+B2 question is just another partition of S, just like B1 or B2 individually.
**Q.** Why does f map S to Ω? Doesn’t this mean that a feature vector uniquely determines a world state, whereas it’s usually the opposite in machine learning?
**A.** This is true, but here the idea is that the set of features together captures _all_ the information within the setting we are considering. You could think of feature vectors in deep learning as only capturing an important subset of all of the features (which we’d have to do in practice since we only have bounded computation), and those features are not enough to determine world states.
## Orthogonality in Finite Factored Sets
We’re eventually going to use finite factored sets similarly to Pearlian causal models: to infer which questions (random variables) are conditionally independent of each other. However, our analysis will apply to arbitrary questions, unlike Pearlian models, which can only talk about independence between the predefined variables from which the causal model is built.
Just like Pearl, we will talk about _conditioning on evidence_: given evidence e, a subset of S, we can “observe” that we are within e. In the formal setup, this looks like erasing all elements that are not in e from all questions, answers, factors, etc.
You might think that "factors" are not analogous to nodes or random variables in a Pearlian model. However, this isn't right, since we’re going to assume that all of our factors are &lt;em&gt;independent&lt;/em&gt; from each other, which is usually not the case in a Pearlian model. For example, you might have a Pearlian model with two binary variables, e.g. “Variable Rain causes Variable Wet Sidewalk”; these are obviously not independent. The corresponding finite factored set would have _three_ factors: “did it rain?”, “if it rained did the sidewalk get wet?” and “if it didn’t rain did the sidewalk get wet?” This way all three factors can be independent of each other. We will still be able to ask whether Wet Sidewalk is independent of Rain, since Wet Sidewalk is just another question about the set S -- it just isn’t one of the underlying factors anymore.
The point of this independence is to allow us to reason about _counterfactuals_: it should be possible to say “imagine the element s, except with underlying factor b2 changed to have value v”. As a result, our definitions will include clauses that say “and make sure we can still take counterfactuals”. For example, let’s talk about the “history” of a question X, which for now you can think of as the “factors relevant to X”. The _history_ of X given e is the smallest set of factors such that:
1) if you know the answers to these factors, then you can infer the answer to X, and
2) any factors that are _not_ in the history are independent of X. As suggested above, we can think of this as being about counterfactuals -- we’re saying that for any such factor, we can counterfactually change its answer and this will remain consistent with the evidence e.
(A technicality on the second point: we’ll never be able to counterfactually change a factor to a value that is never found in the evidence; this is fine and doesn’t prevent things from being independent.)
Time for an example! Consider the set S = {000, 001, 010, 011, 100, 101, 110, 111} and the factorization {X, Y, Z}, where X is the question “what is the first bit”, Y is the question “what is the second bit”, and Z is the question “what is the third bit”. Consider the question Q = “when interpreted as a binary number, is the number &gt;= 2?” In this case, the history of Q given no evidence is {X, Y} because you can determine the answer to Q with the combination of X and Y. (You can still counterfact on anything, since there is no evidence to be inconsistent with.)
Let’s consider an example with evidence. Suppose we observe that all the bits are equal, that is, e = {000, 111}. Now, what is the history of X? If there wasn’t any evidence, the history would just be {X}; you only need to know X in order to determine the value of X. However, suppose we learned that X = 0, implying that our element is 000. We can’t counterfact on Y or Z, since that would produce 010 or 001, both of which are inconsistent with the evidence. So given this evidence, the history of X is actually {X, Y, Z}, i.e. the entire set of factors! If we’d only observed that the first two bits were equal, so e = {000, 001, 110, 111}, then we _could_ counterfact on Z and the history of X would be {X, Y}.
(Should you want more examples, here are two [relevant](https://www.alignmentforum.org/posts/qGjCt4Xq83MBaygPx/a-simple-example-of-conditional-orthogonality-in-finite) [posts](https://www.alignmentforum.org/posts/GFGNwCwkffBevyXR2/a-second-example-of-conditional-orthogonality-in-finite).)
Given this notion of “history”, it is easy to define orthogonality: X is orthogonal to Y given evidence e if the history of X given e has no overlap with the history of Y given e. Intuitively, this means that the factors relevant to X are completely separate from those relevant to Y, and so there cannot be any entanglement between X and Y. For a _question_ Z, we say that X is orthogonal to Y given Z if X is orthogonal to Y given z, for every possible answer z in Z.
Now that we have defined orthogonality, we can state the _Fundamental Theorem of Finite Factored Sets_. Given some questions X, Y, and Z about a finite factored set F, X is orthogonal to Y given Z if and only if in every probability distribution on F, X is conditionally independent of Y given Z, that is, P(X, Y | Z) = P(X | Z) * P(Y | Z).
(I haven’t told you how you put a probability distribution on F. It’s exactly what you would think -- you assign a probability to every possible answer in every factor, and then the probability of an individual element is defined to be the product of the probabilities of its answers across all the factors.)
(I also haven’t given you any intuition about why this theorem holds. Unfortunately I don’t have great intuition for this; the proof has multiple non-trivial steps, each of which I locally understand and have intuition for... but globally it’s just a sequence of non-trivial steps to me. Here’s an attempt, which isn’t very good: we specifically defined orthogonality to capture *all* the relevant information for a question, in particular by having that second condition requiring that we be able to counterfact on other factors, and so it intuitively makes sense that if the relevant information doesn’t overlap, then there can’t be a way for the probability distribution to have interactions between the variables.)
The fundamental theorem is in some sense a _justification_ for calling the property “orthogonality” -- if we determine just by studying the structure of the finite factored set that X is orthogonal to Y given Z, then we know that this implies conditional independence in the “true” probability distribution, whatever it ends up being. Pearlian models have a similar theorem, where the graphical property of d-separation implies conditional independence.
## Foundations of causality and time
You might be wondering why we have been calling the minimal set of relevant factors “history”. The core philosophical idea is that, if you have the right factorization, then “time” or “causality” can be thought of as flowing in the direction of larger histories. Specifically, we say that X is “before” Y if the history of X is a subset of the history of Y. (We then call it “history” because every factor in the history of X will be “before” X by this definition.)
One intuition pump for this is that in physics, if an event A causes an event B, then the past light cone of A is a subset of the past light cone of B, and A happens before B in every possible reference frame.
But perhaps the best argument for thinking of this as causality is that we can actually use this notion of “time” or “causality” to perform causal inference. Before I talk about that, let’s see what this looks like in Pearlian models.
Strictly speaking, in Pearlian models, the edges do not _have_ to correspond to causality: formally they only represent conditional independence assumptions on a probability distribution. However, consider the following Cool Fact: for some Pearlian models, if you have observational data that is generated from that model, you can recover the exact graphical structure of the generating model just by looking at the observational data. In this case, you really are inferring cause-and-effect relationships from observational data! (In the general case where the data is generated by an arbitrary model, you can recover a lot of the structure of the model but be uncertain about the direction of some of the edges, so you are still doing _some_ causal inference from observational data.)
We will do something similar: we’ll use our notion of “before” to perform causal inference given observational data.
## Temporal inference: the three dependent bits
You are given statistical (i.e. observational) data for three bits: X, Y and Z. You quickly notice that it is always the case that Z = X xor Y (which implies that X = Y xor Z, and Y = Z xor X). Clearly, there are only two independent bits here and the other bit is derived as the xor of the two independent bits. From the raw statistical data, can you tell which bits are the independent ones, and which one is the derived one, thus inferring which one was _caused_ by the other two? It turns out that you can!
Specifically, you want to look for which two bits are _orthogonal_ to each other, that is, you want to check whether we approximately have P(X, Y) = P(X) P(Y) (and similarly for other possible pairings). In the world where two of the bits were generated by a biased coin, you will find exactly one pair that is orthogonal in this way. (The case where the bits are generated by a fair coin is special; the argument won’t work there, but it’s in some sense “accidental” and happens because the probability of 0.5 is very special.)
Let’s suppose that the orthogonal pair was (X, Z). In this case, we can _prove_ that in _every_ finite factored set that models this situation, X and Z come “before” Y, i.e. their histories are strict subsets of Y’s history. Thus, we’ve inferred causality using only observational data! (And unlike with Pearlian models, we did this in a case where one “variable” was a deterministic function of two other “variables”, which is a type of situation that Pearlian models struggle to handle.)
## Future work
Remember that motivation section, a couple thousand words ago? We talked about how we can do causal inference with learned featurizations and apply it to embedded agency. Well, we actually haven’t done that yet, beyond a few examples of causal inference (as in the example above). There is a lot of future work to be done in applying it to the case that motivated it in the first place. The author wrote up potential future work [here](https://www.alignmentforum.org/s/kxs3eeEti9ouwWFzr/p/yGFiw23pJ32obgLbw), which has categories for both causal inference and embedded agency, and also adds a third one: generalizing the theory to infinite sets. If you are interested in this framework, there are many avenues for pushing it forward.
</v>
      </c>
    </row>
    <row r="58">
      <c r="A58" s="1" t="str">
        <f>IFERROR(__xludf.DUMMYFUNCTION("""COMPUTED_VALUE"""),"Agent foundations")</f>
        <v>Agent foundations</v>
      </c>
      <c r="B58" s="1" t="str">
        <f>IFERROR(__xludf.DUMMYFUNCTION("""COMPUTED_VALUE"""),"Highlight")</f>
        <v>Highlight</v>
      </c>
      <c r="C58" s="2" t="str">
        <f>IFERROR(__xludf.DUMMYFUNCTION("""COMPUTED_VALUE"""),"Infra-Bayesianism sequence")</f>
        <v>Infra-Bayesianism sequence</v>
      </c>
      <c r="D58" s="1" t="str">
        <f>IFERROR(__xludf.DUMMYFUNCTION("""COMPUTED_VALUE"""),"Diffractor and Vanessa Kosoy")</f>
        <v>Diffractor and Vanessa Kosoy</v>
      </c>
      <c r="E58" s="1" t="str">
        <f>IFERROR(__xludf.DUMMYFUNCTION("""COMPUTED_VALUE"""),"Alignment Forum")</f>
        <v>Alignment Forum</v>
      </c>
      <c r="F58" s="1">
        <f>IFERROR(__xludf.DUMMYFUNCTION("""COMPUTED_VALUE"""),2020.0)</f>
        <v>2020</v>
      </c>
      <c r="G58" s="1"/>
      <c r="H58" s="2" t="str">
        <f>IFERROR(__xludf.DUMMYFUNCTION("""COMPUTED_VALUE"""),"AN #143")</f>
        <v>AN #143</v>
      </c>
      <c r="I58" s="1" t="str">
        <f>IFERROR(__xludf.DUMMYFUNCTION("""COMPUTED_VALUE"""),"Rohin")</f>
        <v>Rohin</v>
      </c>
      <c r="J58" s="1" t="str">
        <f>IFERROR(__xludf.DUMMYFUNCTION("""COMPUTED_VALUE"""),"I have finally understood this sequence enough to write a summary about it, thanks to [AXRP Episode 5](https://www.alignmentforum.org/posts/FkMPXiomjGBjMfosg/axrp-episode-5-infra-bayesianism-with-vanessa-kosoy). Think of this as a combined summary + highl"&amp;"ight of the sequence and the podcast episode.
The central problem of &lt;@embedded agency@&gt;(@Embedded Agents@) is that there is no clean separation between an agent and its environment: rather, the agent is _embedded_ in its environment, and so when reasoni"&amp;"ng about the environment it is reasoning about an entity that is “bigger” than it (and in particular, an entity that _contains_ it). We don’t have a good formalism that can account for this sort of reasoning. The standard Bayesian account requires the age"&amp;"nt to have a space of precise hypotheses for the environment, but then the true hypothesis would also include a precise model of the agent itself, and it is usually not possible to have an agent contain a perfect model of itself.
A natural idea is to red"&amp;"uce the precision of hypotheses. Rather than requiring a hypothesis to assign a probability to every possible sequence of bits, we now allow the hypotheses to say “I have no clue about this aspect of this part of the environment, but I can assign probabil"&amp;"ities to the rest of the environment”. The agent can then limit itself to hypotheses that don’t make predictions about the part of the environment that corresponds to the agent, but do make predictions about other parts of the environment.
Another way to"&amp;" think about it is that it allows you to start from the default of “I know nothing about the environment”, and then add in details that you do know to get an object that encodes the easily computable properties of the environment you can exploit, while no"&amp;"t making any commitments about the rest of the environment.
Of course, so far this is just the idea of using [Knightian uncertainty](https://en.wikipedia.org/wiki/Knightian_uncertainty). The contribution of infra-Bayesianism is to show how to formally sp"&amp;"ecify a decision procedure that uses Knightian uncertainty while still satisfying many properties we would like a decision procedure to satisfy. You can thus think of it as an extension of the standard Bayesian account of decision-making to the setting in"&amp;" which the agent cannot represent the true environment as a hypothesis over which it can reason.
Imagine that, instead of having a probability distribution over hypotheses, we instead have two “levels”: first are all the properties we have Knightian unce"&amp;"rtainty over, and then are all the properties we can reason about. For example, imagine that the environment is an infinite sequence of bits and we want to say that all the even bits come from flips of a possibly biased coin, but we know nothing about the"&amp;" odd coin flips. Then, at the top level, we have a separate branch for each possible setting of the odd coin flips. At the second level, we have a separate branch for each possible bias of the coin. At the leaves, we have the hypothesis “the odd bits are "&amp;"as set by the top level, and the even bits are generated from coin flips with the bias set by the second level”.
(Yes, there are lots of infinite quantities in this example, so you couldn’t implement it the way I’m describing it here. An actual implement"&amp;"ation would not represent the top level explicitly and would use computable functions to represent the bottom level. We’re not going to worry about this for now.)
If we were using orthodox Bayesianism, we would put a probability distribution over the top"&amp;" level, and a probability distribution over the bottom level. You could then multiply that out to get a single probability distribution over the hypotheses, which is why we don’t do this separation into two levels in orthodox Bayesianism. (Also, just to r"&amp;"eiterate, the _whole point_ is that we can’t put a probability distribution at the top level, since that implies e.g. making precise predictions about an environment that is bigger than you are.)
Infra-Bayesianism says, “what if we just… don't put a prob"&amp;"ability distribution over the top level?” Instead, we have a set of probability distributions over hypotheses, and Knightian uncertainty over which distribution in this set is the right one. A common suggestion for Knightian uncertainty is to do _worst-ca"&amp;"se_ reasoning, so that’s what we’ll do at the top level. Lots of problems immediately crop up, but it turns out we can fix them.
First, let’s say your top level consists of two distributions over hypotheses, A and B. You then observe some evidence E, whi"&amp;"ch A thought was 50% likely and B thought was 1% likely. Intuitively, you want to say that this makes A “more likely” relative to B than we previously thought. But how can you do this if you have Knightian uncertainty and are just planning to do worst-cas"&amp;"e reasoning over A and B? The solution here is to work with _unnormalized_ probability distributions at the second level. Then, in the case above, we can just scale the “probabilities” in both A and B by the likelihood assigned to E. We _don’t_ normalize "&amp;"A and B after doing this scaling.
But now what exactly do the numbers mean if we’re going to leave these distributions unnormalized? Regular probabilities only really make sense if they sum to 1. We can take a different view on what a “probability distri"&amp;"bution” is -- instead of treating it as an object that tells you how _likely_ various hypotheses are, treat it as an object that tells you how much we _care_ about particular hypotheses. (See [related](https://www.lesswrong.com/posts/J7Gkz8aDxxSEQKXTN/wha"&amp;"t-are-probabilities-anyway) &lt;@posts@&gt;(@An Orthodox Case Against Utility Functions@).) So scaling down the “probability” of a hypothesis just means that we care less about what that hypothesis “wants” us to do.
This would be enough if we were going to tak"&amp;"e an average over A and B to make our final decision. However, our plan is to do worst-case reasoning at the top level. This interacts horribly with our current proposal: when we scale hypotheses in A by 0.5 on average, and hypotheses in B by 0.01 on aver"&amp;"age, the minimization at the top level is going to place _more_ weight on B, since B is now _more_ likely to be the worst case. Surely this is wrong?
What’s happening here is that B gets most of its expected utility in worlds where we observe different e"&amp;"vidence, but the worst-case reasoning at the top level doesn’t take this into account. Before we update, since B assigned 1% to E, the expected utility of B is given by 0.99 * expected utility given not-E + 0.01 * expected utility given E. After the updat"&amp;"e, the second part remains but the first part disappears, which makes the worst-case reasoning wonky. So what we do is we keep track of the first part as well and make sure that our worst-case reasoning takes it into account.
This gives us **infradistrib"&amp;"utions**: sets of (m, b) pairs, where m is an unnormalized probability distribution and b corresponds to “the value we would have gotten if we had seen different evidence”. When we observe some evidence E, the hypotheses within m are scaled by the likelih"&amp;"ood they assign to E, and b is updated to include the value we would have gotten in the world where we saw anything other than E. Note that it is important to specify the utility function for this to make sense, as otherwise it is not clear how to update "&amp;"b. To compute utilities for decision-making, we do worst-case reasoning over the (m, b) pairs, where we use standard expected values within each m. We can prove that this update rule satisfies _dynamic consistency_: if initially you believe “if I see X, t"&amp;"hen I want to do Y”, then after seeing X, you believe “I want to do Y”.
So what can we do with infradistributions? Our original motivation was to talk about embedded agency, so a natural place to start is with decision-theory problems in which the enviro"&amp;"nment contains a perfect predictor of the agent, such as in Newcomb’s problem. Unfortunately, we can’t immediately write this down with infradistributions because we have no way of (easily) formally representing “the environment perfectly predicts my acti"&amp;"ons”. One trick we can use is to consider hypotheses in which the environment just spits out some action, without the constraint that it must match the agent’s action. We then modify the utility function to give infinite utility when the prediction is inc"&amp;"orrect. Since we do worst-case reasoning, the agent will effectively act as though this situation is impossible. With this trick, infra-Bayesianism performs similarly to UDT on a variety of challenging decision problems.")</f>
        <v>I have finally understood this sequence enough to write a summary about it, thanks to [AXRP Episode 5](https://www.alignmentforum.org/posts/FkMPXiomjGBjMfosg/axrp-episode-5-infra-bayesianism-with-vanessa-kosoy). Think of this as a combined summary + highlight of the sequence and the podcast episode.
The central problem of &lt;@embedded agency@&gt;(@Embedded Agents@) is that there is no clean separation between an agent and its environment: rather, the agent is _embedded_ in its environment, and so when reasoning about the environment it is reasoning about an entity that is “bigger” than it (and in particular, an entity that _contains_ it). We don’t have a good formalism that can account for this sort of reasoning. The standard Bayesian account requires the agent to have a space of precise hypotheses for the environment, but then the true hypothesis would also include a precise model of the agent itself, and it is usually not possible to have an agent contain a perfect model of itself.
A natural idea is to reduce the precision of hypotheses. Rather than requiring a hypothesis to assign a probability to every possible sequence of bits, we now allow the hypotheses to say “I have no clue about this aspect of this part of the environment, but I can assign probabilities to the rest of the environment”. The agent can then limit itself to hypotheses that don’t make predictions about the part of the environment that corresponds to the agent, but do make predictions about other parts of the environment.
Another way to think about it is that it allows you to start from the default of “I know nothing about the environment”, and then add in details that you do know to get an object that encodes the easily computable properties of the environment you can exploit, while not making any commitments about the rest of the environment.
Of course, so far this is just the idea of using [Knightian uncertainty](https://en.wikipedia.org/wiki/Knightian_uncertainty). The contribution of infra-Bayesianism is to show how to formally specify a decision procedure that uses Knightian uncertainty while still satisfying many properties we would like a decision procedure to satisfy. You can thus think of it as an extension of the standard Bayesian account of decision-making to the setting in which the agent cannot represent the true environment as a hypothesis over which it can reason.
Imagine that, instead of having a probability distribution over hypotheses, we instead have two “levels”: first are all the properties we have Knightian uncertainty over, and then are all the properties we can reason about. For example, imagine that the environment is an infinite sequence of bits and we want to say that all the even bits come from flips of a possibly biased coin, but we know nothing about the odd coin flips. Then, at the top level, we have a separate branch for each possible setting of the odd coin flips. At the second level, we have a separate branch for each possible bias of the coin. At the leaves, we have the hypothesis “the odd bits are as set by the top level, and the even bits are generated from coin flips with the bias set by the second level”.
(Yes, there are lots of infinite quantities in this example, so you couldn’t implement it the way I’m describing it here. An actual implementation would not represent the top level explicitly and would use computable functions to represent the bottom level. We’re not going to worry about this for now.)
If we were using orthodox Bayesianism, we would put a probability distribution over the top level, and a probability distribution over the bottom level. You could then multiply that out to get a single probability distribution over the hypotheses, which is why we don’t do this separation into two levels in orthodox Bayesianism. (Also, just to reiterate, the _whole point_ is that we can’t put a probability distribution at the top level, since that implies e.g. making precise predictions about an environment that is bigger than you are.)
Infra-Bayesianism says, “what if we just… don't put a probability distribution over the top level?” Instead, we have a set of probability distributions over hypotheses, and Knightian uncertainty over which distribution in this set is the right one. A common suggestion for Knightian uncertainty is to do _worst-case_ reasoning, so that’s what we’ll do at the top level. Lots of problems immediately crop up, but it turns out we can fix them.
First, let’s say your top level consists of two distributions over hypotheses, A and B. You then observe some evidence E, which A thought was 50% likely and B thought was 1% likely. Intuitively, you want to say that this makes A “more likely” relative to B than we previously thought. But how can you do this if you have Knightian uncertainty and are just planning to do worst-case reasoning over A and B? The solution here is to work with _unnormalized_ probability distributions at the second level. Then, in the case above, we can just scale the “probabilities” in both A and B by the likelihood assigned to E. We _don’t_ normalize A and B after doing this scaling.
But now what exactly do the numbers mean if we’re going to leave these distributions unnormalized? Regular probabilities only really make sense if they sum to 1. We can take a different view on what a “probability distribution” is -- instead of treating it as an object that tells you how _likely_ various hypotheses are, treat it as an object that tells you how much we _care_ about particular hypotheses. (See [related](https://www.lesswrong.com/posts/J7Gkz8aDxxSEQKXTN/what-are-probabilities-anyway) &lt;@posts@&gt;(@An Orthodox Case Against Utility Functions@).) So scaling down the “probability” of a hypothesis just means that we care less about what that hypothesis “wants” us to do.
This would be enough if we were going to take an average over A and B to make our final decision. However, our plan is to do worst-case reasoning at the top level. This interacts horribly with our current proposal: when we scale hypotheses in A by 0.5 on average, and hypotheses in B by 0.01 on average, the minimization at the top level is going to place _more_ weight on B, since B is now _more_ likely to be the worst case. Surely this is wrong?
What’s happening here is that B gets most of its expected utility in worlds where we observe different evidence, but the worst-case reasoning at the top level doesn’t take this into account. Before we update, since B assigned 1% to E, the expected utility of B is given by 0.99 * expected utility given not-E + 0.01 * expected utility given E. After the update, the second part remains but the first part disappears, which makes the worst-case reasoning wonky. So what we do is we keep track of the first part as well and make sure that our worst-case reasoning takes it into account.
This gives us **infradistributions**: sets of (m, b) pairs, where m is an unnormalized probability distribution and b corresponds to “the value we would have gotten if we had seen different evidence”. When we observe some evidence E, the hypotheses within m are scaled by the likelihood they assign to E, and b is updated to include the value we would have gotten in the world where we saw anything other than E. Note that it is important to specify the utility function for this to make sense, as otherwise it is not clear how to update b. To compute utilities for decision-making, we do worst-case reasoning over the (m, b) pairs, where we use standard expected values within each m. We can prove that this update rule satisfies _dynamic consistency_: if initially you believe “if I see X, then I want to do Y”, then after seeing X, you believe “I want to do Y”.
So what can we do with infradistributions? Our original motivation was to talk about embedded agency, so a natural place to start is with decision-theory problems in which the environment contains a perfect predictor of the agent, such as in Newcomb’s problem. Unfortunately, we can’t immediately write this down with infradistributions because we have no way of (easily) formally representing “the environment perfectly predicts my actions”. One trick we can use is to consider hypotheses in which the environment just spits out some action, without the constraint that it must match the agent’s action. We then modify the utility function to give infinite utility when the prediction is incorrect. Since we do worst-case reasoning, the agent will effectively act as though this situation is impossible. With this trick, infra-Bayesianism performs similarly to UDT on a variety of challenging decision problems.</v>
      </c>
      <c r="K58" t="str">
        <f>IFERROR(__xludf.DUMMYFUNCTION("""COMPUTED_VALUE"""),"This seems pretty cool, though I don’t understand it that well yet. While I don’t yet feel like I have a better philosophical understanding of embedded agency (or its subproblems), I do think this is significant progress along that path.
In particular, o"&amp;"ne thing that feels a bit odd to me is the choice of worst-case reasoning for the top level -- I don’t really see anything that _forces_ that to be the case. As far as I can tell, we could get all the same results by using best-case reasoning instead (ass"&amp;"uming we modified the other aspects appropriately). The obvious justification for worst-case reasoning is that it is a form of risk aversion, but it doesn’t feel like that is really sufficient -- risk aversion in humans is pretty different from literal wo"&amp;"rst-case reasoning, and also none of the results in the post seem to depend on risk aversion.
I wonder whether the important thing is just that we don’t do expected value reasoning at the top level, and there are in fact a wide variety of other kinds of "&amp;"decision rules that we could use that could all work. If so, it seems interesting to characterize what makes some rules work while others don’t. I suspect that would be a more philosophically satisfying answer to “how should agents reason about environmen"&amp;"ts that are bigger than them”.")</f>
        <v>This seems pretty cool, though I don’t understand it that well yet. While I don’t yet feel like I have a better philosophical understanding of embedded agency (or its subproblems), I do think this is significant progress along that path.
In particular, one thing that feels a bit odd to me is the choice of worst-case reasoning for the top level -- I don’t really see anything that _forces_ that to be the case. As far as I can tell, we could get all the same results by using best-case reasoning instead (assuming we modified the other aspects appropriately). The obvious justification for worst-case reasoning is that it is a form of risk aversion, but it doesn’t feel like that is really sufficient -- risk aversion in humans is pretty different from literal worst-case reasoning, and also none of the results in the post seem to depend on risk aversion.
I wonder whether the important thing is just that we don’t do expected value reasoning at the top level, and there are in fact a wide variety of other kinds of decision rules that we could use that could all work. If so, it seems interesting to characterize what makes some rules work while others don’t. I suspect that would be a more philosophically satisfying answer to “how should agents reason about environments that are bigger than them”.</v>
      </c>
      <c r="M58" s="3" t="str">
        <f>IFERROR(__xludf.DUMMYFUNCTION("""COMPUTED_VALUE"""),"AXRP Episode 5 - Infra-Bayesianism")</f>
        <v>AXRP Episode 5 - Infra-Bayesianism</v>
      </c>
    </row>
    <row r="59">
      <c r="A59" s="1" t="str">
        <f>IFERROR(__xludf.DUMMYFUNCTION("""COMPUTED_VALUE"""),"Agent foundations")</f>
        <v>Agent foundations</v>
      </c>
      <c r="B59" s="1" t="str">
        <f>IFERROR(__xludf.DUMMYFUNCTION("""COMPUTED_VALUE"""),"Highlight")</f>
        <v>Highlight</v>
      </c>
      <c r="C59" s="2" t="str">
        <f>IFERROR(__xludf.DUMMYFUNCTION("""COMPUTED_VALUE"""),"Cartesian Frames")</f>
        <v>Cartesian Frames</v>
      </c>
      <c r="D59" s="1" t="str">
        <f>IFERROR(__xludf.DUMMYFUNCTION("""COMPUTED_VALUE"""),"Scott Garrabrant")</f>
        <v>Scott Garrabrant</v>
      </c>
      <c r="E59" s="1" t="str">
        <f>IFERROR(__xludf.DUMMYFUNCTION("""COMPUTED_VALUE"""),"Alignment Forum")</f>
        <v>Alignment Forum</v>
      </c>
      <c r="F59" s="1">
        <f>IFERROR(__xludf.DUMMYFUNCTION("""COMPUTED_VALUE"""),2020.0)</f>
        <v>2020</v>
      </c>
      <c r="G59" s="1"/>
      <c r="H59" s="2" t="str">
        <f>IFERROR(__xludf.DUMMYFUNCTION("""COMPUTED_VALUE"""),"AN #127")</f>
        <v>AN #127</v>
      </c>
      <c r="I59" s="1" t="str">
        <f>IFERROR(__xludf.DUMMYFUNCTION("""COMPUTED_VALUE"""),"Rohin")</f>
        <v>Rohin</v>
      </c>
      <c r="J59" s="1" t="str">
        <f>IFERROR(__xludf.DUMMYFUNCTION("""COMPUTED_VALUE"""),"The &lt;@embedded agency sequence@&gt;(@Embedded Agents@) hammered in the fact that there is no clean, sharp dividing line between an agent and its environment. This sequence proposes an alternate formalism: Cartesian frames. Note this is a paradigm that helps "&amp;"us _think about agency_: you should not be expecting some novel result that, say, tells us how to look at a neural net and find agents within it.
The core idea is that rather than _assuming_ the existence of a Cartesian dividing line, we consider how suc"&amp;"h a dividing line could be _constructed_. For example, when we think of a sports team as an agent, the environment consists of the playing field and the other team; but we could also consider a specific player as an agent, in which case the environment co"&amp;"nsists of the rest of the players (on both teams) and the playing field. Each of these are valid ways of carving up what actually happens into an “agent” and an “environment”, they are _frames_ by which we can more easily understand what’s going on, hence"&amp;" the name “Cartesian frames”.
A Cartesian frame takes **choice** as fundamental: the agent is modeled as a set of options that it can freely choose between. This means that the formulation cannot be directly applied to deterministic physical laws. It ins"&amp;"tead models what agency looks like [“from the inside”](https://www.lesswrong.com/posts/yA4gF5KrboK2m2Xu7/how-an-algorithm-feels-from-inside). _If_ you are modeling a part of the world as capable of making choices, _then_ a Cartesian frame is appropriate t"&amp;"o use to understand the perspective of that choice-making entity.
Formally, a Cartesian frame consists of a set of agent options A, a set of environment options E, a set of possible worlds W, and an interaction function that, given an agent option and an"&amp;" environment option, specifies which world results. Intuitively, the agent can “choose” an agent option, the environment can “choose” an environment option, and together these produce some world. You might notice that we’re treating the agent and environm"&amp;"ent symmetrically; this is intentional, and means that we can define analogs of all of our agent notions for environments as well (though they may not have nice philosophical interpretations).
The full sequence uses a lot of category theory to define ope"&amp;"rations on these sorts of objects and show various properties of the objects and their operations. I will not be summarizing this here; instead, I will talk about their philosophical interpretations.
First, let’s look at an example of using a Cartesian f"&amp;"rame on something that isn’t typically thought of as an agent: the atmosphere, within the broader climate system. The atmosphere can “choose” whether to trap sunlight or not. Meanwhile, in the environment, either the ice sheets could melt or they could no"&amp;"t. If sunlight is trapped and the ice sheets melt, then the world is Hot. If exactly one of these is true, then the world is Neutral. Otherwise, the world is Cool.
(Yes, this seems very unnatural. That’s good! The atmosphere shouldn’t be modeled as an ag"&amp;"ent! I’m choosing this example because its unintuitive nature makes it more likely that you think about the underlying rule, rather than just the superficial example. I will return to more intuitive examples later.)
**Controllables**
A _property_ of the"&amp;" world is something like “it is neutral or warmer”. An agent can _ensure_ a property if it has some option such that no matter what environment option is chosen, the property is true of the resulting world. The atmosphere could ensure the warmth property "&amp;"above by “choosing” to trap sunlight. Similarly the agent can _prevent_ a property if it can guarantee that the property will not hold, regardless of the environment option. For example, the atmosphere can prevent the property “it is hot”, by “choosing” n"&amp;"ot to trap sunlight. The agent can _control_ a property if it can both ensure and prevent it. In our example, there is no property that the atmosphere can control.
**Coarsening or refining worlds**
We often want to describe reality at different levels o"&amp;"f abstraction. Sometimes we would like to talk about the behavior of various companies; at other times we might want to look at an individual employee. We can do this by having a function that maps low-level (refined) worlds to high-level (coarsened) worl"&amp;"ds. In our example above, consider the possible worlds {YY, YN, NY, NN}, where the first letter of a world corresponds to whether sunlight was trapped (Yes or No), and the second corresponds to whether the ice sheets melted. The worlds {Hot, Neutral, Cool"&amp;"} that we had originally are a coarsened version of this, where we map YY to Hot, YN and NY to Neutral, and NN to Cool.
**Interfaces**
A major upside of Cartesian frames is that given the set of possible worlds that can occur, we can choose how to divid"&amp;"e it up into an “agent” and an “environment”. Most of the interesting aspects of Cartesian frames are in the relationships between different ways of doing this division, for the same set of possible worlds.
First, we have interfaces. Given two different "&amp;"Cartesian frames &lt;A, E, W&gt; and &lt;B, F, W&gt; with the same set of worlds, an interface allows us to interpret the agent A as being used in place of the agent B. Specifically, if A would choose an option a, the interface maps this to one of B’s options b. This"&amp;" is then combined with the environment option f (from F) to produce a world w.
A valid interface also needs to be able to map the environment option f to e, and then combine it with the agent option a to get the world. This alternate way of computing the"&amp;" world must always give the same answer.
Since A can be used in place of B, all of A’s options must have equivalents in B. However, B could have options that A doesn’t. So the existence of this interface implies that A is “weaker” in a sense than B. (The"&amp;"re are a bunch of caveats here.)
(Relevant terms in the sequence: _morphism_)
**Decomposing agents into teams of subagents**
The first kind of subagent we will consider is a subagent that can control “part of” the agent’s options. Consider for example "&amp;"a coordination game, where there are N players who each individually can choose whether or not to press a Big Red Button. There are only two possible worlds: either the button is pressed, or it is not pressed. For now, let’s assume there are two players, "&amp;"Alice and Bob.
One possible Cartesian frame is the frame for the entire team. In this case, the team has perfect control over the state of the button -- the agent options are either to press the button or not to press the button, and the environment does"&amp;" not have any options (or more accurately, it has a single “do nothing” option).
However, we can also decompose this into separate Alice and Bob _subagents_. What does a Cartesian frame for Alice look like? Well, Alice also has two options -- press the b"&amp;"utton, or don’t. However, Alice does not have perfect control over the result: from her perspective, Bob is part of the environment. As a result, for Alice, the environment also has two options -- press the button, or don’t. The button is pressed if Alice"&amp;" presses it _or_ if the environment presses it. (The Cartesian frame for Bob is identical, since he is in the same position that Alice is in.)
Note however that this decomposition isn’t perfect: given the Cartesian frames for Alice and Bob, you cannot un"&amp;"iquely recover the original Cartesian frame for the team. This is because both Alice and Bob’s frames say that the environment has some ability to press the button -- _we_ know that this is just from Alice and Bob themselves, but given just the frames we "&amp;"can’t be sure that there isn’t a third person Charlie who also might press the button. So, when we combine Alice and Bob back into the frame for a two-person team, we don’t know whether or not the environment should have the ability to press the button. T"&amp;"his makes the mathematical definition of this kind of subagent a bit trickier though it still works out.
Another important note is that this is relative to how coarsely you model the world. We used a fairly coarse model in this example: only whether or n"&amp;"ot the button was pressed. If we instead used a finer model that tracked which subset of people pressed the button, then we _would_ be able to uniquely recover the team’s Cartesian frame from Alice and Bob’s individual frames.
(Relevant terms in the sequ"&amp;"ence: _multiplicative subagents, sub-tensors, tensors_)
**Externalizing and internalizing**
This decomposition isn’t just for teams of people: even a single “mind” can often be thought of as the interaction of various parts. For example, hierarchical de"&amp;"cision-making can be thought of as the interaction between multiple agents at different levels of the hierarchy.
This decomposition can be done using _externalization_. Externalization allows you to take an existing Cartesian frame and some specific prop"&amp;"erty of the world, and then construct a new Cartesian frame where that property of the world is controlled by the environment.
Concretely, let’s imagine a Cartesian frame for Alice that represents her decision on whether to cook a meal or eat out. If she"&amp;" chooses to cook a meal, then she must also decide which recipe to follow. If she chooses to eat out, she must decide which restaurant to eat out at.
We can externalize the high-level choice of whether Alice cooks a meal or eats out. This results in a Ca"&amp;"rtesian frame where the environment chooses whether Alice is cooking or eating out, and the agent must then choose a restaurant or recipe as appropriate. This is the Cartesian frame corresponding to the low-level policy that must pursue whatever subgoal i"&amp;"s chosen by the high-level planning module (which is now part of the environment). The agent of this frame is a subagent of Alice.
The reverse operation is called internalization, where some property of the world is brought under the control of the agent"&amp;". In the above example, if we take the Cartesian frame for the low-level policy, and then internalize the cooking / eating out choice, we get back the Cartesian frame for Alice as a unified whole.
Note that in general externalization and internalization "&amp;"are _not_ inverses of each other. As a simple example, if you externalize something that is already “in the environment” (e.g. whether it is raining, in a frame for Alice), that does nothing, but when you then internalize it, that thing is now assumed to "&amp;"be under the agent’s control (e.g. now the “agent” in the frame can control whether or not it is raining). We will return to this point when we talk about observability.
**Decomposing agents into disjunctions of subagents**
Our subagents so far have bee"&amp;"n “team-based”: the original agent could be thought of as a supervisor that got to control all of the subagents together. (The team agent in the button-pressing game could be thought of as controlling both Alice and Bob’s actions; in the cooking / eating "&amp;"out example Alice could be thought of as controlling both the high-level subgoal selection as well as the low-level policy that executes on the subgoals.)
The sequence also introduces another decomposition into subagents, where the superagent can be thou"&amp;"ght of as a supervisor that gets to choose _which_ of the subagents gets to control the overall behavior. Thus, the superagent can do anything that either of the subagents could do.
Let’s return to our cooking / eating out example. We previously saw that"&amp;" we could decompose Alice into a high-level subgoal-choosing subagent that chooses whether to cook or eat out, and a low-level subgoal-execution subagent that then chooses which recipe to make or which restaurant to go to. We can also decompose Alice as b"&amp;"eing the choice of two subagents: one that chooses which restaurant to go to, and one that chooses which recipe to make. The union of these subagents is an agent that first chooses whether to go to a restaurant or to make a recipe, and then uses the appro"&amp;"priate subagent to choose the restaurant or recipe: this is exactly a description of Alice.
(Relevant terms in the sequence: _additive subagents, sub-sums, sums_)
**Committing and assuming**
One way to think about the subagents of the previous example "&amp;"is that they are the result of Alice _committing_ to a particular subset of choices. If Alice commits to eating out (but doesn’t specify at what restaurant), then the resulting frame is equivalent to the restaurant-choosing subagent.
Similarly to committ"&amp;"ing, we can also talk about _assuming_. Just as commitments restrict the set of options available to the agent, assumptions restrict the set of options available to the environment.
Just as we can union two agents together to get an agent that gets to ch"&amp;"oose between two subagents, we can also union two environments together to get an environment that gets to choose between two subenvironments. (In this case the agent is more constrained: it must be able to handle the environment regardless of which way t"&amp;"he environment chooses.)
(Relevant terms in the sequence: _product_)
**Observables**
The most interesting (to me) part of this sequence was the various equivalent definitions of what it means for something to be observable. The overall story is similar"&amp;" to the one in [Knowledge is Freedom](https://www.alignmentforum.org/posts/b3Bt9Cz4hEtR26ANX/knowledge-is-freedom): an agent is said to “observe” a property P if it is capable of making different decisions based on whether P holds or not.
Thus we get our"&amp;" first definition of observability: **a property P of the world is _observable_ if, for any two agent options a and b, the agent also has an option that is equivalent to “if P then a else b”.**
Intuitively, this is meant to be similar to the notion of “i"&amp;"nputs” to an agent. Intuitively, a neural net should be able to express arbitrary computations over its inputs, and so if we view the neural net as “choosing” what computation to do (by “choosing” what its parameters are), then the neural net can have its"&amp;" outputs (agent options) depend in arbitrary ways on the inputs. Thus, we say that the neural net “observes” its inputs, because what the neural net does can depend freely on the inputs.
Note that this is a very black-or-white criterion: we must be able "&amp;"to express _every_ conditional policy on the property for it to be observable; if even one such policy is not expressible then the property is not observable.
One way to think about this is that an observable property needs to be completely under the con"&amp;"trol of the environment, that is, the environment option should completely determine whether the resulting world satisfies the property or not -- nothing the agent does can matter (for this property). To see this, suppose that there was some environment o"&amp;"ption e that didn’t fully determine a property P, so that there are agent options a and b such that the world corresponding to (a, e) satisfies P but the one corresponding to (b, e) does not. Then our agent cannot implement the conditional policy “if P th"&amp;"en b else a”, because it would lead to a self-referential contradiction (akin to “this sentence is false”) when the environment chooses e. Thus, P cannot be observable.
This is not equivalent to observability: it is possible for the environment to fully "&amp;"control P, while the agent is still unable to always condition on P. So we do need something extra. Nevertheless, this intuition suggests a few other ways of thinking about observability. The key idea is to identify a decomposition of the agent based on P"&amp;" that should only work if the environment has all the control, and then to identify a union step that puts the agent back together, that automatically adds in all of the policies that are conditional on P. I’ll describe these definitions here; the sequenc"&amp;"e proves that they are in fact equivalent to the original definition above.
First, recall that externalization and internalization are methods that allow us to “transfer” control of some property from the agent to the environment and vice versa. Thus, if"&amp;" all the control of P is in the environment, one would hope that internalization followed by externalization just transfers the control back and forth. In addition, when we externalize P, the externalization process will enforce that the agent can conditi"&amp;"on on P arbitrarily (this is how it is defined). This suggests the definition: **P is observable if and only if internalizing P followed by externalizing P gives us back the original frame.**
Second, if the environment has all of the control over P, then"&amp;" we should be able to decompose the agent into two parts: one that decides what to do when P is true, and one that decides what to do when P is false. We can achieve this using _assumptions_, that is, the first agent is the original agent under the assump"&amp;"tion that P is true, and the second is under the assumption that P is false. Note that if the environment didn’t have perfect control over P, this would not work, as the environment options where P is not guaranteed to be true or false would simply be del"&amp;"eted, and could not be reconstructed from the two new agents.
We now need to specify how to put the agents back together, in a way that includes all the conditional policies on P. There are actually two variants in how we can do this:
In the first case,"&amp;" we combine the agents by unioning the environments, which lets the environment choose whether P is true or not. Given how this union is defined, the new agent is able to specify both what to do given the environment’s choice, _as well as_ what it would h"&amp;"ave done in the counterfactual case where the environment had decided P differently. This allows it to implement all conditional policies on P. So, **P is observable if and only if decomposing the frame using assumptions on P, and then unioning the enviro"&amp;"nments of the resulting frames gives back the original frame.**
In the second case, after getting agents via assumption on P, you extend each agent so that in the case where its assumption is false, it is as though it takes a noop action. Intuitively, th"&amp;"e resulting agent is an agent that is hobbled so that it has no power in worlds where P comes out differently than was assumed. These agents are then combined into a team. Intuitively, the team selects an option of the form “the first agent tries to do X "&amp;"(which only succeeds when P is true) and the second agent tries to do Y (which only succeeds when P is false)”. Like the previous decomposition, this specifies both what to do in whatever actual environment results, as well as what would have been done in"&amp;" the counterfactual world where the value of P was reversed. Thus, this way of combining the agents once again adds in all conditional policies on P. So, **P is observable if and only if decomposing the frame using assumptions on P, then hobbling the resu"&amp;"lting frames in cases where their assumptions are false, and then putting the agents back in a team, is equivalent to the original frame.**
**Time**
Cartesian frames do not have an intrinsic notion of time. However, we can still use them to model sequen"&amp;"tial processes, by having the agent options be _policies_ rather than actions, and having the worlds be histories or trajectories rather than states.
To say useful things about time, we need to broaden our notion of observables. So far I’ve been talking "&amp;"about whether you can observe binary properties P that are either true or false. In fact, all of the definitions can be easily generalized to n-ary properties P that can take on one of N values. We’ll be using this notion of observability here.
Consider "&amp;"a game of chess where Alice plays as white and Bob as black. Intuitively, when Alice is choosing her second move, she can observe Bob’s first move. However, the property “Bob’s first move” would not be observable in Alice’s Cartesian frame, because Alice’"&amp;"s _first_ move cannot depend on Bob’s first move (since Bob hasn’t made it yet), and so when deciding the first move we can’t implement policies that condition on what Bob’s first move is.
Really, we want some way to say “after Alice has made her first m"&amp;"ove, from the perspective of the rest of her decisions, Bob’s first move is observable”. But we know how to remove some control from the agent in order to get the perspective of “everything else” -- that’s externalization! In particular, in Alice’s frame,"&amp;" if we externalize the property “Alice’s first move”, then the property “Bob’s first move” _is_ observable in the new frame.
This suggests a way to define a sequence of frames that represent the passage of time: we define the Tth frame as “the original f"&amp;"rame, but with the first T moves externalized”, or equivalently as “the T-1th frame, but with the Tth move externalized”. Each of these frames are subagents of the original frame, since we can think of the full agent (Alice) as the team of “the agent that"&amp;" plays the first T moves” and “the agent that plays the T+1th move and onwards”. As you might expect, as “time” progresses, the agent loses controllables and gains observables. For example, by move 3 Alice can no longer control her first two moves, but sh"&amp;"e can now observe Bob’s first two moves, relative to Alice at the beginning of the game.")</f>
        <v>The &lt;@embedded agency sequence@&gt;(@Embedded Agents@) hammered in the fact that there is no clean, sharp dividing line between an agent and its environment. This sequence proposes an alternate formalism: Cartesian frames. Note this is a paradigm that helps us _think about agency_: you should not be expecting some novel result that, say, tells us how to look at a neural net and find agents within it.
The core idea is that rather than _assuming_ the existence of a Cartesian dividing line, we consider how such a dividing line could be _constructed_. For example, when we think of a sports team as an agent, the environment consists of the playing field and the other team; but we could also consider a specific player as an agent, in which case the environment consists of the rest of the players (on both teams) and the playing field. Each of these are valid ways of carving up what actually happens into an “agent” and an “environment”, they are _frames_ by which we can more easily understand what’s going on, hence the name “Cartesian frames”.
A Cartesian frame takes **choice** as fundamental: the agent is modeled as a set of options that it can freely choose between. This means that the formulation cannot be directly applied to deterministic physical laws. It instead models what agency looks like [“from the inside”](https://www.lesswrong.com/posts/yA4gF5KrboK2m2Xu7/how-an-algorithm-feels-from-inside). _If_ you are modeling a part of the world as capable of making choices, _then_ a Cartesian frame is appropriate to use to understand the perspective of that choice-making entity.
Formally, a Cartesian frame consists of a set of agent options A, a set of environment options E, a set of possible worlds W, and an interaction function that, given an agent option and an environment option, specifies which world results. Intuitively, the agent can “choose” an agent option, the environment can “choose” an environment option, and together these produce some world. You might notice that we’re treating the agent and environment symmetrically; this is intentional, and means that we can define analogs of all of our agent notions for environments as well (though they may not have nice philosophical interpretations).
The full sequence uses a lot of category theory to define operations on these sorts of objects and show various properties of the objects and their operations. I will not be summarizing this here; instead, I will talk about their philosophical interpretations.
First, let’s look at an example of using a Cartesian frame on something that isn’t typically thought of as an agent: the atmosphere, within the broader climate system. The atmosphere can “choose” whether to trap sunlight or not. Meanwhile, in the environment, either the ice sheets could melt or they could not. If sunlight is trapped and the ice sheets melt, then the world is Hot. If exactly one of these is true, then the world is Neutral. Otherwise, the world is Cool.
(Yes, this seems very unnatural. That’s good! The atmosphere shouldn’t be modeled as an agent! I’m choosing this example because its unintuitive nature makes it more likely that you think about the underlying rule, rather than just the superficial example. I will return to more intuitive examples later.)
**Controllables**
A _property_ of the world is something like “it is neutral or warmer”. An agent can _ensure_ a property if it has some option such that no matter what environment option is chosen, the property is true of the resulting world. The atmosphere could ensure the warmth property above by “choosing” to trap sunlight. Similarly the agent can _prevent_ a property if it can guarantee that the property will not hold, regardless of the environment option. For example, the atmosphere can prevent the property “it is hot”, by “choosing” not to trap sunlight. The agent can _control_ a property if it can both ensure and prevent it. In our example, there is no property that the atmosphere can control.
**Coarsening or refining worlds**
We often want to describe reality at different levels of abstraction. Sometimes we would like to talk about the behavior of various companies; at other times we might want to look at an individual employee. We can do this by having a function that maps low-level (refined) worlds to high-level (coarsened) worlds. In our example above, consider the possible worlds {YY, YN, NY, NN}, where the first letter of a world corresponds to whether sunlight was trapped (Yes or No), and the second corresponds to whether the ice sheets melted. The worlds {Hot, Neutral, Cool} that we had originally are a coarsened version of this, where we map YY to Hot, YN and NY to Neutral, and NN to Cool.
**Interfaces**
A major upside of Cartesian frames is that given the set of possible worlds that can occur, we can choose how to divide it up into an “agent” and an “environment”. Most of the interesting aspects of Cartesian frames are in the relationships between different ways of doing this division, for the same set of possible worlds.
First, we have interfaces. Given two different Cartesian frames &lt;A, E, W&gt; and &lt;B, F, W&gt; with the same set of worlds, an interface allows us to interpret the agent A as being used in place of the agent B. Specifically, if A would choose an option a, the interface maps this to one of B’s options b. This is then combined with the environment option f (from F) to produce a world w.
A valid interface also needs to be able to map the environment option f to e, and then combine it with the agent option a to get the world. This alternate way of computing the world must always give the same answer.
Since A can be used in place of B, all of A’s options must have equivalents in B. However, B could have options that A doesn’t. So the existence of this interface implies that A is “weaker” in a sense than B. (There are a bunch of caveats here.)
(Relevant terms in the sequence: _morphism_)
**Decomposing agents into teams of subagents**
The first kind of subagent we will consider is a subagent that can control “part of” the agent’s options. Consider for example a coordination game, where there are N players who each individually can choose whether or not to press a Big Red Button. There are only two possible worlds: either the button is pressed, or it is not pressed. For now, let’s assume there are two players, Alice and Bob.
One possible Cartesian frame is the frame for the entire team. In this case, the team has perfect control over the state of the button -- the agent options are either to press the button or not to press the button, and the environment does not have any options (or more accurately, it has a single “do nothing” option).
However, we can also decompose this into separate Alice and Bob _subagents_. What does a Cartesian frame for Alice look like? Well, Alice also has two options -- press the button, or don’t. However, Alice does not have perfect control over the result: from her perspective, Bob is part of the environment. As a result, for Alice, the environment also has two options -- press the button, or don’t. The button is pressed if Alice presses it _or_ if the environment presses it. (The Cartesian frame for Bob is identical, since he is in the same position that Alice is in.)
Note however that this decomposition isn’t perfect: given the Cartesian frames for Alice and Bob, you cannot uniquely recover the original Cartesian frame for the team. This is because both Alice and Bob’s frames say that the environment has some ability to press the button -- _we_ know that this is just from Alice and Bob themselves, but given just the frames we can’t be sure that there isn’t a third person Charlie who also might press the button. So, when we combine Alice and Bob back into the frame for a two-person team, we don’t know whether or not the environment should have the ability to press the button. This makes the mathematical definition of this kind of subagent a bit trickier though it still works out.
Another important note is that this is relative to how coarsely you model the world. We used a fairly coarse model in this example: only whether or not the button was pressed. If we instead used a finer model that tracked which subset of people pressed the button, then we _would_ be able to uniquely recover the team’s Cartesian frame from Alice and Bob’s individual frames.
(Relevant terms in the sequence: _multiplicative subagents, sub-tensors, tensors_)
**Externalizing and internalizing**
This decomposition isn’t just for teams of people: even a single “mind” can often be thought of as the interaction of various parts. For example, hierarchical decision-making can be thought of as the interaction between multiple agents at different levels of the hierarchy.
This decomposition can be done using _externalization_. Externalization allows you to take an existing Cartesian frame and some specific property of the world, and then construct a new Cartesian frame where that property of the world is controlled by the environment.
Concretely, let’s imagine a Cartesian frame for Alice that represents her decision on whether to cook a meal or eat out. If she chooses to cook a meal, then she must also decide which recipe to follow. If she chooses to eat out, she must decide which restaurant to eat out at.
We can externalize the high-level choice of whether Alice cooks a meal or eats out. This results in a Cartesian frame where the environment chooses whether Alice is cooking or eating out, and the agent must then choose a restaurant or recipe as appropriate. This is the Cartesian frame corresponding to the low-level policy that must pursue whatever subgoal is chosen by the high-level planning module (which is now part of the environment). The agent of this frame is a subagent of Alice.
The reverse operation is called internalization, where some property of the world is brought under the control of the agent. In the above example, if we take the Cartesian frame for the low-level policy, and then internalize the cooking / eating out choice, we get back the Cartesian frame for Alice as a unified whole.
Note that in general externalization and internalization are _not_ inverses of each other. As a simple example, if you externalize something that is already “in the environment” (e.g. whether it is raining, in a frame for Alice), that does nothing, but when you then internalize it, that thing is now assumed to be under the agent’s control (e.g. now the “agent” in the frame can control whether or not it is raining). We will return to this point when we talk about observability.
**Decomposing agents into disjunctions of subagents**
Our subagents so far have been “team-based”: the original agent could be thought of as a supervisor that got to control all of the subagents together. (The team agent in the button-pressing game could be thought of as controlling both Alice and Bob’s actions; in the cooking / eating out example Alice could be thought of as controlling both the high-level subgoal selection as well as the low-level policy that executes on the subgoals.)
The sequence also introduces another decomposition into subagents, where the superagent can be thought of as a supervisor that gets to choose _which_ of the subagents gets to control the overall behavior. Thus, the superagent can do anything that either of the subagents could do.
Let’s return to our cooking / eating out example. We previously saw that we could decompose Alice into a high-level subgoal-choosing subagent that chooses whether to cook or eat out, and a low-level subgoal-execution subagent that then chooses which recipe to make or which restaurant to go to. We can also decompose Alice as being the choice of two subagents: one that chooses which restaurant to go to, and one that chooses which recipe to make. The union of these subagents is an agent that first chooses whether to go to a restaurant or to make a recipe, and then uses the appropriate subagent to choose the restaurant or recipe: this is exactly a description of Alice.
(Relevant terms in the sequence: _additive subagents, sub-sums, sums_)
**Committing and assuming**
One way to think about the subagents of the previous example is that they are the result of Alice _committing_ to a particular subset of choices. If Alice commits to eating out (but doesn’t specify at what restaurant), then the resulting frame is equivalent to the restaurant-choosing subagent.
Similarly to committing, we can also talk about _assuming_. Just as commitments restrict the set of options available to the agent, assumptions restrict the set of options available to the environment.
Just as we can union two agents together to get an agent that gets to choose between two subagents, we can also union two environments together to get an environment that gets to choose between two subenvironments. (In this case the agent is more constrained: it must be able to handle the environment regardless of which way the environment chooses.)
(Relevant terms in the sequence: _product_)
**Observables**
The most interesting (to me) part of this sequence was the various equivalent definitions of what it means for something to be observable. The overall story is similar to the one in [Knowledge is Freedom](https://www.alignmentforum.org/posts/b3Bt9Cz4hEtR26ANX/knowledge-is-freedom): an agent is said to “observe” a property P if it is capable of making different decisions based on whether P holds or not.
Thus we get our first definition of observability: **a property P of the world is _observable_ if, for any two agent options a and b, the agent also has an option that is equivalent to “if P then a else b”.**
Intuitively, this is meant to be similar to the notion of “inputs” to an agent. Intuitively, a neural net should be able to express arbitrary computations over its inputs, and so if we view the neural net as “choosing” what computation to do (by “choosing” what its parameters are), then the neural net can have its outputs (agent options) depend in arbitrary ways on the inputs. Thus, we say that the neural net “observes” its inputs, because what the neural net does can depend freely on the inputs.
Note that this is a very black-or-white criterion: we must be able to express _every_ conditional policy on the property for it to be observable; if even one such policy is not expressible then the property is not observable.
One way to think about this is that an observable property needs to be completely under the control of the environment, that is, the environment option should completely determine whether the resulting world satisfies the property or not -- nothing the agent does can matter (for this property). To see this, suppose that there was some environment option e that didn’t fully determine a property P, so that there are agent options a and b such that the world corresponding to (a, e) satisfies P but the one corresponding to (b, e) does not. Then our agent cannot implement the conditional policy “if P then b else a”, because it would lead to a self-referential contradiction (akin to “this sentence is false”) when the environment chooses e. Thus, P cannot be observable.
This is not equivalent to observability: it is possible for the environment to fully control P, while the agent is still unable to always condition on P. So we do need something extra. Nevertheless, this intuition suggests a few other ways of thinking about observability. The key idea is to identify a decomposition of the agent based on P that should only work if the environment has all the control, and then to identify a union step that puts the agent back together, that automatically adds in all of the policies that are conditional on P. I’ll describe these definitions here; the sequence proves that they are in fact equivalent to the original definition above.
First, recall that externalization and internalization are methods that allow us to “transfer” control of some property from the agent to the environment and vice versa. Thus, if all the control of P is in the environment, one would hope that internalization followed by externalization just transfers the control back and forth. In addition, when we externalize P, the externalization process will enforce that the agent can condition on P arbitrarily (this is how it is defined). This suggests the definition: **P is observable if and only if internalizing P followed by externalizing P gives us back the original frame.**
Second, if the environment has all of the control over P, then we should be able to decompose the agent into two parts: one that decides what to do when P is true, and one that decides what to do when P is false. We can achieve this using _assumptions_, that is, the first agent is the original agent under the assumption that P is true, and the second is under the assumption that P is false. Note that if the environment didn’t have perfect control over P, this would not work, as the environment options where P is not guaranteed to be true or false would simply be deleted, and could not be reconstructed from the two new agents.
We now need to specify how to put the agents back together, in a way that includes all the conditional policies on P. There are actually two variants in how we can do this:
In the first case, we combine the agents by unioning the environments, which lets the environment choose whether P is true or not. Given how this union is defined, the new agent is able to specify both what to do given the environment’s choice, _as well as_ what it would have done in the counterfactual case where the environment had decided P differently. This allows it to implement all conditional policies on P. So, **P is observable if and only if decomposing the frame using assumptions on P, and then unioning the environments of the resulting frames gives back the original frame.**
In the second case, after getting agents via assumption on P, you extend each agent so that in the case where its assumption is false, it is as though it takes a noop action. Intuitively, the resulting agent is an agent that is hobbled so that it has no power in worlds where P comes out differently than was assumed. These agents are then combined into a team. Intuitively, the team selects an option of the form “the first agent tries to do X (which only succeeds when P is true) and the second agent tries to do Y (which only succeeds when P is false)”. Like the previous decomposition, this specifies both what to do in whatever actual environment results, as well as what would have been done in the counterfactual world where the value of P was reversed. Thus, this way of combining the agents once again adds in all conditional policies on P. So, **P is observable if and only if decomposing the frame using assumptions on P, then hobbling the resulting frames in cases where their assumptions are false, and then putting the agents back in a team, is equivalent to the original frame.**
**Time**
Cartesian frames do not have an intrinsic notion of time. However, we can still use them to model sequential processes, by having the agent options be _policies_ rather than actions, and having the worlds be histories or trajectories rather than states.
To say useful things about time, we need to broaden our notion of observables. So far I’ve been talking about whether you can observe binary properties P that are either true or false. In fact, all of the definitions can be easily generalized to n-ary properties P that can take on one of N values. We’ll be using this notion of observability here.
Consider a game of chess where Alice plays as white and Bob as black. Intuitively, when Alice is choosing her second move, she can observe Bob’s first move. However, the property “Bob’s first move” would not be observable in Alice’s Cartesian frame, because Alice’s _first_ move cannot depend on Bob’s first move (since Bob hasn’t made it yet), and so when deciding the first move we can’t implement policies that condition on what Bob’s first move is.
Really, we want some way to say “after Alice has made her first move, from the perspective of the rest of her decisions, Bob’s first move is observable”. But we know how to remove some control from the agent in order to get the perspective of “everything else” -- that’s externalization! In particular, in Alice’s frame, if we externalize the property “Alice’s first move”, then the property “Bob’s first move” _is_ observable in the new frame.
This suggests a way to define a sequence of frames that represent the passage of time: we define the Tth frame as “the original frame, but with the first T moves externalized”, or equivalently as “the T-1th frame, but with the Tth move externalized”. Each of these frames are subagents of the original frame, since we can think of the full agent (Alice) as the team of “the agent that plays the first T moves” and “the agent that plays the T+1th move and onwards”. As you might expect, as “time” progresses, the agent loses controllables and gains observables. For example, by move 3 Alice can no longer control her first two moves, but she can now observe Bob’s first two moves, relative to Alice at the beginning of the game.</v>
      </c>
      <c r="K59" t="str">
        <f>IFERROR(__xludf.DUMMYFUNCTION("""COMPUTED_VALUE"""),"I like this way of thinking about agency: we’ve been talking about “where to draw the line around the agent” for quite a while in AI safety, but there hasn’t been a nice formalization of this until now. In particular, it’s very nice that we can compare di"&amp;"fferent ways of drawing the line around the agent, and make precise various concepts around this, such as “subagent”.
I’ve also previously liked the notion that “to observe P is to be able to change your decisions based on the value of P”, but I hadn’t r"&amp;"eally seen much discussion about it until now. This sequence makes some real progress on conceptual understanding of this perspective: in particular, the notion that observability requires “all the control to be in the environment” is not one I had until "&amp;"now. (Though I should note that this particular phrasing is mine, and I’m not sure the author would agree with the phrasing.)
One of my checks for the utility of foundational theory for a particular application is to see whether the key results can be ex"&amp;"plained without having to delve into esoteric mathematical notation. I think this sequence does very well on this metric -- for the most part I didn’t even read the proofs, yet I was able to reconstruct conceptual arguments for many of the theorems that a"&amp;"re convincing to me. (They aren’t and shouldn’t be as convincing as the proofs themselves.) However, not all of the concepts score so well on this -- for example, the generic subagent definition was sufficiently unintuitive to me that I did not include it"&amp;" in this summary.")</f>
        <v>I like this way of thinking about agency: we’ve been talking about “where to draw the line around the agent” for quite a while in AI safety, but there hasn’t been a nice formalization of this until now. In particular, it’s very nice that we can compare different ways of drawing the line around the agent, and make precise various concepts around this, such as “subagent”.
I’ve also previously liked the notion that “to observe P is to be able to change your decisions based on the value of P”, but I hadn’t really seen much discussion about it until now. This sequence makes some real progress on conceptual understanding of this perspective: in particular, the notion that observability requires “all the control to be in the environment” is not one I had until now. (Though I should note that this particular phrasing is mine, and I’m not sure the author would agree with the phrasing.)
One of my checks for the utility of foundational theory for a particular application is to see whether the key results can be explained without having to delve into esoteric mathematical notation. I think this sequence does very well on this metric -- for the most part I didn’t even read the proofs, yet I was able to reconstruct conceptual arguments for many of the theorems that are convincing to me. (They aren’t and shouldn’t be as convincing as the proofs themselves.) However, not all of the concepts score so well on this -- for example, the generic subagent definition was sufficiently unintuitive to me that I did not include it in this summary.</v>
      </c>
    </row>
    <row r="60">
      <c r="A60" s="1" t="str">
        <f>IFERROR(__xludf.DUMMYFUNCTION("""COMPUTED_VALUE"""),"Agent foundations")</f>
        <v>Agent foundations</v>
      </c>
      <c r="B60" s="1" t="str">
        <f>IFERROR(__xludf.DUMMYFUNCTION("""COMPUTED_VALUE"""),"Highlight")</f>
        <v>Highlight</v>
      </c>
      <c r="C60" s="2" t="str">
        <f>IFERROR(__xludf.DUMMYFUNCTION("""COMPUTED_VALUE"""),"The ground of optimization")</f>
        <v>The ground of optimization</v>
      </c>
      <c r="D60" s="1" t="str">
        <f>IFERROR(__xludf.DUMMYFUNCTION("""COMPUTED_VALUE"""),"Alex Flint")</f>
        <v>Alex Flint</v>
      </c>
      <c r="E60" s="1" t="str">
        <f>IFERROR(__xludf.DUMMYFUNCTION("""COMPUTED_VALUE"""),"Alignment Forum")</f>
        <v>Alignment Forum</v>
      </c>
      <c r="F60" s="1">
        <f>IFERROR(__xludf.DUMMYFUNCTION("""COMPUTED_VALUE"""),2020.0)</f>
        <v>2020</v>
      </c>
      <c r="G60" s="1"/>
      <c r="H60" s="2" t="str">
        <f>IFERROR(__xludf.DUMMYFUNCTION("""COMPUTED_VALUE"""),"AN #105")</f>
        <v>AN #105</v>
      </c>
      <c r="I60" s="1" t="str">
        <f>IFERROR(__xludf.DUMMYFUNCTION("""COMPUTED_VALUE"""),"Rohin")</f>
        <v>Rohin</v>
      </c>
      <c r="J60" s="1" t="str">
        <f>IFERROR(__xludf.DUMMYFUNCTION("""COMPUTED_VALUE"""),"Many arguments about AI risk depend on the notion of “optimizing”, but so far it has eluded a good definition. One natural [approach](https://www.lesswrong.com/posts/Q4hLMDrFd8fbteeZ8/measuring-optimization-power) is to say that an optimizer causes the wo"&amp;"rld to have higher values according to some reasonable utility function, but this seems insufficient, as then a &lt;@bottle cap would be an optimizer@&gt;(@Bottle Caps Aren't Optimisers@) for keeping water in the bottle.
This post provides a new definition of "&amp;"optimization, by taking a page from &lt;@Embedded Agents@&gt; and analyzing a system as a whole instead of separating the agent and environment. An **optimizing system** is then one which tends to evolve toward some special configurations (called the **target c"&amp;"onfiguration set**), when starting anywhere in some larger set of configurations (called the **basin of attraction**), _even if_ the system is perturbed.
For example, in gradient descent, we start with some initial guess at the parameters θ, and then con"&amp;"tinually compute loss gradients and move θ in the appropriate direction. The target configuration set is all the local minima of the loss landscape. Such a program has a very special property: while it is running, you can change the value of θ (e.g. via a"&amp;" debugger), and the program will probably _still work_. This is quite impressive: certainly most programs would not work if you arbitrarily changed the value of one of the variables in the middle of execution. Thus, this is an optimizing system that is ro"&amp;"bust to perturbations in θ. Of course, it isn’t robust to arbitrary perturbations: if you change any other variable in the program, it will probably stop working. In general, we can quantify how powerful an optimizing system is by how robust it is to pert"&amp;"urbations, and how small the target configuration set is.
The bottle cap example is _not_ an optimizing system because there is no broad basin of configurations from which we get to the bottle being full of water. The bottle cap doesn’t cause the bottle "&amp;"to be full of water when it didn’t start out full of water.
Optimizing systems are a superset of goal-directed agentic systems, which require a separation between the optimizer and the thing being optimized. For example, a tree is certainly an optimizing"&amp;" system (the target is to be a fully grown tree, and it is robust to perturbations of soil quality, or if you cut off a branch, etc). However, it does not seem to be a goal-directed agentic system, as it would be hard to separate into an “optimizer” and a"&amp;" “thing being optimized”.
This does mean that we can no longer ask “what is doing the optimization” in an optimizing system. This is a feature, not a bug: if you expect to always be able to answer this question, you typically get confusing results. For e"&amp;"xample, you might say that your liver is optimizing for making money, since without it you would die and fail to make money.
The full post has several other examples that help make the concept clearer.")</f>
        <v>Many arguments about AI risk depend on the notion of “optimizing”, but so far it has eluded a good definition. One natural [approach](https://www.lesswrong.com/posts/Q4hLMDrFd8fbteeZ8/measuring-optimization-power) is to say that an optimizer causes the world to have higher values according to some reasonable utility function, but this seems insufficient, as then a &lt;@bottle cap would be an optimizer@&gt;(@Bottle Caps Aren't Optimisers@) for keeping water in the bottle.
This post provides a new definition of optimization, by taking a page from &lt;@Embedded Agents@&gt; and analyzing a system as a whole instead of separating the agent and environment. An **optimizing system** is then one which tends to evolve toward some special configurations (called the **target configuration set**), when starting anywhere in some larger set of configurations (called the **basin of attraction**), _even if_ the system is perturbed.
For example, in gradient descent, we start with some initial guess at the parameters θ, and then continually compute loss gradients and move θ in the appropriate direction. The target configuration set is all the local minima of the loss landscape. Such a program has a very special property: while it is running, you can change the value of θ (e.g. via a debugger), and the program will probably _still work_. This is quite impressive: certainly most programs would not work if you arbitrarily changed the value of one of the variables in the middle of execution. Thus, this is an optimizing system that is robust to perturbations in θ. Of course, it isn’t robust to arbitrary perturbations: if you change any other variable in the program, it will probably stop working. In general, we can quantify how powerful an optimizing system is by how robust it is to perturbations, and how small the target configuration set is.
The bottle cap example is _not_ an optimizing system because there is no broad basin of configurations from which we get to the bottle being full of water. The bottle cap doesn’t cause the bottle to be full of water when it didn’t start out full of water.
Optimizing systems are a superset of goal-directed agentic systems, which require a separation between the optimizer and the thing being optimized. For example, a tree is certainly an optimizing system (the target is to be a fully grown tree, and it is robust to perturbations of soil quality, or if you cut off a branch, etc). However, it does not seem to be a goal-directed agentic system, as it would be hard to separate into an “optimizer” and a “thing being optimized”.
This does mean that we can no longer ask “what is doing the optimization” in an optimizing system. This is a feature, not a bug: if you expect to always be able to answer this question, you typically get confusing results. For example, you might say that your liver is optimizing for making money, since without it you would die and fail to make money.
The full post has several other examples that help make the concept clearer.</v>
      </c>
      <c r="K60" t="str">
        <f>IFERROR(__xludf.DUMMYFUNCTION("""COMPUTED_VALUE"""),"I’ve &lt;@previously argued@&gt;(@Intuitions about goal-directed behavior@) that we need to take generalization into account in a definition of optimization or goal-directed behavior. This definition achieves that by primarily analyzing the robustness of the op"&amp;"timizing system to perturbations. While this does rely on a notion of counterfactuals, it still seems significantly better than any previous attempt to ground optimization.
I particularly like that the concept doesn’t force us to have a separate agent an"&amp;"d environment, as that distinction does seem quite leaky upon close inspection. I gave a shot at explaining several other concepts from AI alignment within this framework in [this comment](https://www.alignmentforum.org/posts/znfkdCoHMANwqc2WE/the-ground-"&amp;"of-optimization-1?commentId=NAB5KjHQTwva4tghy), and it worked quite well. In particular, a computer program is a goal-directed AI system if there is an environment such that adding the computer program to the environment transforms it into an optimizing s"&amp;"ystem for some “interesting” target configuration states (with one caveat explained in the comment).")</f>
        <v>I’ve &lt;@previously argued@&gt;(@Intuitions about goal-directed behavior@) that we need to take generalization into account in a definition of optimization or goal-directed behavior. This definition achieves that by primarily analyzing the robustness of the optimizing system to perturbations. While this does rely on a notion of counterfactuals, it still seems significantly better than any previous attempt to ground optimization.
I particularly like that the concept doesn’t force us to have a separate agent and environment, as that distinction does seem quite leaky upon close inspection. I gave a shot at explaining several other concepts from AI alignment within this framework in [this comment](https://www.alignmentforum.org/posts/znfkdCoHMANwqc2WE/the-ground-of-optimization-1?commentId=NAB5KjHQTwva4tghy), and it worked quite well. In particular, a computer program is a goal-directed AI system if there is an environment such that adding the computer program to the environment transforms it into an optimizing system for some “interesting” target configuration states (with one caveat explained in the comment).</v>
      </c>
    </row>
    <row r="61">
      <c r="A61" s="1" t="str">
        <f>IFERROR(__xludf.DUMMYFUNCTION("""COMPUTED_VALUE"""),"Agent foundations")</f>
        <v>Agent foundations</v>
      </c>
      <c r="B61" s="1" t="str">
        <f>IFERROR(__xludf.DUMMYFUNCTION("""COMPUTED_VALUE"""),"")</f>
        <v/>
      </c>
      <c r="C61" s="2" t="str">
        <f>IFERROR(__xludf.DUMMYFUNCTION("""COMPUTED_VALUE"""),"Embedded Agency via Abstraction")</f>
        <v>Embedded Agency via Abstraction</v>
      </c>
      <c r="D61" s="1" t="str">
        <f>IFERROR(__xludf.DUMMYFUNCTION("""COMPUTED_VALUE"""),"John Wentworth")</f>
        <v>John Wentworth</v>
      </c>
      <c r="E61" s="1" t="str">
        <f>IFERROR(__xludf.DUMMYFUNCTION("""COMPUTED_VALUE"""),"Alignment Forum")</f>
        <v>Alignment Forum</v>
      </c>
      <c r="F61" s="1">
        <f>IFERROR(__xludf.DUMMYFUNCTION("""COMPUTED_VALUE"""),2019.0)</f>
        <v>2019</v>
      </c>
      <c r="G61" s="1"/>
      <c r="H61" s="2" t="str">
        <f>IFERROR(__xludf.DUMMYFUNCTION("""COMPUTED_VALUE"""),"AN #83")</f>
        <v>AN #83</v>
      </c>
      <c r="I61" s="1" t="str">
        <f>IFERROR(__xludf.DUMMYFUNCTION("""COMPUTED_VALUE"""),"Asya")</f>
        <v>Asya</v>
      </c>
      <c r="J61" s="1" t="str">
        <f>IFERROR(__xludf.DUMMYFUNCTION("""COMPUTED_VALUE"""),"&lt;@Embedded agency problems@&gt;(@Embedded Agents@) are a class of theoretical problems that arise as soon as an agent is part of the environment it is interacting with and modeling, rather than having a clearly-defined and separated relationship. This post m"&amp;"akes the argument that before we can solve embedded agency problems, we first need to develop a theory of _abstraction_. _Abstraction_ refers to the problem of throwing out some information about a system while still being able to make predictions about i"&amp;"t. This problem can also be referred to as the problem of constructing a map for some territory.
The post argues that abstraction is key for embedded agency problems because the underlying challenge of embedded world models is that the agent (the map) is"&amp;" smaller than the environment it is modeling (the territory), and so inherently has to throw some information away.
Some simple questions around abstraction that we might want to answer include:
- Given a map-making process, characterize the queries whos"&amp;"e answers the map can reliably predict.
- Given some representation of the map-territory correspondence, translate queries from the territory-representation to the map-representation and vice versa.
- Given a territory, characterize classes of queries whi"&amp;"ch can be reliably answered using a map much smaller than the territory itself.
- Given a territory and a class of queries, construct a map which throws out as much information as possible while still allowing accurate prediction over the query class.
Th"&amp;"e post argues that once we create the simple theory, we will have a natural way of looking at more challenging problems with embedded agency, like the problem of self-referential maps, the problem of other map-makers, and the problem of self-reasoning tha"&amp;"t arises when the produced map includes an abstraction of the map-making process itself.")</f>
        <v>&lt;@Embedded agency problems@&gt;(@Embedded Agents@) are a class of theoretical problems that arise as soon as an agent is part of the environment it is interacting with and modeling, rather than having a clearly-defined and separated relationship. This post makes the argument that before we can solve embedded agency problems, we first need to develop a theory of _abstraction_. _Abstraction_ refers to the problem of throwing out some information about a system while still being able to make predictions about it. This problem can also be referred to as the problem of constructing a map for some territory.
The post argues that abstraction is key for embedded agency problems because the underlying challenge of embedded world models is that the agent (the map) is smaller than the environment it is modeling (the territory), and so inherently has to throw some information away.
Some simple questions around abstraction that we might want to answer include:
- Given a map-making process, characterize the queries whose answers the map can reliably predict.
- Given some representation of the map-territory correspondence, translate queries from the territory-representation to the map-representation and vice versa.
- Given a territory, characterize classes of queries which can be reliably answered using a map much smaller than the territory itself.
- Given a territory and a class of queries, construct a map which throws out as much information as possible while still allowing accurate prediction over the query class.
The post argues that once we create the simple theory, we will have a natural way of looking at more challenging problems with embedded agency, like the problem of self-referential maps, the problem of other map-makers, and the problem of self-reasoning that arises when the produced map includes an abstraction of the map-making process itself.</v>
      </c>
      <c r="K61" t="str">
        <f>IFERROR(__xludf.DUMMYFUNCTION("""COMPUTED_VALUE"""),"My impression is that embedded agency problems as a class of problems are very young, extremely entangled, and characterized by a lot of confusion. I am enthusiastic about attempts to decrease confusion and intuitively, abstraction does feel like a key co"&amp;"mponent to doing that.
That being said, my guess is that it’s difficult to predictably suggest the most promising research directions in a space that’s so entangled. For example, [one thread in the comments of this post](https://www.alignmentforum.org/po"&amp;"sts/hLFD6qSN9MmQxKjG5/embedded-agency-via-abstraction#qQwY6tyzSbEuGkrke) discusses the fact that this theory of abstraction as presented looks at “one-shot” agency where the system takes in some data once and then outputs it, rather than “dynamic” agency "&amp;"where a system takes in data and outputs decisions repeatedly over time. [Abram Demski argues](https://www.alignmentforum.org/posts/hLFD6qSN9MmQxKjG5/embedded-agency-via-abstraction#XenkPobqgAjonwios) that the “dynamic” nature of embedded agency is a [cen"&amp;"tral part of the problem](https://www.alignmentforum.org/s/Rm6oQRJJmhGCcLvxh/p/iTpLAaPamcKyjmbFC) and that it may be more valuable and neglected to put research emphasis there.")</f>
        <v>My impression is that embedded agency problems as a class of problems are very young, extremely entangled, and characterized by a lot of confusion. I am enthusiastic about attempts to decrease confusion and intuitively, abstraction does feel like a key component to doing that.
That being said, my guess is that it’s difficult to predictably suggest the most promising research directions in a space that’s so entangled. For example, [one thread in the comments of this post](https://www.alignmentforum.org/posts/hLFD6qSN9MmQxKjG5/embedded-agency-via-abstraction#qQwY6tyzSbEuGkrke) discusses the fact that this theory of abstraction as presented looks at “one-shot” agency where the system takes in some data once and then outputs it, rather than “dynamic” agency where a system takes in data and outputs decisions repeatedly over time. [Abram Demski argues](https://www.alignmentforum.org/posts/hLFD6qSN9MmQxKjG5/embedded-agency-via-abstraction#XenkPobqgAjonwios) that the “dynamic” nature of embedded agency is a [central part of the problem](https://www.alignmentforum.org/s/Rm6oQRJJmhGCcLvxh/p/iTpLAaPamcKyjmbFC) and that it may be more valuable and neglected to put research emphasis there.</v>
      </c>
    </row>
    <row r="62">
      <c r="A62" s="1" t="str">
        <f>IFERROR(__xludf.DUMMYFUNCTION("""COMPUTED_VALUE"""),"Agent foundations")</f>
        <v>Agent foundations</v>
      </c>
      <c r="B62" s="1" t="str">
        <f>IFERROR(__xludf.DUMMYFUNCTION("""COMPUTED_VALUE"""),"")</f>
        <v/>
      </c>
      <c r="C62" s="2" t="str">
        <f>IFERROR(__xludf.DUMMYFUNCTION("""COMPUTED_VALUE"""),"Theory of Ideal Agents, or of Existing Agents?")</f>
        <v>Theory of Ideal Agents, or of Existing Agents?</v>
      </c>
      <c r="D62" s="1" t="str">
        <f>IFERROR(__xludf.DUMMYFUNCTION("""COMPUTED_VALUE"""),"John Wentworth")</f>
        <v>John Wentworth</v>
      </c>
      <c r="E62" s="1" t="str">
        <f>IFERROR(__xludf.DUMMYFUNCTION("""COMPUTED_VALUE"""),"Alignment Forum")</f>
        <v>Alignment Forum</v>
      </c>
      <c r="F62" s="1">
        <f>IFERROR(__xludf.DUMMYFUNCTION("""COMPUTED_VALUE"""),2019.0)</f>
        <v>2019</v>
      </c>
      <c r="G62" s="1"/>
      <c r="H62" s="2" t="str">
        <f>IFERROR(__xludf.DUMMYFUNCTION("""COMPUTED_VALUE"""),"AN #66")</f>
        <v>AN #66</v>
      </c>
      <c r="I62" s="1" t="str">
        <f>IFERROR(__xludf.DUMMYFUNCTION("""COMPUTED_VALUE"""),"Flo")</f>
        <v>Flo</v>
      </c>
      <c r="J62" s="1" t="str">
        <f>IFERROR(__xludf.DUMMYFUNCTION("""COMPUTED_VALUE"""),"There are at least two ways in which a theoretical understanding of agency can be useful: On one hand, such understanding can enable the **design** of an artificial agent with certain properties. On the other hand, it can be used to **describe** existing "&amp;"agents. While both perspectives are likely needed for successfully aligning AI, individual researchers face a tradeoff: either they focus their efforts on existence results concerning strong properties, which helps with design (e.g. most of &lt;@MIRI's work "&amp;"on embedded agency@&gt;(@Embedded Agents@)), or they work on proving weaker properties for a broad class of agents, which helps with description (e.g. [all logical inductors can be described as markets](https://www.alignmentforum.org/posts/WmNeCipNwg9CmGy3T/"&amp;"markets-are-universal-for-logical-induction), summarized next). The prioritization of design versus description is a likely crux in disagreements about the correct approach to developing a theory of agency.")</f>
        <v>There are at least two ways in which a theoretical understanding of agency can be useful: On one hand, such understanding can enable the **design** of an artificial agent with certain properties. On the other hand, it can be used to **describe** existing agents. While both perspectives are likely needed for successfully aligning AI, individual researchers face a tradeoff: either they focus their efforts on existence results concerning strong properties, which helps with design (e.g. most of &lt;@MIRI's work on embedded agency@&gt;(@Embedded Agents@)), or they work on proving weaker properties for a broad class of agents, which helps with description (e.g. [all logical inductors can be described as markets](https://www.alignmentforum.org/posts/WmNeCipNwg9CmGy3T/markets-are-universal-for-logical-induction), summarized next). The prioritization of design versus description is a likely crux in disagreements about the correct approach to developing a theory of agency.</v>
      </c>
      <c r="K62" t="str">
        <f>IFERROR(__xludf.DUMMYFUNCTION("""COMPUTED_VALUE"""),"To facilitate productive discussions it seems important to disentangle disagreements about goals from disagreements about means whenever we can. I liked the clear presentation of this attempt to identify a common source of disagreements on the (sub)goal l"&amp;"evel.")</f>
        <v>To facilitate productive discussions it seems important to disentangle disagreements about goals from disagreements about means whenever we can. I liked the clear presentation of this attempt to identify a common source of disagreements on the (sub)goal level.</v>
      </c>
    </row>
    <row r="63">
      <c r="A63" s="1" t="str">
        <f>IFERROR(__xludf.DUMMYFUNCTION("""COMPUTED_VALUE"""),"Agent foundations")</f>
        <v>Agent foundations</v>
      </c>
      <c r="B63" s="1" t="str">
        <f>IFERROR(__xludf.DUMMYFUNCTION("""COMPUTED_VALUE"""),"")</f>
        <v/>
      </c>
      <c r="C63" s="2" t="str">
        <f>IFERROR(__xludf.DUMMYFUNCTION("""COMPUTED_VALUE"""),"Troll Bridge")</f>
        <v>Troll Bridge</v>
      </c>
      <c r="D63" s="1" t="str">
        <f>IFERROR(__xludf.DUMMYFUNCTION("""COMPUTED_VALUE"""),"Abram Demski")</f>
        <v>Abram Demski</v>
      </c>
      <c r="E63" s="1" t="str">
        <f>IFERROR(__xludf.DUMMYFUNCTION("""COMPUTED_VALUE"""),"Alignment Forum")</f>
        <v>Alignment Forum</v>
      </c>
      <c r="F63" s="1">
        <f>IFERROR(__xludf.DUMMYFUNCTION("""COMPUTED_VALUE"""),2019.0)</f>
        <v>2019</v>
      </c>
      <c r="G63" s="1"/>
      <c r="H63" s="2" t="str">
        <f>IFERROR(__xludf.DUMMYFUNCTION("""COMPUTED_VALUE"""),"AN #63")</f>
        <v>AN #63</v>
      </c>
      <c r="I63" s="1" t="str">
        <f>IFERROR(__xludf.DUMMYFUNCTION("""COMPUTED_VALUE"""),"Rohin")</f>
        <v>Rohin</v>
      </c>
      <c r="J63" s="1" t="str">
        <f>IFERROR(__xludf.DUMMYFUNCTION("""COMPUTED_VALUE"""),"This is a particularly clean exposition of the Troll Bridge problem in decision theory. In this problem, an agent is determining whether to cross a bridge guarded by a troll who will blow up the agent if its reasoning is inconsistent. It turns out that an"&amp;" agent with consistent reasoning can prove that if it crosses, it will be detected as inconsistent and blown up, and so it decides not to cross. This is rather strange reasoning about counterfactuals -- we'd expect perhaps that the agent is uncertain abou"&amp;"t whether its reasoning is consistent or not.")</f>
        <v>This is a particularly clean exposition of the Troll Bridge problem in decision theory. In this problem, an agent is determining whether to cross a bridge guarded by a troll who will blow up the agent if its reasoning is inconsistent. It turns out that an agent with consistent reasoning can prove that if it crosses, it will be detected as inconsistent and blown up, and so it decides not to cross. This is rather strange reasoning about counterfactuals -- we'd expect perhaps that the agent is uncertain about whether its reasoning is consistent or not.</v>
      </c>
    </row>
    <row r="64">
      <c r="A64" s="1" t="str">
        <f>IFERROR(__xludf.DUMMYFUNCTION("""COMPUTED_VALUE"""),"Agent foundations")</f>
        <v>Agent foundations</v>
      </c>
      <c r="B64" s="1" t="str">
        <f>IFERROR(__xludf.DUMMYFUNCTION("""COMPUTED_VALUE"""),"")</f>
        <v/>
      </c>
      <c r="C64" s="2" t="str">
        <f>IFERROR(__xludf.DUMMYFUNCTION("""COMPUTED_VALUE"""),"Selection vs Control")</f>
        <v>Selection vs Control</v>
      </c>
      <c r="D64" s="1" t="str">
        <f>IFERROR(__xludf.DUMMYFUNCTION("""COMPUTED_VALUE"""),"Abram Demski")</f>
        <v>Abram Demski</v>
      </c>
      <c r="E64" s="1" t="str">
        <f>IFERROR(__xludf.DUMMYFUNCTION("""COMPUTED_VALUE"""),"Alignment Forum")</f>
        <v>Alignment Forum</v>
      </c>
      <c r="F64" s="1">
        <f>IFERROR(__xludf.DUMMYFUNCTION("""COMPUTED_VALUE"""),2019.0)</f>
        <v>2019</v>
      </c>
      <c r="G64" s="1"/>
      <c r="H64" s="2" t="str">
        <f>IFERROR(__xludf.DUMMYFUNCTION("""COMPUTED_VALUE"""),"AN #58")</f>
        <v>AN #58</v>
      </c>
      <c r="I64" s="1" t="str">
        <f>IFERROR(__xludf.DUMMYFUNCTION("""COMPUTED_VALUE"""),"Rohin")</f>
        <v>Rohin</v>
      </c>
      <c r="J64" s="1" t="str">
        <f>IFERROR(__xludf.DUMMYFUNCTION("""COMPUTED_VALUE"""),"The previous paper focuses on mesa optimizers that are explicitly searching across a space of possibilities for an option that performs well on some objective. This post argues that in addition to this ""selection"" model of optimization, there is a ""con"&amp;"trol"" model of optimization, where the model cannot evaluate all of the options separately (as in e.g. a heat-seeking missile, which can't try all of the possible paths to the target separately). However, these are not cleanly separated categories -- for"&amp;" example, a search process could have control-based optimization inside of it, in the form of heuristics that guide the search towards more likely regions of the search space.")</f>
        <v>The previous paper focuses on mesa optimizers that are explicitly searching across a space of possibilities for an option that performs well on some objective. This post argues that in addition to this "selection" model of optimization, there is a "control" model of optimization, where the model cannot evaluate all of the options separately (as in e.g. a heat-seeking missile, which can't try all of the possible paths to the target separately). However, these are not cleanly separated categories -- for example, a search process could have control-based optimization inside of it, in the form of heuristics that guide the search towards more likely regions of the search space.</v>
      </c>
      <c r="K64" t="str">
        <f>IFERROR(__xludf.DUMMYFUNCTION("""COMPUTED_VALUE"""),"This is an important distinction, and I'm of the opinion that most of what we call ""intelligence"" is actually more like the ""control"" side of these two options.")</f>
        <v>This is an important distinction, and I'm of the opinion that most of what we call "intelligence" is actually more like the "control" side of these two options.</v>
      </c>
    </row>
    <row r="65">
      <c r="A65" s="1" t="str">
        <f>IFERROR(__xludf.DUMMYFUNCTION("""COMPUTED_VALUE"""),"Agent foundations")</f>
        <v>Agent foundations</v>
      </c>
      <c r="B65" s="1" t="str">
        <f>IFERROR(__xludf.DUMMYFUNCTION("""COMPUTED_VALUE"""),"")</f>
        <v/>
      </c>
      <c r="C65" s="2" t="str">
        <f>IFERROR(__xludf.DUMMYFUNCTION("""COMPUTED_VALUE"""),"Pavlov Generalizes")</f>
        <v>Pavlov Generalizes</v>
      </c>
      <c r="D65" s="1" t="str">
        <f>IFERROR(__xludf.DUMMYFUNCTION("""COMPUTED_VALUE"""),"Abram Demski")</f>
        <v>Abram Demski</v>
      </c>
      <c r="E65" s="1" t="str">
        <f>IFERROR(__xludf.DUMMYFUNCTION("""COMPUTED_VALUE"""),"Alignment Forum")</f>
        <v>Alignment Forum</v>
      </c>
      <c r="F65" s="1">
        <f>IFERROR(__xludf.DUMMYFUNCTION("""COMPUTED_VALUE"""),2019.0)</f>
        <v>2019</v>
      </c>
      <c r="G65" s="1"/>
      <c r="H65" s="2" t="str">
        <f>IFERROR(__xludf.DUMMYFUNCTION("""COMPUTED_VALUE"""),"AN #52")</f>
        <v>AN #52</v>
      </c>
      <c r="I65" s="1" t="str">
        <f>IFERROR(__xludf.DUMMYFUNCTION("""COMPUTED_VALUE"""),"Rohin")</f>
        <v>Rohin</v>
      </c>
      <c r="J65" s="1" t="str">
        <f>IFERROR(__xludf.DUMMYFUNCTION("""COMPUTED_VALUE"""),"In the iterated prisoner's dilemma, the [Pavlov strategy](https://www.lesswrong.com/posts/3rxMBRCYEmHCNDLhu/the-pavlov-strategy) is to start by cooperating, and then switch the action you take whenever the opponent defects. This can be generalized to arbi"&amp;"trary games. Roughly, an agent is ""discontent"" by default and chooses actions randomly. It can become ""content"" if it gets a high payoff, in which case it continues to choose whatever action it previously chose as long as the payoffs remain consistent"&amp;"ly high. This generalization achieves Pareto optimality in the limit, though with a very bad convergence rate. Basically, all of the agents start out discontent and do a lot of exploration, and as long as any one agent is discontent the payoffs will be in"&amp;"consistent and all agents will tend to be discontent. Only when by chance all of the agents take actions that lead to all of them getting high payoffs do they all become content, at which point they keep choosing the same action and stay in the equilibriu"&amp;"m.
Despite the bad convergence, the cool thing about the Pavlov generalization is that it only requires agents to notice when the results are good or bad for them. In contrast, typical strategies that aim to mimic Tit-for-Tat require the agent to reason "&amp;"about the beliefs and utility functions of other agents, which can be quite difficult to do. By just focusing on whether things are going well for themselves, Pavlov agents can get a lot of properties in environments with other agents that Tit-for-Tat str"&amp;"ategies don't obviously get, such as exploiting agents that always cooperate. However, when thinking about &lt;@logical time@&gt;(@In Logical Time, All Games are Iterated Games@), it would seem that a Pavlov-esque strategy would have to make decisions based on "&amp;"a prediction about its own behavior, which is... not obviously doomed, but seems odd. Regardless, given the lack of work on Pavlov strategies, it's worth trying to generalize them further.")</f>
        <v>In the iterated prisoner's dilemma, the [Pavlov strategy](https://www.lesswrong.com/posts/3rxMBRCYEmHCNDLhu/the-pavlov-strategy) is to start by cooperating, and then switch the action you take whenever the opponent defects. This can be generalized to arbitrary games. Roughly, an agent is "discontent" by default and chooses actions randomly. It can become "content" if it gets a high payoff, in which case it continues to choose whatever action it previously chose as long as the payoffs remain consistently high. This generalization achieves Pareto optimality in the limit, though with a very bad convergence rate. Basically, all of the agents start out discontent and do a lot of exploration, and as long as any one agent is discontent the payoffs will be inconsistent and all agents will tend to be discontent. Only when by chance all of the agents take actions that lead to all of them getting high payoffs do they all become content, at which point they keep choosing the same action and stay in the equilibrium.
Despite the bad convergence, the cool thing about the Pavlov generalization is that it only requires agents to notice when the results are good or bad for them. In contrast, typical strategies that aim to mimic Tit-for-Tat require the agent to reason about the beliefs and utility functions of other agents, which can be quite difficult to do. By just focusing on whether things are going well for themselves, Pavlov agents can get a lot of properties in environments with other agents that Tit-for-Tat strategies don't obviously get, such as exploiting agents that always cooperate. However, when thinking about &lt;@logical time@&gt;(@In Logical Time, All Games are Iterated Games@), it would seem that a Pavlov-esque strategy would have to make decisions based on a prediction about its own behavior, which is... not obviously doomed, but seems odd. Regardless, given the lack of work on Pavlov strategies, it's worth trying to generalize them further.</v>
      </c>
    </row>
    <row r="66">
      <c r="A66" s="1" t="str">
        <f>IFERROR(__xludf.DUMMYFUNCTION("""COMPUTED_VALUE"""),"Agent foundations")</f>
        <v>Agent foundations</v>
      </c>
      <c r="B66" s="1" t="str">
        <f>IFERROR(__xludf.DUMMYFUNCTION("""COMPUTED_VALUE"""),"")</f>
        <v/>
      </c>
      <c r="C66" s="2" t="str">
        <f>IFERROR(__xludf.DUMMYFUNCTION("""COMPUTED_VALUE"""),"CDT=EDT=UDT")</f>
        <v>CDT=EDT=UDT</v>
      </c>
      <c r="D66" s="1" t="str">
        <f>IFERROR(__xludf.DUMMYFUNCTION("""COMPUTED_VALUE"""),"Abram Demski")</f>
        <v>Abram Demski</v>
      </c>
      <c r="E66" s="1" t="str">
        <f>IFERROR(__xludf.DUMMYFUNCTION("""COMPUTED_VALUE"""),"Alignment Forum")</f>
        <v>Alignment Forum</v>
      </c>
      <c r="F66" s="1">
        <f>IFERROR(__xludf.DUMMYFUNCTION("""COMPUTED_VALUE"""),2019.0)</f>
        <v>2019</v>
      </c>
      <c r="G66" s="1"/>
      <c r="H66" s="2" t="str">
        <f>IFERROR(__xludf.DUMMYFUNCTION("""COMPUTED_VALUE"""),"AN #42")</f>
        <v>AN #42</v>
      </c>
      <c r="I66" s="1"/>
      <c r="J66" s="1"/>
    </row>
    <row r="67">
      <c r="A67" s="1" t="str">
        <f>IFERROR(__xludf.DUMMYFUNCTION("""COMPUTED_VALUE"""),"Agent foundations")</f>
        <v>Agent foundations</v>
      </c>
      <c r="B67" s="1" t="str">
        <f>IFERROR(__xludf.DUMMYFUNCTION("""COMPUTED_VALUE"""),"")</f>
        <v/>
      </c>
      <c r="C67" s="2" t="str">
        <f>IFERROR(__xludf.DUMMYFUNCTION("""COMPUTED_VALUE"""),"Grokking the Intentional Stance")</f>
        <v>Grokking the Intentional Stance</v>
      </c>
      <c r="D67" s="1" t="str">
        <f>IFERROR(__xludf.DUMMYFUNCTION("""COMPUTED_VALUE"""),"Jack Koch")</f>
        <v>Jack Koch</v>
      </c>
      <c r="E67" s="1" t="str">
        <f>IFERROR(__xludf.DUMMYFUNCTION("""COMPUTED_VALUE"""),"Alignment Forum")</f>
        <v>Alignment Forum</v>
      </c>
      <c r="F67" s="1">
        <f>IFERROR(__xludf.DUMMYFUNCTION("""COMPUTED_VALUE"""),2021.0)</f>
        <v>2021</v>
      </c>
      <c r="G67" s="1"/>
      <c r="H67" s="2" t="str">
        <f>IFERROR(__xludf.DUMMYFUNCTION("""COMPUTED_VALUE"""),"AN #164")</f>
        <v>AN #164</v>
      </c>
      <c r="I67" s="1" t="str">
        <f>IFERROR(__xludf.DUMMYFUNCTION("""COMPUTED_VALUE"""),"Rohin")</f>
        <v>Rohin</v>
      </c>
      <c r="J67" s="1" t="str">
        <f>IFERROR(__xludf.DUMMYFUNCTION("""COMPUTED_VALUE"""),"This post describes takeaways from [The Intentional Stance](https://mitpress.mit.edu/books/intentional-stance) by Daniel Dennett for the concept of agency. The key idea is that whether or not some system is an “agent” depends on who is observing it: for e"&amp;"xample, humans may not look like agents to superintelligent Martians who can predict our every move through a detailed understanding of the laws of physics. A system is an agent relative to an observer if the observer’s best model of the system (i.e. the "&amp;"one that is most predictive) is one in which the system has “goals” and “beliefs”. Thus, with AI systems, we should not ask whether an AI system “is” an agent; instead we should ask whether the AI system’s behavior is reliably predictable by the intention"&amp;"al stance.
How is the idea that agency only arises relative to some observer compatible with our view of ourselves as agents? This can be understood as one “part” of our cognition modeling “ourselves” using the intentional stance. Indeed, a system usuall"&amp;"y cannot model itself in full fidelity, and so it makes a lot of sense that an intentional stance would be used to make an approximate model instead.")</f>
        <v>This post describes takeaways from [The Intentional Stance](https://mitpress.mit.edu/books/intentional-stance) by Daniel Dennett for the concept of agency. The key idea is that whether or not some system is an “agent” depends on who is observing it: for example, humans may not look like agents to superintelligent Martians who can predict our every move through a detailed understanding of the laws of physics. A system is an agent relative to an observer if the observer’s best model of the system (i.e. the one that is most predictive) is one in which the system has “goals” and “beliefs”. Thus, with AI systems, we should not ask whether an AI system “is” an agent; instead we should ask whether the AI system’s behavior is reliably predictable by the intentional stance.
How is the idea that agency only arises relative to some observer compatible with our view of ourselves as agents? This can be understood as one “part” of our cognition modeling “ourselves” using the intentional stance. Indeed, a system usually cannot model itself in full fidelity, and so it makes a lot of sense that an intentional stance would be used to make an approximate model instead.</v>
      </c>
      <c r="K67" t="str">
        <f>IFERROR(__xludf.DUMMYFUNCTION("""COMPUTED_VALUE"""),"I generally agree with the notion that whether or not something feels like an “agent” depends primarily on whether or not we model it using the intentional stance, which is primarily a statement about our understanding of the system. (For example, I expec"&amp;"t programmers are much less likely to anthropomorphize a laptop than laypeople, because they understand the mechanistic workings of laptops better.) However, I think we do need an additional ingredient in AI risk arguments, because such arguments make cla"&amp;"ims about how an AI system will behave in novel circumstances that we’ve never seen before. To justify that claim, we need to have an argument that can predict how the agent behaves in new situations; it doesn’t seem like the intentional stance can give u"&amp;"s that information by itself. See also [this comment](https://www.alignmentforum.org/posts/jHSi6BwDKTLt5dmsG/grokking-the-intentional-stance?commentId=rS27NBMu478YrwxBh).")</f>
        <v>I generally agree with the notion that whether or not something feels like an “agent” depends primarily on whether or not we model it using the intentional stance, which is primarily a statement about our understanding of the system. (For example, I expect programmers are much less likely to anthropomorphize a laptop than laypeople, because they understand the mechanistic workings of laptops better.) However, I think we do need an additional ingredient in AI risk arguments, because such arguments make claims about how an AI system will behave in novel circumstances that we’ve never seen before. To justify that claim, we need to have an argument that can predict how the agent behaves in new situations; it doesn’t seem like the intentional stance can give us that information by itself. See also [this comment](https://www.alignmentforum.org/posts/jHSi6BwDKTLt5dmsG/grokking-the-intentional-stance?commentId=rS27NBMu478YrwxBh).</v>
      </c>
      <c r="M67" t="str">
        <f>IFERROR(__xludf.DUMMYFUNCTION("""COMPUTED_VALUE"""),"&lt;@The ground of optimization@&gt;")</f>
        <v>&lt;@The ground of optimization@&gt;</v>
      </c>
    </row>
    <row r="68">
      <c r="A68" s="1" t="str">
        <f>IFERROR(__xludf.DUMMYFUNCTION("""COMPUTED_VALUE"""),"Agent foundations")</f>
        <v>Agent foundations</v>
      </c>
      <c r="B68" s="1" t="str">
        <f>IFERROR(__xludf.DUMMYFUNCTION("""COMPUTED_VALUE"""),"")</f>
        <v/>
      </c>
      <c r="C68" s="2" t="str">
        <f>IFERROR(__xludf.DUMMYFUNCTION("""COMPUTED_VALUE"""),"The Accumulation of Knowledge")</f>
        <v>The Accumulation of Knowledge</v>
      </c>
      <c r="D68" s="1" t="str">
        <f>IFERROR(__xludf.DUMMYFUNCTION("""COMPUTED_VALUE"""),"Alex Flint")</f>
        <v>Alex Flint</v>
      </c>
      <c r="E68" s="1" t="str">
        <f>IFERROR(__xludf.DUMMYFUNCTION("""COMPUTED_VALUE"""),"Alignment Forum")</f>
        <v>Alignment Forum</v>
      </c>
      <c r="F68" s="1">
        <f>IFERROR(__xludf.DUMMYFUNCTION("""COMPUTED_VALUE"""),2021.0)</f>
        <v>2021</v>
      </c>
      <c r="G68" s="1"/>
      <c r="H68" s="2" t="str">
        <f>IFERROR(__xludf.DUMMYFUNCTION("""COMPUTED_VALUE"""),"AN #156")</f>
        <v>AN #156</v>
      </c>
      <c r="I68" s="1" t="str">
        <f>IFERROR(__xludf.DUMMYFUNCTION("""COMPUTED_VALUE"""),"Rohin")</f>
        <v>Rohin</v>
      </c>
      <c r="J68" s="1" t="str">
        <f>IFERROR(__xludf.DUMMYFUNCTION("""COMPUTED_VALUE"""),"Probability theory can tell us about how we ought to build agents that have knowledge (start with a prior and perform Bayesian updates as evidence comes in). However, this is not the only way to create knowledge: for example, humans are not ideal Bayesian"&amp;" reasoners. As part of our quest to &lt;@_describe_ existing agents@&gt;(@Theory of Ideal Agents, or of Existing Agents?@), could we have a theory of knowledge that specifies when a particular physical region within a closed system is “creating knowledge”? We w"&amp;"ant a theory that &lt;@works in the Game of Life@&gt;(@Agency in Conway’s Game of Life@) as well as the real world.
This sequence investigates this question from the perspective of defining the accumulation of knowledge as increasing correspondence between [a "&amp;"map and the territory](https://en.wikipedia.org/wiki/Map%E2%80%93territory_relation), and concludes that such definitions are not tenable. In particular, it considers four possibilities and demonstrates counterexamples to all of them:
1. Direct map-terri"&amp;"tory resemblance: Here, we say that knowledge accumulates in a physical region of space (the “map”) if that region of space looks more like the full system (the “territory”) over time. 
Problem: This definition fails to account for cases of knowledge whe"&amp;"re the map is represented in a very different way that doesn’t resemble the territory, such as when a map is represented by a sequence of zeros and ones in a computer.
2. Map-territory mutual information: Instead of looking at direct resemblance, we can "&amp;"ask whether there is increasing mutual information between the supposed map and the territory it is meant to represent.
Problem: In the real world, nearly _every_ region of space will have high mutual information with the rest of the world. For example, "&amp;"by this definition, a rock accumulates lots of knowledge as photons incident on its face affect the properties of specific electrons in the rock giving it lots of information.
3. Mutual information of an abstraction layer: An abstraction layer is a group"&amp;"ing of low-level configurations into high-level configurations such that transitions between high-level configurations are predictable without knowing the low-level configurations. For example, the zeros and ones in a computer are the high-level configura"&amp;"tions of a digital abstraction layer over low-level physics. Knowledge accumulates in a region of space if that space has a digital abstraction layer, and the high-level configurations of the map have increasing mutual information with the low-level confi"&amp;"gurations of the territory. 
Problem: A video camera that constantly records would accumulate much more knowledge by this definition than a human, even though the human is much more able to construct models and act on them.
4. Precipitation of action: T"&amp;"he problem with our previous definitions is that they don’t require the knowledge to be _useful_. So perhaps we can instead say that knowledge is accumulating when it is being used to take action. To make this mechanistic, we say that knowledge accumulate"&amp;"s when an entity’s actions become more fine-tuned to a specific environment configuration over time. (Intuitively, they learned more about the environment and so could condition their actions on that knowledge, which they previously could not do.)
Proble"&amp;"m: This definition requires the knowledge to actually be used to count as knowledge. However, if someone makes a map of a coastline, but that map is never used (perhaps it is quickly destroyed), it seems wrong to say that during the map-making process kno"&amp;"wledge was not accumulating. ")</f>
        <v>Probability theory can tell us about how we ought to build agents that have knowledge (start with a prior and perform Bayesian updates as evidence comes in). However, this is not the only way to create knowledge: for example, humans are not ideal Bayesian reasoners. As part of our quest to &lt;@_describe_ existing agents@&gt;(@Theory of Ideal Agents, or of Existing Agents?@), could we have a theory of knowledge that specifies when a particular physical region within a closed system is “creating knowledge”? We want a theory that &lt;@works in the Game of Life@&gt;(@Agency in Conway’s Game of Life@) as well as the real world.
This sequence investigates this question from the perspective of defining the accumulation of knowledge as increasing correspondence between [a map and the territory](https://en.wikipedia.org/wiki/Map%E2%80%93territory_relation), and concludes that such definitions are not tenable. In particular, it considers four possibilities and demonstrates counterexamples to all of them:
1. Direct map-territory resemblance: Here, we say that knowledge accumulates in a physical region of space (the “map”) if that region of space looks more like the full system (the “territory”) over time. 
Problem: This definition fails to account for cases of knowledge where the map is represented in a very different way that doesn’t resemble the territory, such as when a map is represented by a sequence of zeros and ones in a computer.
2. Map-territory mutual information: Instead of looking at direct resemblance, we can ask whether there is increasing mutual information between the supposed map and the territory it is meant to represent.
Problem: In the real world, nearly _every_ region of space will have high mutual information with the rest of the world. For example, by this definition, a rock accumulates lots of knowledge as photons incident on its face affect the properties of specific electrons in the rock giving it lots of information.
3. Mutual information of an abstraction layer: An abstraction layer is a grouping of low-level configurations into high-level configurations such that transitions between high-level configurations are predictable without knowing the low-level configurations. For example, the zeros and ones in a computer are the high-level configurations of a digital abstraction layer over low-level physics. Knowledge accumulates in a region of space if that space has a digital abstraction layer, and the high-level configurations of the map have increasing mutual information with the low-level configurations of the territory. 
Problem: A video camera that constantly records would accumulate much more knowledge by this definition than a human, even though the human is much more able to construct models and act on them.
4. Precipitation of action: The problem with our previous definitions is that they don’t require the knowledge to be _useful_. So perhaps we can instead say that knowledge is accumulating when it is being used to take action. To make this mechanistic, we say that knowledge accumulates when an entity’s actions become more fine-tuned to a specific environment configuration over time. (Intuitively, they learned more about the environment and so could condition their actions on that knowledge, which they previously could not do.)
Problem: This definition requires the knowledge to actually be used to count as knowledge. However, if someone makes a map of a coastline, but that map is never used (perhaps it is quickly destroyed), it seems wrong to say that during the map-making process knowledge was not accumulating. </v>
      </c>
    </row>
    <row r="69">
      <c r="A69" s="1" t="str">
        <f>IFERROR(__xludf.DUMMYFUNCTION("""COMPUTED_VALUE"""),"Agent foundations")</f>
        <v>Agent foundations</v>
      </c>
      <c r="B69" s="1" t="str">
        <f>IFERROR(__xludf.DUMMYFUNCTION("""COMPUTED_VALUE"""),"")</f>
        <v/>
      </c>
      <c r="C69" s="2" t="str">
        <f>IFERROR(__xludf.DUMMYFUNCTION("""COMPUTED_VALUE"""),"A Semitechnical Introductory Dialogue on Solomonoff Induction")</f>
        <v>A Semitechnical Introductory Dialogue on Solomonoff Induction</v>
      </c>
      <c r="D69" s="1" t="str">
        <f>IFERROR(__xludf.DUMMYFUNCTION("""COMPUTED_VALUE"""),"Eliezer Yudkowsky")</f>
        <v>Eliezer Yudkowsky</v>
      </c>
      <c r="E69" s="1" t="str">
        <f>IFERROR(__xludf.DUMMYFUNCTION("""COMPUTED_VALUE"""),"Alignment Forum")</f>
        <v>Alignment Forum</v>
      </c>
      <c r="F69" s="1">
        <f>IFERROR(__xludf.DUMMYFUNCTION("""COMPUTED_VALUE"""),2015.0)</f>
        <v>2015</v>
      </c>
      <c r="G69" s="1"/>
      <c r="H69" s="2" t="str">
        <f>IFERROR(__xludf.DUMMYFUNCTION("""COMPUTED_VALUE"""),"AN #141")</f>
        <v>AN #141</v>
      </c>
      <c r="I69" s="1" t="str">
        <f>IFERROR(__xludf.DUMMYFUNCTION("""COMPUTED_VALUE"""),"Rohin")</f>
        <v>Rohin</v>
      </c>
      <c r="J69" s="1" t="str">
        <f>IFERROR(__xludf.DUMMYFUNCTION("""COMPUTED_VALUE"""),"This post is a good introduction to Solomonoff induction and why it’s interesting (though note it is quite long).")</f>
        <v>This post is a good introduction to Solomonoff induction and why it’s interesting (though note it is quite long).</v>
      </c>
    </row>
    <row r="70">
      <c r="A70" s="1" t="str">
        <f>IFERROR(__xludf.DUMMYFUNCTION("""COMPUTED_VALUE"""),"Agent foundations")</f>
        <v>Agent foundations</v>
      </c>
      <c r="B70" s="1" t="str">
        <f>IFERROR(__xludf.DUMMYFUNCTION("""COMPUTED_VALUE"""),"")</f>
        <v/>
      </c>
      <c r="C70" s="2" t="str">
        <f>IFERROR(__xludf.DUMMYFUNCTION("""COMPUTED_VALUE"""),"Two Alternatives to Logical Counterfactuals")</f>
        <v>Two Alternatives to Logical Counterfactuals</v>
      </c>
      <c r="D70" s="1" t="str">
        <f>IFERROR(__xludf.DUMMYFUNCTION("""COMPUTED_VALUE"""),"Jessica Taylor")</f>
        <v>Jessica Taylor</v>
      </c>
      <c r="E70" s="1" t="str">
        <f>IFERROR(__xludf.DUMMYFUNCTION("""COMPUTED_VALUE"""),"Alignment Forum")</f>
        <v>Alignment Forum</v>
      </c>
      <c r="F70" s="1">
        <f>IFERROR(__xludf.DUMMYFUNCTION("""COMPUTED_VALUE"""),2020.0)</f>
        <v>2020</v>
      </c>
      <c r="G70" s="1"/>
      <c r="H70" s="2" t="str">
        <f>IFERROR(__xludf.DUMMYFUNCTION("""COMPUTED_VALUE"""),"AN #94")</f>
        <v>AN #94</v>
      </c>
      <c r="I70" s="1"/>
      <c r="J70" s="1"/>
    </row>
    <row r="71">
      <c r="A71" s="1" t="str">
        <f>IFERROR(__xludf.DUMMYFUNCTION("""COMPUTED_VALUE"""),"Agent foundations")</f>
        <v>Agent foundations</v>
      </c>
      <c r="B71" s="1" t="str">
        <f>IFERROR(__xludf.DUMMYFUNCTION("""COMPUTED_VALUE"""),"")</f>
        <v/>
      </c>
      <c r="C71" s="2" t="str">
        <f>IFERROR(__xludf.DUMMYFUNCTION("""COMPUTED_VALUE"""),"Dissolving Confusion around Functional Decision Theory")</f>
        <v>Dissolving Confusion around Functional Decision Theory</v>
      </c>
      <c r="D71" s="1" t="str">
        <f>IFERROR(__xludf.DUMMYFUNCTION("""COMPUTED_VALUE"""),"Stephen Casper")</f>
        <v>Stephen Casper</v>
      </c>
      <c r="E71" s="1" t="str">
        <f>IFERROR(__xludf.DUMMYFUNCTION("""COMPUTED_VALUE"""),"LessWrong")</f>
        <v>LessWrong</v>
      </c>
      <c r="F71" s="1">
        <f>IFERROR(__xludf.DUMMYFUNCTION("""COMPUTED_VALUE"""),2020.0)</f>
        <v>2020</v>
      </c>
      <c r="G71" s="1"/>
      <c r="H71" s="2" t="str">
        <f>IFERROR(__xludf.DUMMYFUNCTION("""COMPUTED_VALUE"""),"AN #83")</f>
        <v>AN #83</v>
      </c>
      <c r="I71" s="1" t="str">
        <f>IFERROR(__xludf.DUMMYFUNCTION("""COMPUTED_VALUE"""),"Rohin")</f>
        <v>Rohin</v>
      </c>
      <c r="J71" s="1" t="str">
        <f>IFERROR(__xludf.DUMMYFUNCTION("""COMPUTED_VALUE"""),"This post argues for functional decision theory (FDT) on the basis of the following two principles:
1. Questions in decision theory are not about what ""choice"" you should make with your ""free will"", but about what source code you should be running.
2"&amp;". P ""subjunctively depends"" on A to the extent that P's predictions of A depend on correlations that can't be confounded by choosing the source code that A runs.")</f>
        <v>This post argues for functional decision theory (FDT) on the basis of the following two principles:
1. Questions in decision theory are not about what "choice" you should make with your "free will", but about what source code you should be running.
2. P "subjunctively depends" on A to the extent that P's predictions of A depend on correlations that can't be confounded by choosing the source code that A runs.</v>
      </c>
      <c r="K71" t="str">
        <f>IFERROR(__xludf.DUMMYFUNCTION("""COMPUTED_VALUE"""),"I liked these principles, especially the notion that subjunctive dependence should be cashed out as ""correlations that aren't destroyed by changing the source code"". This isn't a perfect criterion: FDT can and should apply to humans as well, but we _don"&amp;"'t_ have control over our source code.")</f>
        <v>I liked these principles, especially the notion that subjunctive dependence should be cashed out as "correlations that aren't destroyed by changing the source code". This isn't a perfect criterion: FDT can and should apply to humans as well, but we _don't_ have control over our source code.</v>
      </c>
    </row>
    <row r="72">
      <c r="A72" s="1" t="str">
        <f>IFERROR(__xludf.DUMMYFUNCTION("""COMPUTED_VALUE"""),"Agent foundations")</f>
        <v>Agent foundations</v>
      </c>
      <c r="B72" s="1" t="str">
        <f>IFERROR(__xludf.DUMMYFUNCTION("""COMPUTED_VALUE"""),"")</f>
        <v/>
      </c>
      <c r="C72" s="2" t="str">
        <f>IFERROR(__xludf.DUMMYFUNCTION("""COMPUTED_VALUE"""),"Conceptual Problems with UDT and Policy Selection")</f>
        <v>Conceptual Problems with UDT and Policy Selection</v>
      </c>
      <c r="D72" s="1" t="str">
        <f>IFERROR(__xludf.DUMMYFUNCTION("""COMPUTED_VALUE"""),"Abram Demski")</f>
        <v>Abram Demski</v>
      </c>
      <c r="E72" s="1" t="str">
        <f>IFERROR(__xludf.DUMMYFUNCTION("""COMPUTED_VALUE"""),"Alignment Forum")</f>
        <v>Alignment Forum</v>
      </c>
      <c r="F72" s="1">
        <f>IFERROR(__xludf.DUMMYFUNCTION("""COMPUTED_VALUE"""),2019.0)</f>
        <v>2019</v>
      </c>
      <c r="G72" s="1"/>
      <c r="H72" s="2" t="str">
        <f>IFERROR(__xludf.DUMMYFUNCTION("""COMPUTED_VALUE"""),"AN #82")</f>
        <v>AN #82</v>
      </c>
      <c r="I72" s="1" t="str">
        <f>IFERROR(__xludf.DUMMYFUNCTION("""COMPUTED_VALUE"""),"Rohin")</f>
        <v>Rohin</v>
      </c>
      <c r="J72" s="1" t="str">
        <f>IFERROR(__xludf.DUMMYFUNCTION("""COMPUTED_VALUE"""),"In Updateless Decision Theory (UDT), the agent decides ""at the beginning of time"" exactly how it will respond to every possible sequence of observations it could face, so as to maximize the expected value it gets with respect to its prior over how the w"&amp;"orld evolves. It is updateless because it decides ahead of time how it will respond to evidence, rather than updating once it sees the evidence. This works well when the agent can consider the full environment and react to it, and often gets the right res"&amp;"ult even when the environment can model the agent (as in Newcomblike problems), as long as the agent knows how the environment will model it.
However, it seems unlikely that UDT will generalize to logical uncertainty and multiagent settings. Logical unce"&amp;"rtainty occurs when you haven't computed all the consequences of your actions and is reduced by thinking longer. However, this effectively is a form of updating, whereas UDT tries to know everything upfront and never update, and so it seems hard to make i"&amp;"t compatible with logical uncertainty. With multiagent scenarios, the issue is that UDT wants to decide on its policy ""before"" any other policies, which may not always be possible, e.g. if another agent is also using UDT. The philosophy behind UDT is to"&amp;" figure out how you will respond to everything ahead of time; as a result, UDT aims to precommit to strategies assuming that other agents will respond to its commitments; so two UDT agents are effectively ""racing"" to make their commitments as fast as po"&amp;"ssible, reducing the time taken to consider those commitments as much as possible. This seems like a bad recipe if we want UDT agents to work well with each other.")</f>
        <v>In Updateless Decision Theory (UDT), the agent decides "at the beginning of time" exactly how it will respond to every possible sequence of observations it could face, so as to maximize the expected value it gets with respect to its prior over how the world evolves. It is updateless because it decides ahead of time how it will respond to evidence, rather than updating once it sees the evidence. This works well when the agent can consider the full environment and react to it, and often gets the right result even when the environment can model the agent (as in Newcomblike problems), as long as the agent knows how the environment will model it.
However, it seems unlikely that UDT will generalize to logical uncertainty and multiagent settings. Logical uncertainty occurs when you haven't computed all the consequences of your actions and is reduced by thinking longer. However, this effectively is a form of updating, whereas UDT tries to know everything upfront and never update, and so it seems hard to make it compatible with logical uncertainty. With multiagent scenarios, the issue is that UDT wants to decide on its policy "before" any other policies, which may not always be possible, e.g. if another agent is also using UDT. The philosophy behind UDT is to figure out how you will respond to everything ahead of time; as a result, UDT aims to precommit to strategies assuming that other agents will respond to its commitments; so two UDT agents are effectively "racing" to make their commitments as fast as possible, reducing the time taken to consider those commitments as much as possible. This seems like a bad recipe if we want UDT agents to work well with each other.</v>
      </c>
      <c r="K72" t="str">
        <f>IFERROR(__xludf.DUMMYFUNCTION("""COMPUTED_VALUE"""),"I am no expert in decision theory, but these objections seem quite strong and convincing to me.")</f>
        <v>I am no expert in decision theory, but these objections seem quite strong and convincing to me.</v>
      </c>
    </row>
    <row r="73">
      <c r="A73" s="1" t="str">
        <f>IFERROR(__xludf.DUMMYFUNCTION("""COMPUTED_VALUE"""),"Agent foundations")</f>
        <v>Agent foundations</v>
      </c>
      <c r="B73" s="1" t="str">
        <f>IFERROR(__xludf.DUMMYFUNCTION("""COMPUTED_VALUE"""),"")</f>
        <v/>
      </c>
      <c r="C73" s="2" t="str">
        <f>IFERROR(__xludf.DUMMYFUNCTION("""COMPUTED_VALUE"""),"A Critique of Functional Decision Theory")</f>
        <v>A Critique of Functional Decision Theory</v>
      </c>
      <c r="D73" s="1" t="str">
        <f>IFERROR(__xludf.DUMMYFUNCTION("""COMPUTED_VALUE"""),"Will MacAskill")</f>
        <v>Will MacAskill</v>
      </c>
      <c r="E73" s="1" t="str">
        <f>IFERROR(__xludf.DUMMYFUNCTION("""COMPUTED_VALUE"""),"Alignment Forum")</f>
        <v>Alignment Forum</v>
      </c>
      <c r="F73" s="1">
        <f>IFERROR(__xludf.DUMMYFUNCTION("""COMPUTED_VALUE"""),2019.0)</f>
        <v>2019</v>
      </c>
      <c r="G73" s="1"/>
      <c r="H73" s="2" t="str">
        <f>IFERROR(__xludf.DUMMYFUNCTION("""COMPUTED_VALUE"""),"AN #82")</f>
        <v>AN #82</v>
      </c>
      <c r="I73" s="1" t="str">
        <f>IFERROR(__xludf.DUMMYFUNCTION("""COMPUTED_VALUE"""),"Rohin")</f>
        <v>Rohin</v>
      </c>
      <c r="J73" s="1" t="str">
        <f>IFERROR(__xludf.DUMMYFUNCTION("""COMPUTED_VALUE"""),"_This summary is more editorialized than most._ This post critiques [Functional Decision Theory](https://arxiv.org/abs/1710.05060) (FDT). I'm not going to go into detail, but I think the arguments basically fall into two camps. First, there are situations"&amp;" in which there is no uncertainty about the consequences of actions, and yet FDT chooses actions that do not have the highest utility, because of their impact on counterfactual worlds which ""could have happened"" (but ultimately, the agent is just leavin"&amp;"g utility on the table). Second, FDT relies on the ability to tell when someone is ""running an algorithm that is similar to you"", or is ""logically correlated with you"". But there's no such crisp concept, and this leads to all sorts of problems with FD"&amp;"T as a decision theory.")</f>
        <v>_This summary is more editorialized than most._ This post critiques [Functional Decision Theory](https://arxiv.org/abs/1710.05060) (FDT). I'm not going to go into detail, but I think the arguments basically fall into two camps. First, there are situations in which there is no uncertainty about the consequences of actions, and yet FDT chooses actions that do not have the highest utility, because of their impact on counterfactual worlds which "could have happened" (but ultimately, the agent is just leaving utility on the table). Second, FDT relies on the ability to tell when someone is "running an algorithm that is similar to you", or is "logically correlated with you". But there's no such crisp concept, and this leads to all sorts of problems with FDT as a decision theory.</v>
      </c>
      <c r="K73" t="str">
        <f>IFERROR(__xludf.DUMMYFUNCTION("""COMPUTED_VALUE"""),"Like [Buck from MIRI](https://forum.effectivealtruism.org/posts/tDk57GhrdK54TWzPY/i-m-buck-shlegeris-i-do-research-and-outreach-at-miri-ama#iX6knDPMXZb696tDc), I feel like I understand these objections and disagree with them. On the first argument, I agre"&amp;"e with [Abram](https://www.alignmentforum.org/posts/ySLYSsNeFL5CoAQzN/a-critique-of-functional-decision-theory#y8zRwcpNeu2ZhM3yE) that a decision should be evaluated based on how well the agent performs with respect to the probability distribution used to"&amp;" define the problem; FDT only performs badly if you evaluate on a decision problem produced by conditioning on a highly improbable event. On the second class of arguments, I certainly agree that there isn't (yet) a crisp concept for ""logical similarity"""&amp;"; however, I would be shocked if the _intuitive concept_ of logical similarity was not relevant in the general way that FDT suggests. If your goal is to hardcode FDT into an AI agent, or your goal is to write down a decision theory that in principle (e.g."&amp;" with infinite computation) defines the correct action, then it's certainly a problem that we have no crisp definition yet. However, FDT can still be useful for getting more clarity on how one ought to reason, without providing a full definition.")</f>
        <v>Like [Buck from MIRI](https://forum.effectivealtruism.org/posts/tDk57GhrdK54TWzPY/i-m-buck-shlegeris-i-do-research-and-outreach-at-miri-ama#iX6knDPMXZb696tDc), I feel like I understand these objections and disagree with them. On the first argument, I agree with [Abram](https://www.alignmentforum.org/posts/ySLYSsNeFL5CoAQzN/a-critique-of-functional-decision-theory#y8zRwcpNeu2ZhM3yE) that a decision should be evaluated based on how well the agent performs with respect to the probability distribution used to define the problem; FDT only performs badly if you evaluate on a decision problem produced by conditioning on a highly improbable event. On the second class of arguments, I certainly agree that there isn't (yet) a crisp concept for "logical similarity"; however, I would be shocked if the _intuitive concept_ of logical similarity was not relevant in the general way that FDT suggests. If your goal is to hardcode FDT into an AI agent, or your goal is to write down a decision theory that in principle (e.g. with infinite computation) defines the correct action, then it's certainly a problem that we have no crisp definition yet. However, FDT can still be useful for getting more clarity on how one ought to reason, without providing a full definition.</v>
      </c>
    </row>
    <row r="74">
      <c r="A74" s="1" t="str">
        <f>IFERROR(__xludf.DUMMYFUNCTION("""COMPUTED_VALUE"""),"Agent foundations")</f>
        <v>Agent foundations</v>
      </c>
      <c r="B74" s="1" t="str">
        <f>IFERROR(__xludf.DUMMYFUNCTION("""COMPUTED_VALUE"""),"")</f>
        <v/>
      </c>
      <c r="C74" s="2" t="str">
        <f>IFERROR(__xludf.DUMMYFUNCTION("""COMPUTED_VALUE"""),"Two senses of “optimizer”")</f>
        <v>Two senses of “optimizer”</v>
      </c>
      <c r="D74" s="1" t="str">
        <f>IFERROR(__xludf.DUMMYFUNCTION("""COMPUTED_VALUE"""),"Joar Skalse")</f>
        <v>Joar Skalse</v>
      </c>
      <c r="E74" s="1" t="str">
        <f>IFERROR(__xludf.DUMMYFUNCTION("""COMPUTED_VALUE"""),"Alignment Forum")</f>
        <v>Alignment Forum</v>
      </c>
      <c r="F74" s="1">
        <f>IFERROR(__xludf.DUMMYFUNCTION("""COMPUTED_VALUE"""),2019.0)</f>
        <v>2019</v>
      </c>
      <c r="G74" s="1"/>
      <c r="H74" s="2" t="str">
        <f>IFERROR(__xludf.DUMMYFUNCTION("""COMPUTED_VALUE"""),"AN #63")</f>
        <v>AN #63</v>
      </c>
      <c r="I74" s="1" t="str">
        <f>IFERROR(__xludf.DUMMYFUNCTION("""COMPUTED_VALUE"""),"Rohin")</f>
        <v>Rohin</v>
      </c>
      <c r="J74" s="1" t="str">
        <f>IFERROR(__xludf.DUMMYFUNCTION("""COMPUTED_VALUE"""),"The first sense of ""optimizer"" is an optimization algorithm, that given some formally specified problem computes the solution to that problem, e.g. a SAT solver or linear program solver. The second sense is an algorithm that acts upon its environment to"&amp;" change it. Joar believes that people often conflate the two in AI safety.")</f>
        <v>The first sense of "optimizer" is an optimization algorithm, that given some formally specified problem computes the solution to that problem, e.g. a SAT solver or linear program solver. The second sense is an algorithm that acts upon its environment to change it. Joar believes that people often conflate the two in AI safety.</v>
      </c>
      <c r="K74" t="str">
        <f>IFERROR(__xludf.DUMMYFUNCTION("""COMPUTED_VALUE"""),"I agree that this is an important distinction to keep in mind. It seems to me that the distinction is whether the optimizer has knowledge about the environment: in canonical examples of the first kind of optimizer, it does not. If we somehow encoded the d"&amp;"ynamics of the world as a SAT formula and asked a super-powerful SAT solver to solve for the actions that accomplish some goal, it would look like the second kind of optimizer.")</f>
        <v>I agree that this is an important distinction to keep in mind. It seems to me that the distinction is whether the optimizer has knowledge about the environment: in canonical examples of the first kind of optimizer, it does not. If we somehow encoded the dynamics of the world as a SAT formula and asked a super-powerful SAT solver to solve for the actions that accomplish some goal, it would look like the second kind of optimizer.</v>
      </c>
    </row>
    <row r="75">
      <c r="A75" s="1" t="str">
        <f>IFERROR(__xludf.DUMMYFUNCTION("""COMPUTED_VALUE"""),"Agent foundations")</f>
        <v>Agent foundations</v>
      </c>
      <c r="B75" s="1" t="str">
        <f>IFERROR(__xludf.DUMMYFUNCTION("""COMPUTED_VALUE"""),"")</f>
        <v/>
      </c>
      <c r="C75" s="2" t="str">
        <f>IFERROR(__xludf.DUMMYFUNCTION("""COMPUTED_VALUE"""),"Clarifying Logical Counterfactuals")</f>
        <v>Clarifying Logical Counterfactuals</v>
      </c>
      <c r="D75" s="1" t="str">
        <f>IFERROR(__xludf.DUMMYFUNCTION("""COMPUTED_VALUE"""),"Chris Leong")</f>
        <v>Chris Leong</v>
      </c>
      <c r="E75" s="1" t="str">
        <f>IFERROR(__xludf.DUMMYFUNCTION("""COMPUTED_VALUE"""),"LessWrong")</f>
        <v>LessWrong</v>
      </c>
      <c r="F75" s="1">
        <f>IFERROR(__xludf.DUMMYFUNCTION("""COMPUTED_VALUE"""),2019.0)</f>
        <v>2019</v>
      </c>
      <c r="G75" s="1"/>
      <c r="H75" s="2" t="str">
        <f>IFERROR(__xludf.DUMMYFUNCTION("""COMPUTED_VALUE"""),"AN #43")</f>
        <v>AN #43</v>
      </c>
      <c r="I75" s="1"/>
      <c r="J75" s="1"/>
    </row>
    <row r="76">
      <c r="A76" s="1" t="str">
        <f>IFERROR(__xludf.DUMMYFUNCTION("""COMPUTED_VALUE"""),"Agent foundations")</f>
        <v>Agent foundations</v>
      </c>
      <c r="B76" s="1" t="str">
        <f>IFERROR(__xludf.DUMMYFUNCTION("""COMPUTED_VALUE"""),"")</f>
        <v/>
      </c>
      <c r="C76" s="2" t="str">
        <f>IFERROR(__xludf.DUMMYFUNCTION("""COMPUTED_VALUE"""),"CDT Dutch Book")</f>
        <v>CDT Dutch Book</v>
      </c>
      <c r="D76" s="1" t="str">
        <f>IFERROR(__xludf.DUMMYFUNCTION("""COMPUTED_VALUE"""),"Abram Demski")</f>
        <v>Abram Demski</v>
      </c>
      <c r="E76" s="1" t="str">
        <f>IFERROR(__xludf.DUMMYFUNCTION("""COMPUTED_VALUE"""),"Alignment Forum")</f>
        <v>Alignment Forum</v>
      </c>
      <c r="F76" s="1">
        <f>IFERROR(__xludf.DUMMYFUNCTION("""COMPUTED_VALUE"""),2019.0)</f>
        <v>2019</v>
      </c>
      <c r="G76" s="1"/>
      <c r="H76" s="2" t="str">
        <f>IFERROR(__xludf.DUMMYFUNCTION("""COMPUTED_VALUE"""),"AN #42")</f>
        <v>AN #42</v>
      </c>
      <c r="I76" s="1"/>
      <c r="J76" s="1"/>
    </row>
    <row r="77">
      <c r="A77" s="1" t="str">
        <f>IFERROR(__xludf.DUMMYFUNCTION("""COMPUTED_VALUE"""),"Agent foundations")</f>
        <v>Agent foundations</v>
      </c>
      <c r="B77" s="1" t="str">
        <f>IFERROR(__xludf.DUMMYFUNCTION("""COMPUTED_VALUE"""),"")</f>
        <v/>
      </c>
      <c r="C77" s="2" t="str">
        <f>IFERROR(__xludf.DUMMYFUNCTION("""COMPUTED_VALUE"""),"Anthropic paradoxes transposed into Anthropic Decision Theory")</f>
        <v>Anthropic paradoxes transposed into Anthropic Decision Theory</v>
      </c>
      <c r="D77" s="1" t="str">
        <f>IFERROR(__xludf.DUMMYFUNCTION("""COMPUTED_VALUE"""),"Stuart Armstrong")</f>
        <v>Stuart Armstrong</v>
      </c>
      <c r="E77" s="1" t="str">
        <f>IFERROR(__xludf.DUMMYFUNCTION("""COMPUTED_VALUE"""),"Alignment Forum")</f>
        <v>Alignment Forum</v>
      </c>
      <c r="F77" s="1">
        <f>IFERROR(__xludf.DUMMYFUNCTION("""COMPUTED_VALUE"""),2018.0)</f>
        <v>2018</v>
      </c>
      <c r="G77" s="1"/>
      <c r="H77" s="2" t="str">
        <f>IFERROR(__xludf.DUMMYFUNCTION("""COMPUTED_VALUE"""),"AN #38")</f>
        <v>AN #38</v>
      </c>
      <c r="I77" s="1"/>
      <c r="J77" s="1"/>
    </row>
    <row r="78">
      <c r="A78" s="1" t="str">
        <f>IFERROR(__xludf.DUMMYFUNCTION("""COMPUTED_VALUE"""),"Agent foundations")</f>
        <v>Agent foundations</v>
      </c>
      <c r="B78" s="1" t="str">
        <f>IFERROR(__xludf.DUMMYFUNCTION("""COMPUTED_VALUE"""),"")</f>
        <v/>
      </c>
      <c r="C78" s="2" t="str">
        <f>IFERROR(__xludf.DUMMYFUNCTION("""COMPUTED_VALUE"""),"Anthropic probabilities and cost functions")</f>
        <v>Anthropic probabilities and cost functions</v>
      </c>
      <c r="D78" s="1" t="str">
        <f>IFERROR(__xludf.DUMMYFUNCTION("""COMPUTED_VALUE"""),"Stuart Armstrong")</f>
        <v>Stuart Armstrong</v>
      </c>
      <c r="E78" s="1" t="str">
        <f>IFERROR(__xludf.DUMMYFUNCTION("""COMPUTED_VALUE"""),"Alignment Forum")</f>
        <v>Alignment Forum</v>
      </c>
      <c r="F78" s="1">
        <f>IFERROR(__xludf.DUMMYFUNCTION("""COMPUTED_VALUE"""),2018.0)</f>
        <v>2018</v>
      </c>
      <c r="G78" s="1"/>
      <c r="H78" s="2" t="str">
        <f>IFERROR(__xludf.DUMMYFUNCTION("""COMPUTED_VALUE"""),"AN #38")</f>
        <v>AN #38</v>
      </c>
      <c r="I78" s="1"/>
      <c r="J78" s="1"/>
    </row>
    <row r="79">
      <c r="A79" s="1" t="str">
        <f>IFERROR(__xludf.DUMMYFUNCTION("""COMPUTED_VALUE"""),"Agent foundations")</f>
        <v>Agent foundations</v>
      </c>
      <c r="B79" s="1" t="str">
        <f>IFERROR(__xludf.DUMMYFUNCTION("""COMPUTED_VALUE"""),"")</f>
        <v/>
      </c>
      <c r="C79" s="2" t="str">
        <f>IFERROR(__xludf.DUMMYFUNCTION("""COMPUTED_VALUE"""),"Bounded Oracle Induction")</f>
        <v>Bounded Oracle Induction</v>
      </c>
      <c r="D79" s="1" t="str">
        <f>IFERROR(__xludf.DUMMYFUNCTION("""COMPUTED_VALUE"""),"Diffractor")</f>
        <v>Diffractor</v>
      </c>
      <c r="E79" s="1" t="str">
        <f>IFERROR(__xludf.DUMMYFUNCTION("""COMPUTED_VALUE"""),"Alignment Forum")</f>
        <v>Alignment Forum</v>
      </c>
      <c r="F79" s="1">
        <f>IFERROR(__xludf.DUMMYFUNCTION("""COMPUTED_VALUE"""),2018.0)</f>
        <v>2018</v>
      </c>
      <c r="G79" s="1"/>
      <c r="H79" s="2" t="str">
        <f>IFERROR(__xludf.DUMMYFUNCTION("""COMPUTED_VALUE"""),"AN #35")</f>
        <v>AN #35</v>
      </c>
      <c r="I79" s="1"/>
      <c r="J79" s="1"/>
    </row>
    <row r="80">
      <c r="A80" s="1" t="str">
        <f>IFERROR(__xludf.DUMMYFUNCTION("""COMPUTED_VALUE"""),"Agent foundations")</f>
        <v>Agent foundations</v>
      </c>
      <c r="B80" s="1" t="str">
        <f>IFERROR(__xludf.DUMMYFUNCTION("""COMPUTED_VALUE"""),"")</f>
        <v/>
      </c>
      <c r="C80" s="2" t="str">
        <f>IFERROR(__xludf.DUMMYFUNCTION("""COMPUTED_VALUE"""),"Robust program equilibrium")</f>
        <v>Robust program equilibrium</v>
      </c>
      <c r="D80" s="1" t="str">
        <f>IFERROR(__xludf.DUMMYFUNCTION("""COMPUTED_VALUE"""),"Caspar Oesterheld")</f>
        <v>Caspar Oesterheld</v>
      </c>
      <c r="E80" s="1" t="str">
        <f>IFERROR(__xludf.DUMMYFUNCTION("""COMPUTED_VALUE"""),"Springer")</f>
        <v>Springer</v>
      </c>
      <c r="F80" s="1">
        <f>IFERROR(__xludf.DUMMYFUNCTION("""COMPUTED_VALUE"""),2018.0)</f>
        <v>2018</v>
      </c>
      <c r="G80" s="1"/>
      <c r="H80" s="2" t="str">
        <f>IFERROR(__xludf.DUMMYFUNCTION("""COMPUTED_VALUE"""),"AN #35")</f>
        <v>AN #35</v>
      </c>
      <c r="I80" s="1"/>
      <c r="J80" s="1"/>
    </row>
    <row r="81">
      <c r="A81" s="1" t="str">
        <f>IFERROR(__xludf.DUMMYFUNCTION("""COMPUTED_VALUE"""),"Agent foundations")</f>
        <v>Agent foundations</v>
      </c>
      <c r="B81" s="1" t="str">
        <f>IFERROR(__xludf.DUMMYFUNCTION("""COMPUTED_VALUE"""),"")</f>
        <v/>
      </c>
      <c r="C81" s="2" t="str">
        <f>IFERROR(__xludf.DUMMYFUNCTION("""COMPUTED_VALUE"""),"A Rationality Condition for CDT Is That It Equal EDT (Part 2)")</f>
        <v>A Rationality Condition for CDT Is That It Equal EDT (Part 2)</v>
      </c>
      <c r="D81" s="1" t="str">
        <f>IFERROR(__xludf.DUMMYFUNCTION("""COMPUTED_VALUE"""),"Abram Demski")</f>
        <v>Abram Demski</v>
      </c>
      <c r="E81" s="1" t="str">
        <f>IFERROR(__xludf.DUMMYFUNCTION("""COMPUTED_VALUE"""),"Alignment Forum")</f>
        <v>Alignment Forum</v>
      </c>
      <c r="F81" s="1">
        <f>IFERROR(__xludf.DUMMYFUNCTION("""COMPUTED_VALUE"""),2018.0)</f>
        <v>2018</v>
      </c>
      <c r="G81" s="1"/>
      <c r="H81" s="2" t="str">
        <f>IFERROR(__xludf.DUMMYFUNCTION("""COMPUTED_VALUE"""),"AN #28")</f>
        <v>AN #28</v>
      </c>
      <c r="I81" s="1"/>
      <c r="J81" s="1"/>
    </row>
    <row r="82">
      <c r="A82" s="1" t="str">
        <f>IFERROR(__xludf.DUMMYFUNCTION("""COMPUTED_VALUE"""),"Agent foundations")</f>
        <v>Agent foundations</v>
      </c>
      <c r="B82" s="1" t="str">
        <f>IFERROR(__xludf.DUMMYFUNCTION("""COMPUTED_VALUE"""),"")</f>
        <v/>
      </c>
      <c r="C82" s="2" t="str">
        <f>IFERROR(__xludf.DUMMYFUNCTION("""COMPUTED_VALUE"""),"A Rationality Condition for CDT Is That It Equal EDT (Part 1)")</f>
        <v>A Rationality Condition for CDT Is That It Equal EDT (Part 1)</v>
      </c>
      <c r="D82" s="1" t="str">
        <f>IFERROR(__xludf.DUMMYFUNCTION("""COMPUTED_VALUE"""),"Abram Demski")</f>
        <v>Abram Demski</v>
      </c>
      <c r="E82" s="1" t="str">
        <f>IFERROR(__xludf.DUMMYFUNCTION("""COMPUTED_VALUE"""),"Alignment Forum")</f>
        <v>Alignment Forum</v>
      </c>
      <c r="F82" s="1">
        <f>IFERROR(__xludf.DUMMYFUNCTION("""COMPUTED_VALUE"""),2018.0)</f>
        <v>2018</v>
      </c>
      <c r="G82" s="1"/>
      <c r="H82" s="2" t="str">
        <f>IFERROR(__xludf.DUMMYFUNCTION("""COMPUTED_VALUE"""),"AN #27")</f>
        <v>AN #27</v>
      </c>
      <c r="I82" s="1"/>
      <c r="J82" s="1"/>
    </row>
    <row r="83">
      <c r="A83" s="1" t="str">
        <f>IFERROR(__xludf.DUMMYFUNCTION("""COMPUTED_VALUE"""),"Agent foundations")</f>
        <v>Agent foundations</v>
      </c>
      <c r="B83" s="1" t="str">
        <f>IFERROR(__xludf.DUMMYFUNCTION("""COMPUTED_VALUE"""),"")</f>
        <v/>
      </c>
      <c r="C83" s="2" t="str">
        <f>IFERROR(__xludf.DUMMYFUNCTION("""COMPUTED_VALUE"""),"EDT solves 5 and 10 with conditional oracles")</f>
        <v>EDT solves 5 and 10 with conditional oracles</v>
      </c>
      <c r="D83" s="1" t="str">
        <f>IFERROR(__xludf.DUMMYFUNCTION("""COMPUTED_VALUE"""),"jessicata")</f>
        <v>jessicata</v>
      </c>
      <c r="E83" s="1" t="str">
        <f>IFERROR(__xludf.DUMMYFUNCTION("""COMPUTED_VALUE"""),"Alignment Forum")</f>
        <v>Alignment Forum</v>
      </c>
      <c r="F83" s="1">
        <f>IFERROR(__xludf.DUMMYFUNCTION("""COMPUTED_VALUE"""),2018.0)</f>
        <v>2018</v>
      </c>
      <c r="G83" s="1"/>
      <c r="H83" s="2" t="str">
        <f>IFERROR(__xludf.DUMMYFUNCTION("""COMPUTED_VALUE"""),"AN #27")</f>
        <v>AN #27</v>
      </c>
      <c r="I83" s="1"/>
      <c r="J83" s="1"/>
    </row>
    <row r="84">
      <c r="A84" s="1" t="str">
        <f>IFERROR(__xludf.DUMMYFUNCTION("""COMPUTED_VALUE"""),"Agent foundations")</f>
        <v>Agent foundations</v>
      </c>
      <c r="B84" s="1" t="str">
        <f>IFERROR(__xludf.DUMMYFUNCTION("""COMPUTED_VALUE"""),"")</f>
        <v/>
      </c>
      <c r="C84" s="2" t="str">
        <f>IFERROR(__xludf.DUMMYFUNCTION("""COMPUTED_VALUE"""),"Asymptotic Decision Theory (Improved Writeup)")</f>
        <v>Asymptotic Decision Theory (Improved Writeup)</v>
      </c>
      <c r="D84" s="1" t="str">
        <f>IFERROR(__xludf.DUMMYFUNCTION("""COMPUTED_VALUE"""),"Diffractor")</f>
        <v>Diffractor</v>
      </c>
      <c r="E84" s="1" t="str">
        <f>IFERROR(__xludf.DUMMYFUNCTION("""COMPUTED_VALUE"""),"Alignment Forum")</f>
        <v>Alignment Forum</v>
      </c>
      <c r="F84" s="1">
        <f>IFERROR(__xludf.DUMMYFUNCTION("""COMPUTED_VALUE"""),2018.0)</f>
        <v>2018</v>
      </c>
      <c r="G84" s="1"/>
      <c r="H84" s="2" t="str">
        <f>IFERROR(__xludf.DUMMYFUNCTION("""COMPUTED_VALUE"""),"AN #26")</f>
        <v>AN #26</v>
      </c>
      <c r="I84" s="1"/>
      <c r="J84" s="1"/>
    </row>
    <row r="85">
      <c r="A85" s="1" t="str">
        <f>IFERROR(__xludf.DUMMYFUNCTION("""COMPUTED_VALUE"""),"Agent foundations")</f>
        <v>Agent foundations</v>
      </c>
      <c r="B85" s="1" t="str">
        <f>IFERROR(__xludf.DUMMYFUNCTION("""COMPUTED_VALUE"""),"")</f>
        <v/>
      </c>
      <c r="C85" s="2" t="str">
        <f>IFERROR(__xludf.DUMMYFUNCTION("""COMPUTED_VALUE"""),"In Logical Time, All Games are Iterated Games")</f>
        <v>In Logical Time, All Games are Iterated Games</v>
      </c>
      <c r="D85" s="1" t="str">
        <f>IFERROR(__xludf.DUMMYFUNCTION("""COMPUTED_VALUE"""),"Abram Demski")</f>
        <v>Abram Demski</v>
      </c>
      <c r="E85" s="1" t="str">
        <f>IFERROR(__xludf.DUMMYFUNCTION("""COMPUTED_VALUE"""),"Alignment Forum")</f>
        <v>Alignment Forum</v>
      </c>
      <c r="F85" s="1">
        <f>IFERROR(__xludf.DUMMYFUNCTION("""COMPUTED_VALUE"""),2018.0)</f>
        <v>2018</v>
      </c>
      <c r="G85" s="1"/>
      <c r="H85" s="2" t="str">
        <f>IFERROR(__xludf.DUMMYFUNCTION("""COMPUTED_VALUE"""),"AN #25")</f>
        <v>AN #25</v>
      </c>
      <c r="I85" s="1" t="str">
        <f>IFERROR(__xludf.DUMMYFUNCTION("""COMPUTED_VALUE"""),"Richard")</f>
        <v>Richard</v>
      </c>
      <c r="J85" s="1" t="str">
        <f>IFERROR(__xludf.DUMMYFUNCTION("""COMPUTED_VALUE"""),"The key difference between causal and functional decision theory is that the latter supplements the normal notion of causation with ""logical causation"". The decision of agent A can logically cause the decision of agent B even if B made their decision be"&amp;"fore A did - for example, if B made their decision by simulating A. Logical time is an informal concept developed to help reason about which computations cause which other computations: logical causation only flows forward through logical time in the same"&amp;" way that normal causation only flows forward through normal time (although maybe logical time turns out to be loopy). For example, when B simulates A, B is placing themselves later in logical time than A. When I choose not to move my bishop in a game of "&amp;"chess because I've noticed it allows a sequence of moves which ends in me being checkmated, then I am logically later than that sequence of moves. One toy model of logical time is based on proof length - we can consider shorter proofs to be earlier in log"&amp;"ical time than longer proofs. It's apparently surprisingly difficult to find a case where this fails badly.
In logical time, all games are iterated games. We can construct a series of simplified versions of each game where each player's thinking time is "&amp;"bounded. As thinking time increases, the games move later in logical time, and so we can treat them as a series of iterated games whose outcomes causally affect all longer versions. Iterated games are fundamentally different from single-shot games: the [f"&amp;"olk theorem](https://en.wikipedia.org/wiki/Folk_theorem_(game_theory)) states that virtually any outcome is possible in iterated games.")</f>
        <v>The key difference between causal and functional decision theory is that the latter supplements the normal notion of causation with "logical causation". The decision of agent A can logically cause the decision of agent B even if B made their decision before A did - for example, if B made their decision by simulating A. Logical time is an informal concept developed to help reason about which computations cause which other computations: logical causation only flows forward through logical time in the same way that normal causation only flows forward through normal time (although maybe logical time turns out to be loopy). For example, when B simulates A, B is placing themselves later in logical time than A. When I choose not to move my bishop in a game of chess because I've noticed it allows a sequence of moves which ends in me being checkmated, then I am logically later than that sequence of moves. One toy model of logical time is based on proof length - we can consider shorter proofs to be earlier in logical time than longer proofs. It's apparently surprisingly difficult to find a case where this fails badly.
In logical time, all games are iterated games. We can construct a series of simplified versions of each game where each player's thinking time is bounded. As thinking time increases, the games move later in logical time, and so we can treat them as a series of iterated games whose outcomes causally affect all longer versions. Iterated games are fundamentally different from single-shot games: the [folk theorem](https://en.wikipedia.org/wiki/Folk_theorem_(game_theory)) states that virtually any outcome is possible in iterated games.</v>
      </c>
      <c r="K85" t="str">
        <f>IFERROR(__xludf.DUMMYFUNCTION("""COMPUTED_VALUE"""),"I like logical time as an intuitive way of thinking about logical causation. However, the analogy between normal time and logical time seems to break down in some cases. For example, suppose we have two boolean functions F and G, such that F = not G. It s"&amp;"eems like G is logically later than F - yet we could equally well have defined them such that G = not F, which leads to the opposite conclusion. As Abram notes, logical time is intended as an intuition pump not a well-defined theory - yet the possibility "&amp;"of loopiness makes me less confident in its usefulness. In general I am pessimistic about the prospects for finding a formal definition of logical causation, for reasons I described in [Realism about Rationality](https://www.lesswrong.com/posts/suxvE2ddnY"&amp;"MPJN9HD/realism-about-rationality), which Rohin summarised above.")</f>
        <v>I like logical time as an intuitive way of thinking about logical causation. However, the analogy between normal time and logical time seems to break down in some cases. For example, suppose we have two boolean functions F and G, such that F = not G. It seems like G is logically later than F - yet we could equally well have defined them such that G = not F, which leads to the opposite conclusion. As Abram notes, logical time is intended as an intuition pump not a well-defined theory - yet the possibility of loopiness makes me less confident in its usefulness. In general I am pessimistic about the prospects for finding a formal definition of logical causation, for reasons I described in [Realism about Rationality](https://www.lesswrong.com/posts/suxvE2ddnYMPJN9HD/realism-about-rationality), which Rohin summarised above.</v>
      </c>
    </row>
    <row r="86">
      <c r="A86" s="1" t="str">
        <f>IFERROR(__xludf.DUMMYFUNCTION("""COMPUTED_VALUE"""),"Agent foundations")</f>
        <v>Agent foundations</v>
      </c>
      <c r="B86" s="1" t="str">
        <f>IFERROR(__xludf.DUMMYFUNCTION("""COMPUTED_VALUE"""),"")</f>
        <v/>
      </c>
      <c r="C86" s="2" t="str">
        <f>IFERROR(__xludf.DUMMYFUNCTION("""COMPUTED_VALUE"""),"When wishful thinking works")</f>
        <v>When wishful thinking works</v>
      </c>
      <c r="D86" s="1" t="str">
        <f>IFERROR(__xludf.DUMMYFUNCTION("""COMPUTED_VALUE"""),"Alex Mennen")</f>
        <v>Alex Mennen</v>
      </c>
      <c r="E86" s="1" t="str">
        <f>IFERROR(__xludf.DUMMYFUNCTION("""COMPUTED_VALUE"""),"Alignment Forum")</f>
        <v>Alignment Forum</v>
      </c>
      <c r="F86" s="1">
        <f>IFERROR(__xludf.DUMMYFUNCTION("""COMPUTED_VALUE"""),2018.0)</f>
        <v>2018</v>
      </c>
      <c r="G86" s="1"/>
      <c r="H86" s="2" t="str">
        <f>IFERROR(__xludf.DUMMYFUNCTION("""COMPUTED_VALUE"""),"AN #23")</f>
        <v>AN #23</v>
      </c>
      <c r="I86" s="1" t="str">
        <f>IFERROR(__xludf.DUMMYFUNCTION("""COMPUTED_VALUE"""),"Rohin")</f>
        <v>Rohin</v>
      </c>
      <c r="J86" s="1" t="str">
        <f>IFERROR(__xludf.DUMMYFUNCTION("""COMPUTED_VALUE"""),"Sometimes beliefs can be loopy, in that the probability of a belief being true depends on whether you believe it. For example, the probability that a placebo helps you may depend on whether you believe that a placebo helps you. In the situation where you "&amp;"know this, you can ""wish"" your beliefs to be the most useful possible beliefs. In the case where the ""true probability"" depends continuously on your beliefs, you can use a fixed point theorem to find a consistent set of probabilities. There may be man"&amp;"y such fixed points, in which case you can choose the one that would lead to highest expected utility (such as choosing to believe in the placebo). One particular application of this would be to think of the propositions as ""you will take action a_i"". I"&amp;"n this case, you act the way you believe you act, and then every probability distribution over the propositions is a fixed point, and so we just choose the probability distribution (i.e. stochastic policy) that maximized expected utility, as usual. This a"&amp;"nalysis can also be carried to Nash equilibria, where beliefs in what actions you take will affect the actions that the other player takes.")</f>
        <v>Sometimes beliefs can be loopy, in that the probability of a belief being true depends on whether you believe it. For example, the probability that a placebo helps you may depend on whether you believe that a placebo helps you. In the situation where you know this, you can "wish" your beliefs to be the most useful possible beliefs. In the case where the "true probability" depends continuously on your beliefs, you can use a fixed point theorem to find a consistent set of probabilities. There may be many such fixed points, in which case you can choose the one that would lead to highest expected utility (such as choosing to believe in the placebo). One particular application of this would be to think of the propositions as "you will take action a_i". In this case, you act the way you believe you act, and then every probability distribution over the propositions is a fixed point, and so we just choose the probability distribution (i.e. stochastic policy) that maximized expected utility, as usual. This analysis can also be carried to Nash equilibria, where beliefs in what actions you take will affect the actions that the other player takes.</v>
      </c>
    </row>
    <row r="87">
      <c r="A87" s="1" t="str">
        <f>IFERROR(__xludf.DUMMYFUNCTION("""COMPUTED_VALUE"""),"Agent foundations")</f>
        <v>Agent foundations</v>
      </c>
      <c r="B87" s="1" t="str">
        <f>IFERROR(__xludf.DUMMYFUNCTION("""COMPUTED_VALUE"""),"")</f>
        <v/>
      </c>
      <c r="C87" s="2" t="str">
        <f>IFERROR(__xludf.DUMMYFUNCTION("""COMPUTED_VALUE"""),"Counterfactuals and reflective oracles")</f>
        <v>Counterfactuals and reflective oracles</v>
      </c>
      <c r="D87" s="1" t="str">
        <f>IFERROR(__xludf.DUMMYFUNCTION("""COMPUTED_VALUE"""),"Nisan")</f>
        <v>Nisan</v>
      </c>
      <c r="E87" s="1" t="str">
        <f>IFERROR(__xludf.DUMMYFUNCTION("""COMPUTED_VALUE"""),"Alignment Forum")</f>
        <v>Alignment Forum</v>
      </c>
      <c r="F87" s="1">
        <f>IFERROR(__xludf.DUMMYFUNCTION("""COMPUTED_VALUE"""),2018.0)</f>
        <v>2018</v>
      </c>
      <c r="G87" s="1"/>
      <c r="H87" s="2" t="str">
        <f>IFERROR(__xludf.DUMMYFUNCTION("""COMPUTED_VALUE"""),"AN #23")</f>
        <v>AN #23</v>
      </c>
      <c r="I87" s="1"/>
      <c r="J87" s="1"/>
    </row>
    <row r="88">
      <c r="A88" s="1" t="str">
        <f>IFERROR(__xludf.DUMMYFUNCTION("""COMPUTED_VALUE"""),"Agent foundations")</f>
        <v>Agent foundations</v>
      </c>
      <c r="B88" s="1" t="str">
        <f>IFERROR(__xludf.DUMMYFUNCTION("""COMPUTED_VALUE"""),"")</f>
        <v/>
      </c>
      <c r="C88" s="2" t="str">
        <f>IFERROR(__xludf.DUMMYFUNCTION("""COMPUTED_VALUE"""),"Bottle Caps Aren't Optimisers")</f>
        <v>Bottle Caps Aren't Optimisers</v>
      </c>
      <c r="D88" s="1" t="str">
        <f>IFERROR(__xludf.DUMMYFUNCTION("""COMPUTED_VALUE"""),"Daniel Filan")</f>
        <v>Daniel Filan</v>
      </c>
      <c r="E88" s="1" t="str">
        <f>IFERROR(__xludf.DUMMYFUNCTION("""COMPUTED_VALUE"""),"Alignment Forum")</f>
        <v>Alignment Forum</v>
      </c>
      <c r="F88" s="1">
        <f>IFERROR(__xludf.DUMMYFUNCTION("""COMPUTED_VALUE"""),2018.0)</f>
        <v>2018</v>
      </c>
      <c r="G88" s="1"/>
      <c r="H88" s="2" t="str">
        <f>IFERROR(__xludf.DUMMYFUNCTION("""COMPUTED_VALUE"""),"AN #22")</f>
        <v>AN #22</v>
      </c>
      <c r="I88" s="1" t="str">
        <f>IFERROR(__xludf.DUMMYFUNCTION("""COMPUTED_VALUE"""),"Rohin")</f>
        <v>Rohin</v>
      </c>
      <c r="J88" s="1" t="str">
        <f>IFERROR(__xludf.DUMMYFUNCTION("""COMPUTED_VALUE"""),"The previous paper detects optimizers by studying their behavior. However, if the goal is to detect an optimizer before deployment, we need to determine whether an algorithm is performing optimization by studying its source code, _without_ running it. One"&amp;" definition that people have come up with is that an optimizer is something such that the objective function attains higher values than it otherwise would have. However, the author thinks that this definition is insufficient. For example, this would allow"&amp;" us to say that a bottle cap is an optimizer for keeping water inside the bottle. Perhaps in this case we can say that there are simpler descriptions of bottle caps, so those should take precedence. But what about a liver? We could say that a liver is opt"&amp;"imizing for its owner's bank balance, since in its absence the bank balance is not going to increase.")</f>
        <v>The previous paper detects optimizers by studying their behavior. However, if the goal is to detect an optimizer before deployment, we need to determine whether an algorithm is performing optimization by studying its source code, _without_ running it. One definition that people have come up with is that an optimizer is something such that the objective function attains higher values than it otherwise would have. However, the author thinks that this definition is insufficient. For example, this would allow us to say that a bottle cap is an optimizer for keeping water inside the bottle. Perhaps in this case we can say that there are simpler descriptions of bottle caps, so those should take precedence. But what about a liver? We could say that a liver is optimizing for its owner's bank balance, since in its absence the bank balance is not going to increase.</v>
      </c>
      <c r="K88" t="str">
        <f>IFERROR(__xludf.DUMMYFUNCTION("""COMPUTED_VALUE"""),"Here, we want a definition of optimization because we're worried about an AI being deployed, optimizing for some metric in the environment, and then doing something unexpected that we don't like but nonetheless does increase the metric (falling prey to Go"&amp;"odhart's law). It seems better to me to talk about ""optimizer"" and ""agent"" as models of predicting behavior, not something that is an inherent property of the thing producing the behavior. Under that interpretation, we want to figure out whether the a"&amp;"gent model with a particular utility function is a good model for an AI system, by looking at its internals (without running it). It seems particularly important to be able to use this model to predict the behavior in novel situations -- perhaps that's wh"&amp;"at is needed to make the definition of optimizer avoid the counterexamples in this post. (A bottle cap definitely isn't going to keep water in containers if it is simply lying on a table somewhere.)")</f>
        <v>Here, we want a definition of optimization because we're worried about an AI being deployed, optimizing for some metric in the environment, and then doing something unexpected that we don't like but nonetheless does increase the metric (falling prey to Goodhart's law). It seems better to me to talk about "optimizer" and "agent" as models of predicting behavior, not something that is an inherent property of the thing producing the behavior. Under that interpretation, we want to figure out whether the agent model with a particular utility function is a good model for an AI system, by looking at its internals (without running it). It seems particularly important to be able to use this model to predict the behavior in novel situations -- perhaps that's what is needed to make the definition of optimizer avoid the counterexamples in this post. (A bottle cap definitely isn't going to keep water in containers if it is simply lying on a table somewhere.)</v>
      </c>
    </row>
    <row r="89">
      <c r="A89" s="1" t="str">
        <f>IFERROR(__xludf.DUMMYFUNCTION("""COMPUTED_VALUE"""),"Agent foundations")</f>
        <v>Agent foundations</v>
      </c>
      <c r="B89" s="1" t="str">
        <f>IFERROR(__xludf.DUMMYFUNCTION("""COMPUTED_VALUE"""),"")</f>
        <v/>
      </c>
      <c r="C89" s="2" t="str">
        <f>IFERROR(__xludf.DUMMYFUNCTION("""COMPUTED_VALUE"""),"Computational complexity of RL with traps")</f>
        <v>Computational complexity of RL with traps</v>
      </c>
      <c r="D89" s="1" t="str">
        <f>IFERROR(__xludf.DUMMYFUNCTION("""COMPUTED_VALUE"""),"Vadim Kosoy")</f>
        <v>Vadim Kosoy</v>
      </c>
      <c r="E89" s="1" t="str">
        <f>IFERROR(__xludf.DUMMYFUNCTION("""COMPUTED_VALUE"""),"Alignment Forum")</f>
        <v>Alignment Forum</v>
      </c>
      <c r="F89" s="1">
        <f>IFERROR(__xludf.DUMMYFUNCTION("""COMPUTED_VALUE"""),2018.0)</f>
        <v>2018</v>
      </c>
      <c r="G89" s="1"/>
      <c r="H89" s="2" t="str">
        <f>IFERROR(__xludf.DUMMYFUNCTION("""COMPUTED_VALUE"""),"AN #22")</f>
        <v>AN #22</v>
      </c>
      <c r="I89" s="1" t="str">
        <f>IFERROR(__xludf.DUMMYFUNCTION("""COMPUTED_VALUE"""),"Rohin")</f>
        <v>Rohin</v>
      </c>
      <c r="J89" s="1" t="str">
        <f>IFERROR(__xludf.DUMMYFUNCTION("""COMPUTED_VALUE"""),"A post asking about complexity theoretic results around RL, both with (unknown) deterministic and stochastic dynamics.")</f>
        <v>A post asking about complexity theoretic results around RL, both with (unknown) deterministic and stochastic dynamics.</v>
      </c>
    </row>
    <row r="90">
      <c r="A90" s="1" t="str">
        <f>IFERROR(__xludf.DUMMYFUNCTION("""COMPUTED_VALUE"""),"Agent foundations")</f>
        <v>Agent foundations</v>
      </c>
      <c r="B90" s="1" t="str">
        <f>IFERROR(__xludf.DUMMYFUNCTION("""COMPUTED_VALUE"""),"")</f>
        <v/>
      </c>
      <c r="C90" s="2" t="str">
        <f>IFERROR(__xludf.DUMMYFUNCTION("""COMPUTED_VALUE"""),"Corrigibility doesn't always have a good action to take")</f>
        <v>Corrigibility doesn't always have a good action to take</v>
      </c>
      <c r="D90" s="1" t="str">
        <f>IFERROR(__xludf.DUMMYFUNCTION("""COMPUTED_VALUE"""),"Stuart Armstrong")</f>
        <v>Stuart Armstrong</v>
      </c>
      <c r="E90" s="1" t="str">
        <f>IFERROR(__xludf.DUMMYFUNCTION("""COMPUTED_VALUE"""),"Alignment Forum")</f>
        <v>Alignment Forum</v>
      </c>
      <c r="F90" s="1">
        <f>IFERROR(__xludf.DUMMYFUNCTION("""COMPUTED_VALUE"""),2018.0)</f>
        <v>2018</v>
      </c>
      <c r="G90" s="1"/>
      <c r="H90" s="2" t="str">
        <f>IFERROR(__xludf.DUMMYFUNCTION("""COMPUTED_VALUE"""),"AN #22")</f>
        <v>AN #22</v>
      </c>
      <c r="I90" s="1" t="str">
        <f>IFERROR(__xludf.DUMMYFUNCTION("""COMPUTED_VALUE"""),"Rohin")</f>
        <v>Rohin</v>
      </c>
      <c r="J90" s="1" t="str">
        <f>IFERROR(__xludf.DUMMYFUNCTION("""COMPUTED_VALUE"""),"Stuart has [previously argued](https://www.lesswrong.com/posts/T5ZyNq3fzN59aQG5y/the-limits-of-corrigibility) that an AI could be put in situations where no matter what it does, it would affect the human's values. In this short post, he notes that if you "&amp;"then say that it is possible to have situations where the AI cannot act corrigibly, then other problems arise, such as how you can create a superintelligent corrigible AI that does anything at all (since any action that it takes would likely affect our va"&amp;"lues somehow).")</f>
        <v>Stuart has [previously argued](https://www.lesswrong.com/posts/T5ZyNq3fzN59aQG5y/the-limits-of-corrigibility) that an AI could be put in situations where no matter what it does, it would affect the human's values. In this short post, he notes that if you then say that it is possible to have situations where the AI cannot act corrigibly, then other problems arise, such as how you can create a superintelligent corrigible AI that does anything at all (since any action that it takes would likely affect our values somehow).</v>
      </c>
    </row>
    <row r="91">
      <c r="A91" s="1" t="str">
        <f>IFERROR(__xludf.DUMMYFUNCTION("""COMPUTED_VALUE"""),"Agent foundations")</f>
        <v>Agent foundations</v>
      </c>
      <c r="B91" s="1" t="str">
        <f>IFERROR(__xludf.DUMMYFUNCTION("""COMPUTED_VALUE"""),"")</f>
        <v/>
      </c>
      <c r="C91" s="2" t="str">
        <f>IFERROR(__xludf.DUMMYFUNCTION("""COMPUTED_VALUE"""),"Using expected utility for Good(hart)")</f>
        <v>Using expected utility for Good(hart)</v>
      </c>
      <c r="D91" s="1" t="str">
        <f>IFERROR(__xludf.DUMMYFUNCTION("""COMPUTED_VALUE"""),"Stuart Armstrong")</f>
        <v>Stuart Armstrong</v>
      </c>
      <c r="E91" s="1" t="str">
        <f>IFERROR(__xludf.DUMMYFUNCTION("""COMPUTED_VALUE"""),"Alignment Forum")</f>
        <v>Alignment Forum</v>
      </c>
      <c r="F91" s="1">
        <f>IFERROR(__xludf.DUMMYFUNCTION("""COMPUTED_VALUE"""),2018.0)</f>
        <v>2018</v>
      </c>
      <c r="G91" s="1"/>
      <c r="H91" s="2" t="str">
        <f>IFERROR(__xludf.DUMMYFUNCTION("""COMPUTED_VALUE"""),"AN #22")</f>
        <v>AN #22</v>
      </c>
      <c r="I91" s="1" t="str">
        <f>IFERROR(__xludf.DUMMYFUNCTION("""COMPUTED_VALUE"""),"Rohin")</f>
        <v>Rohin</v>
      </c>
      <c r="J91" s="1" t="str">
        <f>IFERROR(__xludf.DUMMYFUNCTION("""COMPUTED_VALUE"""),"If we include all of the uncertainty we have about human values into the utility function, then it seems possible to design an expected utility maximizer that doesn't fall prey to Goodhart's law. The post shows a simple example where there are many variab"&amp;"les that may be of interest to humans, but we're not sure which ones. In this case, by incorporating this uncertainty into our proxy utility function, we can design an expected utility maximizer that has conservative behavior that makes sense.")</f>
        <v>If we include all of the uncertainty we have about human values into the utility function, then it seems possible to design an expected utility maximizer that doesn't fall prey to Goodhart's law. The post shows a simple example where there are many variables that may be of interest to humans, but we're not sure which ones. In this case, by incorporating this uncertainty into our proxy utility function, we can design an expected utility maximizer that has conservative behavior that makes sense.</v>
      </c>
      <c r="K91" t="str">
        <f>IFERROR(__xludf.DUMMYFUNCTION("""COMPUTED_VALUE"""),"On the one hand, I'm sympathetic to this view -- for example, I see risk aversion as a heuristic leading to good expected utility maximization for bounded reasoners on large timescales. On the other hand, an EU maximizer still seems hard to align, because"&amp;" whatever utility function it gets, or distribution over utility functions, it will act as though that input is definitely true, which means that anything we fail to model will never make it into the utility function. If you could have some sort of ""unre"&amp;"solvable"" uncertainty, some reasoning (similar to the [problem of induction](https://en.wikipedia.org/wiki/Problem_of_induction)) suggesting that you can never fully trust your own thoughts to be perfectly correct, that would make me more optimistic abou"&amp;"t an EU maximization based approach, but I don't think it can be done by just changing the utility function, or by adding a distribution over them.")</f>
        <v>On the one hand, I'm sympathetic to this view -- for example, I see risk aversion as a heuristic leading to good expected utility maximization for bounded reasoners on large timescales. On the other hand, an EU maximizer still seems hard to align, because whatever utility function it gets, or distribution over utility functions, it will act as though that input is definitely true, which means that anything we fail to model will never make it into the utility function. If you could have some sort of "unresolvable" uncertainty, some reasoning (similar to the [problem of induction](https://en.wikipedia.org/wiki/Problem_of_induction)) suggesting that you can never fully trust your own thoughts to be perfectly correct, that would make me more optimistic about an EU maximization based approach, but I don't think it can be done by just changing the utility function, or by adding a distribution over them.</v>
      </c>
    </row>
    <row r="92">
      <c r="A92" s="1" t="str">
        <f>IFERROR(__xludf.DUMMYFUNCTION("""COMPUTED_VALUE"""),"Agent foundations")</f>
        <v>Agent foundations</v>
      </c>
      <c r="B92" s="1" t="str">
        <f>IFERROR(__xludf.DUMMYFUNCTION("""COMPUTED_VALUE"""),"")</f>
        <v/>
      </c>
      <c r="C92" s="2" t="str">
        <f>IFERROR(__xludf.DUMMYFUNCTION("""COMPUTED_VALUE"""),"Agents and Devices: A Relative Definition of Agency")</f>
        <v>Agents and Devices: A Relative Definition of Agency</v>
      </c>
      <c r="D92" s="1" t="str">
        <f>IFERROR(__xludf.DUMMYFUNCTION("""COMPUTED_VALUE"""),"Laurent Orseau, Simon McGregor McGill, Shane Legg")</f>
        <v>Laurent Orseau, Simon McGregor McGill, Shane Legg</v>
      </c>
      <c r="E92" s="1" t="str">
        <f>IFERROR(__xludf.DUMMYFUNCTION("""COMPUTED_VALUE"""),"arXiv")</f>
        <v>arXiv</v>
      </c>
      <c r="F92" s="1">
        <f>IFERROR(__xludf.DUMMYFUNCTION("""COMPUTED_VALUE"""),2018.0)</f>
        <v>2018</v>
      </c>
      <c r="G92" s="1"/>
      <c r="H92" s="2" t="str">
        <f>IFERROR(__xludf.DUMMYFUNCTION("""COMPUTED_VALUE"""),"AN #22")</f>
        <v>AN #22</v>
      </c>
      <c r="I92" s="1" t="str">
        <f>IFERROR(__xludf.DUMMYFUNCTION("""COMPUTED_VALUE"""),"Rohin")</f>
        <v>Rohin</v>
      </c>
      <c r="J92" s="1" t="str">
        <f>IFERROR(__xludf.DUMMYFUNCTION("""COMPUTED_VALUE"""),"This paper considers the problem of modeling other behavior, either as an agent (trying to achieve some goal) or as a device (that reacts to its environment without any clear goal). They use Bayesian IRL to model behavior as coming from an agent optimizin"&amp;"g a reward function, and design their own probability model to model the behavior as coming from a device. They then use Bayes rule to decide whether the behavior is better modeled as an agent or as a device. Since they have a uniform prior over agents an"&amp;"d devices, this ends up choosing the one that better fits the data, as measured by log likelihood.
In their toy gridworld, agents are navigating towards particular locations in the gridworld, whereas devices are reacting to their local observation (the t"&amp;"ype of cell in the gridworld that they are currently facing, as well as the previous action they took). They create a few environments by hand which demonstrate that their method infers the intuitive answer given the behavior.")</f>
        <v>This paper considers the problem of modeling other behavior, either as an agent (trying to achieve some goal) or as a device (that reacts to its environment without any clear goal). They use Bayesian IRL to model behavior as coming from an agent optimizing a reward function, and design their own probability model to model the behavior as coming from a device. They then use Bayes rule to decide whether the behavior is better modeled as an agent or as a device. Since they have a uniform prior over agents and devices, this ends up choosing the one that better fits the data, as measured by log likelihood.
In their toy gridworld, agents are navigating towards particular locations in the gridworld, whereas devices are reacting to their local observation (the type of cell in the gridworld that they are currently facing, as well as the previous action they took). They create a few environments by hand which demonstrate that their method infers the intuitive answer given the behavior.</v>
      </c>
      <c r="K92" t="str">
        <f>IFERROR(__xludf.DUMMYFUNCTION("""COMPUTED_VALUE"""),"In their experiments, they have two different model classes with very different inductive biases, and their method correctly switches between the two classes depending on which inductive bias works better. One of these classes is the maximization of some "&amp;"reward function, and so we call that the agent class. However, they also talk about using the Solomonoff prior for devices -- in that case, even if we have something we would normally call an agent, if it is even slightly suboptimal, then with enough data"&amp;" the device explanation will win out.
I'm not entirely sure why they are studying this problem in particular -- one reason is explained in the next post, I'll write more about it in that section.")</f>
        <v>In their experiments, they have two different model classes with very different inductive biases, and their method correctly switches between the two classes depending on which inductive bias works better. One of these classes is the maximization of some reward function, and so we call that the agent class. However, they also talk about using the Solomonoff prior for devices -- in that case, even if we have something we would normally call an agent, if it is even slightly suboptimal, then with enough data the device explanation will win out.
I'm not entirely sure why they are studying this problem in particular -- one reason is explained in the next post, I'll write more about it in that section.</v>
      </c>
    </row>
    <row r="93">
      <c r="A93" s="1" t="str">
        <f>IFERROR(__xludf.DUMMYFUNCTION("""COMPUTED_VALUE"""),"Agent foundations")</f>
        <v>Agent foundations</v>
      </c>
      <c r="B93" s="1" t="str">
        <f>IFERROR(__xludf.DUMMYFUNCTION("""COMPUTED_VALUE"""),"")</f>
        <v/>
      </c>
      <c r="C93" s="2" t="str">
        <f>IFERROR(__xludf.DUMMYFUNCTION("""COMPUTED_VALUE"""),"Cooperative Oracles")</f>
        <v>Cooperative Oracles</v>
      </c>
      <c r="D93" s="1" t="str">
        <f>IFERROR(__xludf.DUMMYFUNCTION("""COMPUTED_VALUE"""),"Diffractor")</f>
        <v>Diffractor</v>
      </c>
      <c r="E93" s="1" t="str">
        <f>IFERROR(__xludf.DUMMYFUNCTION("""COMPUTED_VALUE"""),"Alignment Forum")</f>
        <v>Alignment Forum</v>
      </c>
      <c r="F93" s="1">
        <f>IFERROR(__xludf.DUMMYFUNCTION("""COMPUTED_VALUE"""),2018.0)</f>
        <v>2018</v>
      </c>
      <c r="G93" s="1"/>
      <c r="H93" s="2" t="str">
        <f>IFERROR(__xludf.DUMMYFUNCTION("""COMPUTED_VALUE"""),"AN #22")</f>
        <v>AN #22</v>
      </c>
      <c r="I93" s="1"/>
      <c r="J93" s="1"/>
    </row>
    <row r="94">
      <c r="A94" s="1" t="str">
        <f>IFERROR(__xludf.DUMMYFUNCTION("""COMPUTED_VALUE"""),"Agent foundations")</f>
        <v>Agent foundations</v>
      </c>
      <c r="B94" s="1" t="str">
        <f>IFERROR(__xludf.DUMMYFUNCTION("""COMPUTED_VALUE"""),"")</f>
        <v/>
      </c>
      <c r="C94" s="2" t="str">
        <f>IFERROR(__xludf.DUMMYFUNCTION("""COMPUTED_VALUE"""),"Reducing collective rationality to individual optimization in common-payoff games using MCMC")</f>
        <v>Reducing collective rationality to individual optimization in common-payoff games using MCMC</v>
      </c>
      <c r="D94" s="1" t="str">
        <f>IFERROR(__xludf.DUMMYFUNCTION("""COMPUTED_VALUE"""),"jessicata")</f>
        <v>jessicata</v>
      </c>
      <c r="E94" s="1" t="str">
        <f>IFERROR(__xludf.DUMMYFUNCTION("""COMPUTED_VALUE"""),"Alignment Forum")</f>
        <v>Alignment Forum</v>
      </c>
      <c r="F94" s="1">
        <f>IFERROR(__xludf.DUMMYFUNCTION("""COMPUTED_VALUE"""),2018.0)</f>
        <v>2018</v>
      </c>
      <c r="G94" s="1"/>
      <c r="H94" s="2" t="str">
        <f>IFERROR(__xludf.DUMMYFUNCTION("""COMPUTED_VALUE"""),"AN #21")</f>
        <v>AN #21</v>
      </c>
      <c r="I94" s="1" t="str">
        <f>IFERROR(__xludf.DUMMYFUNCTION("""COMPUTED_VALUE"""),"Rohin")</f>
        <v>Rohin</v>
      </c>
      <c r="J94" s="1" t="str">
        <f>IFERROR(__xludf.DUMMYFUNCTION("""COMPUTED_VALUE"""),"Given how hard multiagent cooperation is, it would be great if we could devise an algorithm such that each agent is only locally optimizing their own utility (without requiring that anyone else change their policy), that still achieves the globally optima"&amp;"l policy. This post considers the case where all players have the same utility function in an iterated game. In this case, we can define a process where at every timestep, one agent is randomly selected, and that agent changes their action in the game uni"&amp;"formly at random with probability that depends on how much utility was just achieved. This depends on a rationality parameter α -- the higher α is, the more likely it is for the player to stick with a high utility action.
This process allows you to reach"&amp;" every possible joint action from every other possible joint action with some non-zero probability, so in the limit of running this process forever, you will end up visiting every state infinitely often. However, by cranking up the value of α, we can ensu"&amp;"re that in the limit we spend most of the time in the high-value states and rarely switch to anything lower, which lets us get arbitrarily close to the optimal deterministic policy (and so arbitrarily close to the optimal expected value).")</f>
        <v>Given how hard multiagent cooperation is, it would be great if we could devise an algorithm such that each agent is only locally optimizing their own utility (without requiring that anyone else change their policy), that still achieves the globally optimal policy. This post considers the case where all players have the same utility function in an iterated game. In this case, we can define a process where at every timestep, one agent is randomly selected, and that agent changes their action in the game uniformly at random with probability that depends on how much utility was just achieved. This depends on a rationality parameter α -- the higher α is, the more likely it is for the player to stick with a high utility action.
This process allows you to reach every possible joint action from every other possible joint action with some non-zero probability, so in the limit of running this process forever, you will end up visiting every state infinitely often. However, by cranking up the value of α, we can ensure that in the limit we spend most of the time in the high-value states and rarely switch to anything lower, which lets us get arbitrarily close to the optimal deterministic policy (and so arbitrarily close to the optimal expected value).</v>
      </c>
      <c r="K94" t="str">
        <f>IFERROR(__xludf.DUMMYFUNCTION("""COMPUTED_VALUE"""),"I like this, it's an explicit construction that demonstrates how you can play with the explore-exploit tradeoff in multiagent settings. Note that when α is set to be very high (the condition in which we get near-optimal outcomes in the limit), there is ve"&amp;"ry little exploration, and so it will take a long time before we actually find the optimal outcome in the first place. It seems like this would make it hard to use in practice, but perhaps we could replace the exploration with reasoning about the game and"&amp;" other agents in it? The author was planning to use reflective oracles to do something like this if I understand correctly.")</f>
        <v>I like this, it's an explicit construction that demonstrates how you can play with the explore-exploit tradeoff in multiagent settings. Note that when α is set to be very high (the condition in which we get near-optimal outcomes in the limit), there is very little exploration, and so it will take a long time before we actually find the optimal outcome in the first place. It seems like this would make it hard to use in practice, but perhaps we could replace the exploration with reasoning about the game and other agents in it? The author was planning to use reflective oracles to do something like this if I understand correctly.</v>
      </c>
    </row>
    <row r="95">
      <c r="A95" s="1" t="str">
        <f>IFERROR(__xludf.DUMMYFUNCTION("""COMPUTED_VALUE"""),"Agent foundations")</f>
        <v>Agent foundations</v>
      </c>
      <c r="B95" s="1" t="str">
        <f>IFERROR(__xludf.DUMMYFUNCTION("""COMPUTED_VALUE"""),"")</f>
        <v/>
      </c>
      <c r="C95" s="2" t="str">
        <f>IFERROR(__xludf.DUMMYFUNCTION("""COMPUTED_VALUE"""),"Computational efficiency reasons not to model VNM-rational preference relations with utility functions")</f>
        <v>Computational efficiency reasons not to model VNM-rational preference relations with utility functions</v>
      </c>
      <c r="D95" s="1" t="str">
        <f>IFERROR(__xludf.DUMMYFUNCTION("""COMPUTED_VALUE"""),"Alex Mennen")</f>
        <v>Alex Mennen</v>
      </c>
      <c r="E95" s="1" t="str">
        <f>IFERROR(__xludf.DUMMYFUNCTION("""COMPUTED_VALUE"""),"LessWrong")</f>
        <v>LessWrong</v>
      </c>
      <c r="F95" s="1">
        <f>IFERROR(__xludf.DUMMYFUNCTION("""COMPUTED_VALUE"""),2018.0)</f>
        <v>2018</v>
      </c>
      <c r="G95" s="1"/>
      <c r="H95" s="2" t="str">
        <f>IFERROR(__xludf.DUMMYFUNCTION("""COMPUTED_VALUE"""),"AN #17")</f>
        <v>AN #17</v>
      </c>
      <c r="I95" s="1" t="str">
        <f>IFERROR(__xludf.DUMMYFUNCTION("""COMPUTED_VALUE"""),"Rohin")</f>
        <v>Rohin</v>
      </c>
      <c r="J95" s="1" t="str">
        <f>IFERROR(__xludf.DUMMYFUNCTION("""COMPUTED_VALUE"""),"Realistic agents don't use utility functions over world histories to make decisions, because it is computationally infeasible, and it's quite possible to make a good decision by only considering the local effects of the decision. For example, when decidin"&amp;"g whether or not to eat a sandwich, we don't typically worry about the outcome of a local election in Siberia. For the same computational reasons, we wouldn't want to use a utility function to model other agents. Perhaps a utility function is useful for m"&amp;"easuring the strength of an agent's preference, but even then it is really measuring the ratio of the strength of the agent's preference to the strength of the agent's preference over the two reference points used to determine the utility function.")</f>
        <v>Realistic agents don't use utility functions over world histories to make decisions, because it is computationally infeasible, and it's quite possible to make a good decision by only considering the local effects of the decision. For example, when deciding whether or not to eat a sandwich, we don't typically worry about the outcome of a local election in Siberia. For the same computational reasons, we wouldn't want to use a utility function to model other agents. Perhaps a utility function is useful for measuring the strength of an agent's preference, but even then it is really measuring the ratio of the strength of the agent's preference to the strength of the agent's preference over the two reference points used to determine the utility function.</v>
      </c>
      <c r="K95" t="str">
        <f>IFERROR(__xludf.DUMMYFUNCTION("""COMPUTED_VALUE"""),"I agree that we certainly don't want to model other agents using full explicit expected utility calculations because it's computationally infeasible. However, as a first approximation it seems okay to model other agents as computationally bounded optimize"&amp;"rs of some utility function. It seems like a bigger problem to me that any such model predicts that the agent will never change its preferences (since that would be bad according to the current utility function).")</f>
        <v>I agree that we certainly don't want to model other agents using full explicit expected utility calculations because it's computationally infeasible. However, as a first approximation it seems okay to model other agents as computationally bounded optimizers of some utility function. It seems like a bigger problem to me that any such model predicts that the agent will never change its preferences (since that would be bad according to the current utility function).</v>
      </c>
    </row>
    <row r="96">
      <c r="A96" s="1" t="str">
        <f>IFERROR(__xludf.DUMMYFUNCTION("""COMPUTED_VALUE"""),"Agent foundations")</f>
        <v>Agent foundations</v>
      </c>
      <c r="B96" s="1" t="str">
        <f>IFERROR(__xludf.DUMMYFUNCTION("""COMPUTED_VALUE"""),"")</f>
        <v/>
      </c>
      <c r="C96" s="2" t="str">
        <f>IFERROR(__xludf.DUMMYFUNCTION("""COMPUTED_VALUE"""),"Stable Pointers to Value III: Recursive Quantilization")</f>
        <v>Stable Pointers to Value III: Recursive Quantilization</v>
      </c>
      <c r="D96" s="1" t="str">
        <f>IFERROR(__xludf.DUMMYFUNCTION("""COMPUTED_VALUE"""),"Abram Demski")</f>
        <v>Abram Demski</v>
      </c>
      <c r="E96" s="1" t="str">
        <f>IFERROR(__xludf.DUMMYFUNCTION("""COMPUTED_VALUE"""),"LessWrong")</f>
        <v>LessWrong</v>
      </c>
      <c r="F96" s="1">
        <f>IFERROR(__xludf.DUMMYFUNCTION("""COMPUTED_VALUE"""),2018.0)</f>
        <v>2018</v>
      </c>
      <c r="G96" s="1"/>
      <c r="H96" s="2" t="str">
        <f>IFERROR(__xludf.DUMMYFUNCTION("""COMPUTED_VALUE"""),"AN #17")</f>
        <v>AN #17</v>
      </c>
      <c r="I96" s="1" t="str">
        <f>IFERROR(__xludf.DUMMYFUNCTION("""COMPUTED_VALUE"""),"Rohin")</f>
        <v>Rohin</v>
      </c>
      <c r="J96" s="1" t="str">
        <f>IFERROR(__xludf.DUMMYFUNCTION("""COMPUTED_VALUE"""),"We often try to solve alignment problems by going a level meta. For example, instead of providing feedback on what the utility function is, we might provide feedback on how to best learn what the utility function is. This seems to get more information abo"&amp;"ut what safe behavior is. What if we iterate this process? For example, in the case of quantilizers with three levels of iteration, we would do a quantilized search over utility function generators, then do a quantilized search over the generated utility "&amp;"functions, and then do a quantilized search to actually take actions.")</f>
        <v>We often try to solve alignment problems by going a level meta. For example, instead of providing feedback on what the utility function is, we might provide feedback on how to best learn what the utility function is. This seems to get more information about what safe behavior is. What if we iterate this process? For example, in the case of quantilizers with three levels of iteration, we would do a quantilized search over utility function generators, then do a quantilized search over the generated utility functions, and then do a quantilized search to actually take actions.</v>
      </c>
      <c r="K96" t="str">
        <f>IFERROR(__xludf.DUMMYFUNCTION("""COMPUTED_VALUE"""),"The post mentions what seems like the most salient issue -- that it is really hard for humans to give feedback even a few meta levels up. How do you evaluate a thing that will create a distribution over utility functions? I might go further -- I'm not eve"&amp;"n sure there is good normative feedback on the meta level(s). There is feedback we can give on the meta level for any particular object-level instance, but it seems not at all obvious (to me) that this advice will generalize well to other object-level ins"&amp;"tances. On the other hand, it does seem to me that the higher up you are in meta-levels, the smaller the space of concepts and the easier it is to learn. So maybe my overall take is that it seems like we can't depend on humans to give meta-level feedback "&amp;"well, but if we can figure out how to either give better feedback or learn from noisy feedback, it would be easier to learn and likely generalize better.")</f>
        <v>The post mentions what seems like the most salient issue -- that it is really hard for humans to give feedback even a few meta levels up. How do you evaluate a thing that will create a distribution over utility functions? I might go further -- I'm not even sure there is good normative feedback on the meta level(s). There is feedback we can give on the meta level for any particular object-level instance, but it seems not at all obvious (to me) that this advice will generalize well to other object-level instances. On the other hand, it does seem to me that the higher up you are in meta-levels, the smaller the space of concepts and the easier it is to learn. So maybe my overall take is that it seems like we can't depend on humans to give meta-level feedback well, but if we can figure out how to either give better feedback or learn from noisy feedback, it would be easier to learn and likely generalize better.</v>
      </c>
    </row>
    <row r="97">
      <c r="A97" s="1" t="str">
        <f>IFERROR(__xludf.DUMMYFUNCTION("""COMPUTED_VALUE"""),"Agent foundations")</f>
        <v>Agent foundations</v>
      </c>
      <c r="B97" s="1" t="str">
        <f>IFERROR(__xludf.DUMMYFUNCTION("""COMPUTED_VALUE"""),"")</f>
        <v/>
      </c>
      <c r="C97" s="2" t="str">
        <f>IFERROR(__xludf.DUMMYFUNCTION("""COMPUTED_VALUE"""),"Countable Factored Spaces")</f>
        <v>Countable Factored Spaces</v>
      </c>
      <c r="D97" s="1" t="str">
        <f>IFERROR(__xludf.DUMMYFUNCTION("""COMPUTED_VALUE"""),"Diffractor")</f>
        <v>Diffractor</v>
      </c>
      <c r="E97" s="1" t="str">
        <f>IFERROR(__xludf.DUMMYFUNCTION("""COMPUTED_VALUE"""),"Alignment Forum")</f>
        <v>Alignment Forum</v>
      </c>
      <c r="F97" s="1">
        <f>IFERROR(__xludf.DUMMYFUNCTION("""COMPUTED_VALUE"""),2021.0)</f>
        <v>2021</v>
      </c>
      <c r="G97" s="1"/>
      <c r="H97" s="2" t="str">
        <f>IFERROR(__xludf.DUMMYFUNCTION("""COMPUTED_VALUE"""),"AN #164")</f>
        <v>AN #164</v>
      </c>
      <c r="I97" s="1" t="str">
        <f>IFERROR(__xludf.DUMMYFUNCTION("""COMPUTED_VALUE"""),"Rohin")</f>
        <v>Rohin</v>
      </c>
      <c r="J97" s="1" t="str">
        <f>IFERROR(__xludf.DUMMYFUNCTION("""COMPUTED_VALUE"""),"This post generalizes the math in &lt;@Finite Factored Sets@&gt;(@Finite Factored Sets sequence@) to (one version of) the infinite case. Everything carries over, except for one direction of the fundamental theorem. (The author suspects that direction is true, b"&amp;"ut was unable to prove it.)")</f>
        <v>This post generalizes the math in &lt;@Finite Factored Sets@&gt;(@Finite Factored Sets sequence@) to (one version of) the infinite case. Everything carries over, except for one direction of the fundamental theorem. (The author suspects that direction is true, but was unable to prove it.)</v>
      </c>
    </row>
    <row r="98">
      <c r="A98" s="1" t="str">
        <f>IFERROR(__xludf.DUMMYFUNCTION("""COMPUTED_VALUE"""),"Agent foundations")</f>
        <v>Agent foundations</v>
      </c>
      <c r="B98" s="1" t="str">
        <f>IFERROR(__xludf.DUMMYFUNCTION("""COMPUTED_VALUE"""),"")</f>
        <v/>
      </c>
      <c r="C98" s="2" t="str">
        <f>IFERROR(__xludf.DUMMYFUNCTION("""COMPUTED_VALUE"""),"Buridan's ass in coordination games")</f>
        <v>Buridan's ass in coordination games</v>
      </c>
      <c r="D98" s="1" t="str">
        <f>IFERROR(__xludf.DUMMYFUNCTION("""COMPUTED_VALUE"""),"jessicata")</f>
        <v>jessicata</v>
      </c>
      <c r="E98" s="1" t="str">
        <f>IFERROR(__xludf.DUMMYFUNCTION("""COMPUTED_VALUE"""),"LessWrong")</f>
        <v>LessWrong</v>
      </c>
      <c r="F98" s="1">
        <f>IFERROR(__xludf.DUMMYFUNCTION("""COMPUTED_VALUE"""),2018.0)</f>
        <v>2018</v>
      </c>
      <c r="G98" s="1"/>
      <c r="H98" s="2" t="str">
        <f>IFERROR(__xludf.DUMMYFUNCTION("""COMPUTED_VALUE"""),"AN #16")</f>
        <v>AN #16</v>
      </c>
      <c r="I98" s="1" t="str">
        <f>IFERROR(__xludf.DUMMYFUNCTION("""COMPUTED_VALUE"""),"Rohin")</f>
        <v>Rohin</v>
      </c>
      <c r="J98" s="1" t="str">
        <f>IFERROR(__xludf.DUMMYFUNCTION("""COMPUTED_VALUE"""),"Suppose two agents have to coordinate to choose the same action, X or Y, where X gives utility 1 and Y gives utility u, for some u in [0, 2]. (If the agents fail to coordinate, they get zero utility.) If the agents communicate, decide on policies, then ob"&amp;"serve the value of u with some noise ϵ, and then execute their policies independently, there must be some u for which they lose out on significant utility. Intuitively, the proof is that at u = 0, you should say X, and at u = 2, you should say Y, and ther"&amp;"e is some intermediate value where you are indifferent between the two (equal probability of choosing X or Y), meaning that 50% of the time you will fail to coordinate. However, if you have a shared source of randomness (after observing the value of u), t"&amp;"hen you can correlate your decisions using the randomness in order to do much better.")</f>
        <v>Suppose two agents have to coordinate to choose the same action, X or Y, where X gives utility 1 and Y gives utility u, for some u in [0, 2]. (If the agents fail to coordinate, they get zero utility.) If the agents communicate, decide on policies, then observe the value of u with some noise ϵ, and then execute their policies independently, there must be some u for which they lose out on significant utility. Intuitively, the proof is that at u = 0, you should say X, and at u = 2, you should say Y, and there is some intermediate value where you are indifferent between the two (equal probability of choosing X or Y), meaning that 50% of the time you will fail to coordinate. However, if you have a shared source of randomness (after observing the value of u), then you can correlate your decisions using the randomness in order to do much better.</v>
      </c>
      <c r="K98" t="str">
        <f>IFERROR(__xludf.DUMMYFUNCTION("""COMPUTED_VALUE"""),"Cool result, and quite easy to understand. As usual I don't want to speculate on relevance to AI alignment because it's not my area.")</f>
        <v>Cool result, and quite easy to understand. As usual I don't want to speculate on relevance to AI alignment because it's not my area.</v>
      </c>
    </row>
    <row r="99">
      <c r="A99" s="1" t="str">
        <f>IFERROR(__xludf.DUMMYFUNCTION("""COMPUTED_VALUE"""),"Agent foundations")</f>
        <v>Agent foundations</v>
      </c>
      <c r="B99" s="1" t="str">
        <f>IFERROR(__xludf.DUMMYFUNCTION("""COMPUTED_VALUE"""),"")</f>
        <v/>
      </c>
      <c r="C99" s="2" t="str">
        <f>IFERROR(__xludf.DUMMYFUNCTION("""COMPUTED_VALUE"""),"Probability is Real, and Value is Complex")</f>
        <v>Probability is Real, and Value is Complex</v>
      </c>
      <c r="D99" s="1" t="str">
        <f>IFERROR(__xludf.DUMMYFUNCTION("""COMPUTED_VALUE"""),"Abram Demski")</f>
        <v>Abram Demski</v>
      </c>
      <c r="E99" s="1" t="str">
        <f>IFERROR(__xludf.DUMMYFUNCTION("""COMPUTED_VALUE"""),"LessWrong")</f>
        <v>LessWrong</v>
      </c>
      <c r="F99" s="1">
        <f>IFERROR(__xludf.DUMMYFUNCTION("""COMPUTED_VALUE"""),2018.0)</f>
        <v>2018</v>
      </c>
      <c r="G99" s="1"/>
      <c r="H99" s="2" t="str">
        <f>IFERROR(__xludf.DUMMYFUNCTION("""COMPUTED_VALUE"""),"AN #16")</f>
        <v>AN #16</v>
      </c>
      <c r="I99" s="1" t="str">
        <f>IFERROR(__xludf.DUMMYFUNCTION("""COMPUTED_VALUE"""),"Rohin")</f>
        <v>Rohin</v>
      </c>
      <c r="J99" s="1" t="str">
        <f>IFERROR(__xludf.DUMMYFUNCTION("""COMPUTED_VALUE"""),"If you interpret events as vectors on a graph, with probability on the x-axis and probability * utility on the y-axis, then any rotation of the vectors preserves the preference relation, so that you will make the same decision. This means that from decisi"&amp;"ons, you cannot distinguish between rotations, which intuitively means that you can't tell if a decision was made because it had a low probability of high utility, or medium probability of medium utility, for example. As a result, beliefs and utilities ar"&amp;"e inextricably linked, and you can't just separate them. Key quote: ""Viewing [probabilities and utilities] in this way makes it somewhat more natural to think that probabilities are more like ""caring measure"" expressing how much the agent cares about h"&amp;"ow things go in particular worlds, rather than subjective approximations of an objective ""magical reality fluid"" which determines what worlds are experienced.""")</f>
        <v>If you interpret events as vectors on a graph, with probability on the x-axis and probability * utility on the y-axis, then any rotation of the vectors preserves the preference relation, so that you will make the same decision. This means that from decisions, you cannot distinguish between rotations, which intuitively means that you can't tell if a decision was made because it had a low probability of high utility, or medium probability of medium utility, for example. As a result, beliefs and utilities are inextricably linked, and you can't just separate them. Key quote: "Viewing [probabilities and utilities] in this way makes it somewhat more natural to think that probabilities are more like "caring measure" expressing how much the agent cares about how things go in particular worlds, rather than subjective approximations of an objective "magical reality fluid" which determines what worlds are experienced."</v>
      </c>
      <c r="K99" t="str">
        <f>IFERROR(__xludf.DUMMYFUNCTION("""COMPUTED_VALUE"""),"I am confused. If you want to read my probably-incoherent confused opinion on it, it's [here](https://www.lesswrong.com/posts/oheKfWA7SsvpK7SGp/probability-is-real-and-value-is-complex#F8d6RSvxtsXrJ7dyL).")</f>
        <v>I am confused. If you want to read my probably-incoherent confused opinion on it, it's [here](https://www.lesswrong.com/posts/oheKfWA7SsvpK7SGp/probability-is-real-and-value-is-complex#F8d6RSvxtsXrJ7dyL).</v>
      </c>
      <c r="L99" s="3" t="str">
        <f>IFERROR(__xludf.DUMMYFUNCTION("""COMPUTED_VALUE"""),"Bayesian Utility: Representing Preference by Probability Measures")</f>
        <v>Bayesian Utility: Representing Preference by Probability Measures</v>
      </c>
    </row>
    <row r="100">
      <c r="A100" s="1" t="str">
        <f>IFERROR(__xludf.DUMMYFUNCTION("""COMPUTED_VALUE"""),"Agent foundations")</f>
        <v>Agent foundations</v>
      </c>
      <c r="B100" s="1" t="str">
        <f>IFERROR(__xludf.DUMMYFUNCTION("""COMPUTED_VALUE"""),"")</f>
        <v/>
      </c>
      <c r="C100" s="2" t="str">
        <f>IFERROR(__xludf.DUMMYFUNCTION("""COMPUTED_VALUE"""),"Agency in Conway’s Game of Life")</f>
        <v>Agency in Conway’s Game of Life</v>
      </c>
      <c r="D100" s="1" t="str">
        <f>IFERROR(__xludf.DUMMYFUNCTION("""COMPUTED_VALUE"""),"Alex Flint")</f>
        <v>Alex Flint</v>
      </c>
      <c r="E100" s="1" t="str">
        <f>IFERROR(__xludf.DUMMYFUNCTION("""COMPUTED_VALUE"""),"Alignment Forum")</f>
        <v>Alignment Forum</v>
      </c>
      <c r="F100" s="1">
        <f>IFERROR(__xludf.DUMMYFUNCTION("""COMPUTED_VALUE"""),2021.0)</f>
        <v>2021</v>
      </c>
      <c r="G100" s="1"/>
      <c r="H100" s="2" t="str">
        <f>IFERROR(__xludf.DUMMYFUNCTION("""COMPUTED_VALUE"""),"AN #151")</f>
        <v>AN #151</v>
      </c>
      <c r="I100" s="1" t="str">
        <f>IFERROR(__xludf.DUMMYFUNCTION("""COMPUTED_VALUE"""),"Rohin")</f>
        <v>Rohin</v>
      </c>
      <c r="J100" s="1" t="str">
        <f>IFERROR(__xludf.DUMMYFUNCTION("""COMPUTED_VALUE"""),"Conway’s Game of Life (GoL) is a simple cellular automaton which is Turing-complete. As a result, it should be possible to build an “artificial intelligence” system in GoL. One way that we could phrase this is: Imagine a GoL board with 10^30 rows and 10^3"&amp;"0 columns, where we are able to set the initial state of the top left 10^20 by 10^20 square. Can we set that initial state appropriately such that after a suitable amount of time, the full board evolves to a desired state (perhaps a giant smiley face) for"&amp;" the vast majority of possible initializations of the remaining area?
This requires us to find some setting of the initial 10^20 by 10^20 square that has [expandable, steerable influence](https://www.lesswrong.com/posts/tmZRyXvH9dgopcnuE/life-and-expandi"&amp;"ng-steerable-consequences). Intuitively, the best way to do this would be to build “sensors” and “effectors” to have inputs and outputs and then have some program decide what the effectors should do based on the input from the sensors. The “goal” of the p"&amp;"rogram would then be to steer the world towards the desired state. Thus, this is a framing of the problem of AI (both capabilities and alignment) in GoL, rather than in our native physics.")</f>
        <v>Conway’s Game of Life (GoL) is a simple cellular automaton which is Turing-complete. As a result, it should be possible to build an “artificial intelligence” system in GoL. One way that we could phrase this is: Imagine a GoL board with 10^30 rows and 10^30 columns, where we are able to set the initial state of the top left 10^20 by 10^20 square. Can we set that initial state appropriately such that after a suitable amount of time, the full board evolves to a desired state (perhaps a giant smiley face) for the vast majority of possible initializations of the remaining area?
This requires us to find some setting of the initial 10^20 by 10^20 square that has [expandable, steerable influence](https://www.lesswrong.com/posts/tmZRyXvH9dgopcnuE/life-and-expanding-steerable-consequences). Intuitively, the best way to do this would be to build “sensors” and “effectors” to have inputs and outputs and then have some program decide what the effectors should do based on the input from the sensors. The “goal” of the program would then be to steer the world towards the desired state. Thus, this is a framing of the problem of AI (both capabilities and alignment) in GoL, rather than in our native physics.</v>
      </c>
      <c r="K100" t="str">
        <f>IFERROR(__xludf.DUMMYFUNCTION("""COMPUTED_VALUE"""),"With the tower of abstractions we humans have built, we now naturally think in terms of inputs and outputs for the agents we build. This hypothetical seems good for shaking us out of that mindset, as we don’t really know what the analogous inputs and outp"&amp;"uts in GoL would be, and so we are forced to consider those aspects of the design process as well.")</f>
        <v>With the tower of abstractions we humans have built, we now naturally think in terms of inputs and outputs for the agents we build. This hypothetical seems good for shaking us out of that mindset, as we don’t really know what the analogous inputs and outputs in GoL would be, and so we are forced to consider those aspects of the design process as well.</v>
      </c>
    </row>
    <row r="101">
      <c r="A101" s="1" t="str">
        <f>IFERROR(__xludf.DUMMYFUNCTION("""COMPUTED_VALUE"""),"Agent foundations")</f>
        <v>Agent foundations</v>
      </c>
      <c r="B101" s="1" t="str">
        <f>IFERROR(__xludf.DUMMYFUNCTION("""COMPUTED_VALUE"""),"")</f>
        <v/>
      </c>
      <c r="C101" s="2" t="str">
        <f>IFERROR(__xludf.DUMMYFUNCTION("""COMPUTED_VALUE"""),"Bayesian Probability is for things that are Space-like Separated from You")</f>
        <v>Bayesian Probability is for things that are Space-like Separated from You</v>
      </c>
      <c r="D101" s="1" t="str">
        <f>IFERROR(__xludf.DUMMYFUNCTION("""COMPUTED_VALUE"""),"Scott Garrabrant")</f>
        <v>Scott Garrabrant</v>
      </c>
      <c r="E101" s="1" t="str">
        <f>IFERROR(__xludf.DUMMYFUNCTION("""COMPUTED_VALUE"""),"LessWrong")</f>
        <v>LessWrong</v>
      </c>
      <c r="F101" s="1">
        <f>IFERROR(__xludf.DUMMYFUNCTION("""COMPUTED_VALUE"""),2018.0)</f>
        <v>2018</v>
      </c>
      <c r="G101" s="1"/>
      <c r="H101" s="2" t="str">
        <f>IFERROR(__xludf.DUMMYFUNCTION("""COMPUTED_VALUE"""),"AN #15")</f>
        <v>AN #15</v>
      </c>
      <c r="I101" s="1" t="str">
        <f>IFERROR(__xludf.DUMMYFUNCTION("""COMPUTED_VALUE"""),"Rohin")</f>
        <v>Rohin</v>
      </c>
      <c r="J101" s="1" t="str">
        <f>IFERROR(__xludf.DUMMYFUNCTION("""COMPUTED_VALUE"""),"When an agent has uncertainty about things that either influenced which algorithm the agent is running (the agent's ""past"") or about things that will be affected by the agent's actions (the agent's ""future""), you may not want to use Bayesian probabili"&amp;"ty. Key quote: ""The problem is that the standard justifications of Bayesian probability are in a framework where the facts that you are uncertain about are not in any way affected by whether or not you believe them!"" This is not the case for events in t"&amp;"he agent's ""past"" or ""future"". So, you should only use Bayesian probability for everything else, which are ""space-like separated"" from you (in analogy with space-like separation in relativity).")</f>
        <v>When an agent has uncertainty about things that either influenced which algorithm the agent is running (the agent's "past") or about things that will be affected by the agent's actions (the agent's "future"), you may not want to use Bayesian probability. Key quote: "The problem is that the standard justifications of Bayesian probability are in a framework where the facts that you are uncertain about are not in any way affected by whether or not you believe them!" This is not the case for events in the agent's "past" or "future". So, you should only use Bayesian probability for everything else, which are "space-like separated" from you (in analogy with space-like separation in relativity).</v>
      </c>
      <c r="K101" t="str">
        <f>IFERROR(__xludf.DUMMYFUNCTION("""COMPUTED_VALUE"""),"I don't know much about the justifications for Bayesianism. However, I would expect any justification to break down once you start to allow for sentences where the agent's degree of belief in the sentence affects its truth value, so the post makes sense g"&amp;"iven that intuition.")</f>
        <v>I don't know much about the justifications for Bayesianism. However, I would expect any justification to break down once you start to allow for sentences where the agent's degree of belief in the sentence affects its truth value, so the post makes sense given that intuition.</v>
      </c>
    </row>
    <row r="102">
      <c r="A102" s="1" t="str">
        <f>IFERROR(__xludf.DUMMYFUNCTION("""COMPUTED_VALUE"""),"Agent foundations")</f>
        <v>Agent foundations</v>
      </c>
      <c r="B102" s="1" t="str">
        <f>IFERROR(__xludf.DUMMYFUNCTION("""COMPUTED_VALUE"""),"")</f>
        <v/>
      </c>
      <c r="C102" s="2" t="str">
        <f>IFERROR(__xludf.DUMMYFUNCTION("""COMPUTED_VALUE"""),"Complete Class: Consequentialist Foundations")</f>
        <v>Complete Class: Consequentialist Foundations</v>
      </c>
      <c r="D102" s="1" t="str">
        <f>IFERROR(__xludf.DUMMYFUNCTION("""COMPUTED_VALUE"""),"Abram Demski")</f>
        <v>Abram Demski</v>
      </c>
      <c r="E102" s="1" t="str">
        <f>IFERROR(__xludf.DUMMYFUNCTION("""COMPUTED_VALUE"""),"LessWrong")</f>
        <v>LessWrong</v>
      </c>
      <c r="F102" s="1">
        <f>IFERROR(__xludf.DUMMYFUNCTION("""COMPUTED_VALUE"""),2018.0)</f>
        <v>2018</v>
      </c>
      <c r="G102" s="1"/>
      <c r="H102" s="2" t="str">
        <f>IFERROR(__xludf.DUMMYFUNCTION("""COMPUTED_VALUE"""),"AN #15")</f>
        <v>AN #15</v>
      </c>
      <c r="I102" s="1" t="str">
        <f>IFERROR(__xludf.DUMMYFUNCTION("""COMPUTED_VALUE"""),"Rohin")</f>
        <v>Rohin</v>
      </c>
      <c r="J102" s="1" t="str">
        <f>IFERROR(__xludf.DUMMYFUNCTION("""COMPUTED_VALUE"""),"An introduction to ""complete class theorems"", which can be used to motivate the use of probabilities and decision theory.")</f>
        <v>An introduction to "complete class theorems", which can be used to motivate the use of probabilities and decision theory.</v>
      </c>
      <c r="K102" t="str">
        <f>IFERROR(__xludf.DUMMYFUNCTION("""COMPUTED_VALUE"""),"This is cool, and I do want to learn more about complete class theorems. The post doesn't go into great detail on any of the theorems, but from what's there it seems like these theorems would be useful for figuring out what things we can argue from first "&amp;"principles (akin to the VNM theorem and dutch book arguments).")</f>
        <v>This is cool, and I do want to learn more about complete class theorems. The post doesn't go into great detail on any of the theorems, but from what's there it seems like these theorems would be useful for figuring out what things we can argue from first principles (akin to the VNM theorem and dutch book arguments).</v>
      </c>
    </row>
    <row r="103">
      <c r="A103" s="1" t="str">
        <f>IFERROR(__xludf.DUMMYFUNCTION("""COMPUTED_VALUE"""),"Agent foundations")</f>
        <v>Agent foundations</v>
      </c>
      <c r="B103" s="1" t="str">
        <f>IFERROR(__xludf.DUMMYFUNCTION("""COMPUTED_VALUE"""),"")</f>
        <v/>
      </c>
      <c r="C103" s="2" t="str">
        <f>IFERROR(__xludf.DUMMYFUNCTION("""COMPUTED_VALUE"""),"The Many Faces of Infra-Beliefs")</f>
        <v>The Many Faces of Infra-Beliefs</v>
      </c>
      <c r="D103" s="1" t="str">
        <f>IFERROR(__xludf.DUMMYFUNCTION("""COMPUTED_VALUE"""),"Diffractor")</f>
        <v>Diffractor</v>
      </c>
      <c r="E103" s="1" t="str">
        <f>IFERROR(__xludf.DUMMYFUNCTION("""COMPUTED_VALUE"""),"Alignment Forum")</f>
        <v>Alignment Forum</v>
      </c>
      <c r="F103" s="1">
        <f>IFERROR(__xludf.DUMMYFUNCTION("""COMPUTED_VALUE"""),2021.0)</f>
        <v>2021</v>
      </c>
      <c r="G103" s="1"/>
      <c r="H103" s="2" t="str">
        <f>IFERROR(__xludf.DUMMYFUNCTION("""COMPUTED_VALUE"""),"AN #148")</f>
        <v>AN #148</v>
      </c>
      <c r="I103" s="1" t="str">
        <f>IFERROR(__xludf.DUMMYFUNCTION("""COMPUTED_VALUE"""),"Rohin")</f>
        <v>Rohin</v>
      </c>
      <c r="J103" s="1" t="str">
        <f>IFERROR(__xludf.DUMMYFUNCTION("""COMPUTED_VALUE"""),"When modeling an agent that acts in a world &lt;@that contains it@&gt;(@Embedded Agents@), there are different ways that we could represent what a “hypothesis about the world” should look like. (We’ll use &lt;@infra-Bayesianism@&gt;(@Infra-Bayesianism sequence@) to a"&amp;"llow us to have hypotheses over environments that are “bigger” than the agent, in the sense of containing the agent.) In particular, hypotheses can vary along two axes:
1. **First-person vs. third-person:** In a first-person perspective, the agent is cen"&amp;"tral. In a third-person perspective, we take a “birds-eye” view of the world, of which the agent is just one part.
2. **Static vs. dynamic:** In a dynamic perspective, the notion of time is explicitly present in the formalism. In a static perspective, we "&amp;"instead have beliefs directly about entire world-histories.
To get a tiny bit more concrete, let the world have states S and the agent have actions A and observations O. The agent can implement policies Π. I will use ΔX to denote a belief over X (this is"&amp;" a bit handwavy, but gets the right intuition, I think). Then the four views are:
1. First-person static: A hypothesis specifies how policies map to beliefs over observation-action sequences, that is, Π → Δ(O × A)\*.
2. First-person dynamic: This is the "&amp;"typical POMDP framework, in which a hypothesis is a belief over initial states and transition dynamics, that is, ΔS and S × A → Δ(O × S).
3. Third-person static: A hypothesis specifies a belief over world histories, that is, Δ(S\*).
4. Third-person dynami"&amp;"c: A hypothesis specifies a belief over initial states, and over the transition dynamics, that is, we have ΔS and S → ΔS. Notice that despite having “transitions”, actions do not play a role here.
Given a single “reality”, it is possible to move between "&amp;"these different views on reality, though in some cases this requires making assumptions on the starting view. For example, under regular Bayesianism, you can only move from third-person static to third-person dynamic if your belief over world histories Δ("&amp;"S\*) satisfies the Markov condition (future states are conditionally independent of past states given the present state); if you want to make this move even when the Markov condition isn’t satisfied, you have to expand your belief over initial states to b"&amp;"e a belief over “initial” world histories.
You can then define various flavors of (a)causal influence by saying which types of states S you allow:
1. If a state s consists of a policy π and a world history (oa)\* that is consistent with π, then the envir"&amp;"onment transitions can depend on your choice of π, leading to acausal influence. This is the sort of thing that would be needed to formalize Newcomb’s problem.
2. In contrast, if a state s consists only of an environment E that responds to actions but _do"&amp;"esn’t_ get to see the full policy, then the environment cannot depend on your policy, and there is only causal influence. You’re implicitly claiming that Newcomb’s problem cannot happen.
3. Finally, rather than have an environment E that (when combined wi"&amp;"th a policy π) generates a world history (oa)\*, you could have the state s directly be the world history (oa)\*, _without_ including the policy π. In normal Bayesianism, using (oa)\* as states would be equivalent to using environments E as states (since "&amp;"we could construct a belief over E that implies the given belief over (oa)\*), but in the case of infra-Bayesianism it is not. (Roughly speaking, the differences occur when you use a “belief” that isn’t just a claim about reality, but also a claim about w"&amp;"hich parts of reality you “care about”.) This ends up allowing some but not all flavors of acausal influence, and so the authors call this setup “pseudocausal”.
In all three versions, you can define translations between the four different views, such tha"&amp;"t following any path of translations will always give you the same final output (that is, translating from A to B to C has the same result as A to D to C). This property can be used to _define_ “acausal”, “causal”, and “pseudocausal” as applied to belief "&amp;"functions in infra-Bayesianism. (I’m not going to talk about what a belief function is; see the post for details.)")</f>
        <v>When modeling an agent that acts in a world &lt;@that contains it@&gt;(@Embedded Agents@), there are different ways that we could represent what a “hypothesis about the world” should look like. (We’ll use &lt;@infra-Bayesianism@&gt;(@Infra-Bayesianism sequence@) to allow us to have hypotheses over environments that are “bigger” than the agent, in the sense of containing the agent.) In particular, hypotheses can vary along two axes:
1. **First-person vs. third-person:** In a first-person perspective, the agent is central. In a third-person perspective, we take a “birds-eye” view of the world, of which the agent is just one part.
2. **Static vs. dynamic:** In a dynamic perspective, the notion of time is explicitly present in the formalism. In a static perspective, we instead have beliefs directly about entire world-histories.
To get a tiny bit more concrete, let the world have states S and the agent have actions A and observations O. The agent can implement policies Π. I will use ΔX to denote a belief over X (this is a bit handwavy, but gets the right intuition, I think). Then the four views are:
1. First-person static: A hypothesis specifies how policies map to beliefs over observation-action sequences, that is, Π → Δ(O × A)\*.
2. First-person dynamic: This is the typical POMDP framework, in which a hypothesis is a belief over initial states and transition dynamics, that is, ΔS and S × A → Δ(O × S).
3. Third-person static: A hypothesis specifies a belief over world histories, that is, Δ(S\*).
4. Third-person dynamic: A hypothesis specifies a belief over initial states, and over the transition dynamics, that is, we have ΔS and S → ΔS. Notice that despite having “transitions”, actions do not play a role here.
Given a single “reality”, it is possible to move between these different views on reality, though in some cases this requires making assumptions on the starting view. For example, under regular Bayesianism, you can only move from third-person static to third-person dynamic if your belief over world histories Δ(S\*) satisfies the Markov condition (future states are conditionally independent of past states given the present state); if you want to make this move even when the Markov condition isn’t satisfied, you have to expand your belief over initial states to be a belief over “initial” world histories.
You can then define various flavors of (a)causal influence by saying which types of states S you allow:
1. If a state s consists of a policy π and a world history (oa)\* that is consistent with π, then the environment transitions can depend on your choice of π, leading to acausal influence. This is the sort of thing that would be needed to formalize Newcomb’s problem.
2. In contrast, if a state s consists only of an environment E that responds to actions but _doesn’t_ get to see the full policy, then the environment cannot depend on your policy, and there is only causal influence. You’re implicitly claiming that Newcomb’s problem cannot happen.
3. Finally, rather than have an environment E that (when combined with a policy π) generates a world history (oa)\*, you could have the state s directly be the world history (oa)\*, _without_ including the policy π. In normal Bayesianism, using (oa)\* as states would be equivalent to using environments E as states (since we could construct a belief over E that implies the given belief over (oa)\*), but in the case of infra-Bayesianism it is not. (Roughly speaking, the differences occur when you use a “belief” that isn’t just a claim about reality, but also a claim about which parts of reality you “care about”.) This ends up allowing some but not all flavors of acausal influence, and so the authors call this setup “pseudocausal”.
In all three versions, you can define translations between the four different views, such that following any path of translations will always give you the same final output (that is, translating from A to B to C has the same result as A to D to C). This property can be used to _define_ “acausal”, “causal”, and “pseudocausal” as applied to belief functions in infra-Bayesianism. (I’m not going to talk about what a belief function is; see the post for details.)</v>
      </c>
    </row>
    <row r="104">
      <c r="A104" s="1" t="str">
        <f>IFERROR(__xludf.DUMMYFUNCTION("""COMPUTED_VALUE"""),"Agent foundations")</f>
        <v>Agent foundations</v>
      </c>
      <c r="B104" s="1" t="str">
        <f>IFERROR(__xludf.DUMMYFUNCTION("""COMPUTED_VALUE"""),"")</f>
        <v/>
      </c>
      <c r="C104" s="2" t="str">
        <f>IFERROR(__xludf.DUMMYFUNCTION("""COMPUTED_VALUE"""),"Radical Probabilism")</f>
        <v>Radical Probabilism</v>
      </c>
      <c r="D104" s="1" t="str">
        <f>IFERROR(__xludf.DUMMYFUNCTION("""COMPUTED_VALUE"""),"Abram Demski")</f>
        <v>Abram Demski</v>
      </c>
      <c r="E104" s="1" t="str">
        <f>IFERROR(__xludf.DUMMYFUNCTION("""COMPUTED_VALUE"""),"Alignment Forum")</f>
        <v>Alignment Forum</v>
      </c>
      <c r="F104" s="1">
        <f>IFERROR(__xludf.DUMMYFUNCTION("""COMPUTED_VALUE"""),2020.0)</f>
        <v>2020</v>
      </c>
      <c r="G104" s="1"/>
      <c r="H104" s="1" t="str">
        <f>IFERROR(__xludf.DUMMYFUNCTION("""COMPUTED_VALUE"""),"AN #114")</f>
        <v>AN #114</v>
      </c>
      <c r="I104" s="1" t="str">
        <f>IFERROR(__xludf.DUMMYFUNCTION("""COMPUTED_VALUE"""),"Rohin")</f>
        <v>Rohin</v>
      </c>
      <c r="J104" s="1" t="str">
        <f>IFERROR(__xludf.DUMMYFUNCTION("""COMPUTED_VALUE"""),"The traditional Bayesian treatment of rational agents assumes that the only way an agent can get new information is by getting some new observation that is known with probability 1. However, we would like a theory of rationality that can allow for agents "&amp;"that also get more information by thinking longer. In such a situation, some of the constraints imposed by traditional Bayesian reasoning no longer apply. This detailed post explores what constraints remain, and what types of updating are allowable under "&amp;"this more permissive definition of rationality.")</f>
        <v>The traditional Bayesian treatment of rational agents assumes that the only way an agent can get new information is by getting some new observation that is known with probability 1. However, we would like a theory of rationality that can allow for agents that also get more information by thinking longer. In such a situation, some of the constraints imposed by traditional Bayesian reasoning no longer apply. This detailed post explores what constraints remain, and what types of updating are allowable under this more permissive definition of rationality.</v>
      </c>
      <c r="K104" t="str">
        <f>IFERROR(__xludf.DUMMYFUNCTION("""COMPUTED_VALUE"""),"I particularly enjoyed this post; it felt like the best explanation in relatively simple terms of a theory of rationality that is more suited to bounded agents that cannot perfectly reason about an environment larger than they are. (Note “simple” really i"&amp;"s relative; the post still assumes a lot of technical knowledge about traditional Bayesianism.)")</f>
        <v>I particularly enjoyed this post; it felt like the best explanation in relatively simple terms of a theory of rationality that is more suited to bounded agents that cannot perfectly reason about an environment larger than they are. (Note “simple” really is relative; the post still assumes a lot of technical knowledge about traditional Bayesianism.)</v>
      </c>
      <c r="M104" s="3" t="str">
        <f>IFERROR(__xludf.DUMMYFUNCTION("""COMPUTED_VALUE"""),"The Bayesian Tyrant")</f>
        <v>The Bayesian Tyrant</v>
      </c>
    </row>
    <row r="105">
      <c r="A105" s="1" t="str">
        <f>IFERROR(__xludf.DUMMYFUNCTION("""COMPUTED_VALUE"""),"Agent foundations")</f>
        <v>Agent foundations</v>
      </c>
      <c r="B105" s="1" t="str">
        <f>IFERROR(__xludf.DUMMYFUNCTION("""COMPUTED_VALUE"""),"")</f>
        <v/>
      </c>
      <c r="C105" s="2" t="str">
        <f>IFERROR(__xludf.DUMMYFUNCTION("""COMPUTED_VALUE"""),"Counterfactual Mugging Poker Game")</f>
        <v>Counterfactual Mugging Poker Game</v>
      </c>
      <c r="D105" s="1" t="str">
        <f>IFERROR(__xludf.DUMMYFUNCTION("""COMPUTED_VALUE"""),"Scott Garrabrant")</f>
        <v>Scott Garrabrant</v>
      </c>
      <c r="E105" s="1" t="str">
        <f>IFERROR(__xludf.DUMMYFUNCTION("""COMPUTED_VALUE"""),"LessWrong")</f>
        <v>LessWrong</v>
      </c>
      <c r="F105" s="1">
        <f>IFERROR(__xludf.DUMMYFUNCTION("""COMPUTED_VALUE"""),2018.0)</f>
        <v>2018</v>
      </c>
      <c r="G105" s="1"/>
      <c r="H105" s="2" t="str">
        <f>IFERROR(__xludf.DUMMYFUNCTION("""COMPUTED_VALUE"""),"AN #11")</f>
        <v>AN #11</v>
      </c>
      <c r="I105" s="1" t="str">
        <f>IFERROR(__xludf.DUMMYFUNCTION("""COMPUTED_VALUE"""),"Rohin")</f>
        <v>Rohin</v>
      </c>
      <c r="J105" s="1" t="str">
        <f>IFERROR(__xludf.DUMMYFUNCTION("""COMPUTED_VALUE"""),"This is a variant of counterfactual mugging, in which an agent doesn't take the action that is locally optimal, because that would provide information in the counterfactual world where one aspect of the environment was different that would lead to a large"&amp;" loss in that setting.")</f>
        <v>This is a variant of counterfactual mugging, in which an agent doesn't take the action that is locally optimal, because that would provide information in the counterfactual world where one aspect of the environment was different that would lead to a large loss in that setting.</v>
      </c>
      <c r="K105" t="str">
        <f>IFERROR(__xludf.DUMMYFUNCTION("""COMPUTED_VALUE"""),"This example is very understandable and very short -- I haven't summarized it because I don't think I can make it any shorter.")</f>
        <v>This example is very understandable and very short -- I haven't summarized it because I don't think I can make it any shorter.</v>
      </c>
    </row>
    <row r="106">
      <c r="A106" s="1" t="str">
        <f>IFERROR(__xludf.DUMMYFUNCTION("""COMPUTED_VALUE"""),"Agent foundations")</f>
        <v>Agent foundations</v>
      </c>
      <c r="B106" s="1" t="str">
        <f>IFERROR(__xludf.DUMMYFUNCTION("""COMPUTED_VALUE"""),"")</f>
        <v/>
      </c>
      <c r="C106" s="2" t="str">
        <f>IFERROR(__xludf.DUMMYFUNCTION("""COMPUTED_VALUE"""),"Weak arguments against the universal prior being malign")</f>
        <v>Weak arguments against the universal prior being malign</v>
      </c>
      <c r="D106" s="1" t="str">
        <f>IFERROR(__xludf.DUMMYFUNCTION("""COMPUTED_VALUE"""),"X4vier")</f>
        <v>X4vier</v>
      </c>
      <c r="E106" s="1" t="str">
        <f>IFERROR(__xludf.DUMMYFUNCTION("""COMPUTED_VALUE"""),"LessWrong")</f>
        <v>LessWrong</v>
      </c>
      <c r="F106" s="1">
        <f>IFERROR(__xludf.DUMMYFUNCTION("""COMPUTED_VALUE"""),2018.0)</f>
        <v>2018</v>
      </c>
      <c r="G106" s="1"/>
      <c r="H106" s="2" t="str">
        <f>IFERROR(__xludf.DUMMYFUNCTION("""COMPUTED_VALUE"""),"AN #11")</f>
        <v>AN #11</v>
      </c>
      <c r="I106" s="1" t="str">
        <f>IFERROR(__xludf.DUMMYFUNCTION("""COMPUTED_VALUE"""),"Rohin")</f>
        <v>Rohin</v>
      </c>
      <c r="J106" s="1" t="str">
        <f>IFERROR(__xludf.DUMMYFUNCTION("""COMPUTED_VALUE"""),"In an [earlier post](https://ordinaryideas.wordpress.com/2016/11/30/what-does-the-universal-prior-actually-look-like/), Paul Christiano has argued that if you run Solomonoff induction and use its predictions for important decisions, most of your probabili"&amp;"ty mass will be placed on universes with intelligent agents that make the right predictions so that their predictions will influence your decisions, and then use that influence to manipulate you into doing things that they value. This post makes a few arg"&amp;"uments that this wouldn't actually happen, and Paul responds to the arguments in the comments.")</f>
        <v>In an [earlier post](https://ordinaryideas.wordpress.com/2016/11/30/what-does-the-universal-prior-actually-look-like/), Paul Christiano has argued that if you run Solomonoff induction and use its predictions for important decisions, most of your probability mass will be placed on universes with intelligent agents that make the right predictions so that their predictions will influence your decisions, and then use that influence to manipulate you into doing things that they value. This post makes a few arguments that this wouldn't actually happen, and Paul responds to the arguments in the comments.</v>
      </c>
      <c r="K106" t="str">
        <f>IFERROR(__xludf.DUMMYFUNCTION("""COMPUTED_VALUE"""),"I still have only a fuzzy understanding of what's going on here, so I'm going to abstain from an opinion on this one.")</f>
        <v>I still have only a fuzzy understanding of what's going on here, so I'm going to abstain from an opinion on this one.</v>
      </c>
      <c r="L106" s="3" t="str">
        <f>IFERROR(__xludf.DUMMYFUNCTION("""COMPUTED_VALUE"""),"What does the universal prior actually look like?")</f>
        <v>What does the universal prior actually look like?</v>
      </c>
    </row>
    <row r="107">
      <c r="A107" s="1" t="str">
        <f>IFERROR(__xludf.DUMMYFUNCTION("""COMPUTED_VALUE"""),"Agent foundations")</f>
        <v>Agent foundations</v>
      </c>
      <c r="B107" s="1" t="str">
        <f>IFERROR(__xludf.DUMMYFUNCTION("""COMPUTED_VALUE"""),"")</f>
        <v/>
      </c>
      <c r="C107" s="2" t="str">
        <f>IFERROR(__xludf.DUMMYFUNCTION("""COMPUTED_VALUE"""),"Public Static: What is Abstraction?")</f>
        <v>Public Static: What is Abstraction?</v>
      </c>
      <c r="D107" s="1" t="str">
        <f>IFERROR(__xludf.DUMMYFUNCTION("""COMPUTED_VALUE"""),"John Wentworth")</f>
        <v>John Wentworth</v>
      </c>
      <c r="E107" s="1" t="str">
        <f>IFERROR(__xludf.DUMMYFUNCTION("""COMPUTED_VALUE"""),"Alignment Forum")</f>
        <v>Alignment Forum</v>
      </c>
      <c r="F107" s="1">
        <f>IFERROR(__xludf.DUMMYFUNCTION("""COMPUTED_VALUE"""),2020.0)</f>
        <v>2020</v>
      </c>
      <c r="G107" s="1"/>
      <c r="H107" s="2" t="str">
        <f>IFERROR(__xludf.DUMMYFUNCTION("""COMPUTED_VALUE"""),"AN #105")</f>
        <v>AN #105</v>
      </c>
      <c r="I107" s="1" t="str">
        <f>IFERROR(__xludf.DUMMYFUNCTION("""COMPUTED_VALUE"""),"Rohin")</f>
        <v>Rohin</v>
      </c>
      <c r="J107" s="1" t="str">
        <f>IFERROR(__xludf.DUMMYFUNCTION("""COMPUTED_VALUE"""),"If we are to understand embedded agency, we will likely need to understand abstraction (see &lt;@here@&gt;(@Embedded Agency via Abstraction@)). This post presents a view of abstraction in which we abstract a low-level territory into a high-level map that can st"&amp;"ill make reliable predictions about the territory, for some set of queries (whether probabilistic or causal).
For example, in an ideal gas, the low-level configuration would specify the position and velocity of _every single gas particle_. Nonetheless, w"&amp;"e can create a high-level model where we keep track of things like the number of molecules, average kinetic energy of the molecules, etc which can then be used to predict things like pressure exerted on a piston.
Given a low-level territory L and a set o"&amp;"f queries Q that we’d like to be able to answer, the minimal-information high-level model stores P(Q | L) for every possible Q and L. However, in practice we don’t start with a set of queries and then come up with abstractions, we instead develop crisp, c"&amp;"oncise abstractions that can answer many queries. One way we could develop such abstractions is by only keeping information that is visible from “far away”, and throwing away information that would be wiped out by noise. For example, when typing 3+4 into "&amp;"a calculator, the exact voltages in the circuit don’t affect anything more than a few microns away, except for the final result 7, which affects the broader world (e.g. via me seeing the answer).
If we instead take a systems view of this, where we want a"&amp;"bstractions of multiple different low-level things, then we can equivalently say that two far-away low-level things should be independent of each other _when given their high-level summaries_, which are supposed to be able to quantify all of their interac"&amp;"tions.")</f>
        <v>If we are to understand embedded agency, we will likely need to understand abstraction (see &lt;@here@&gt;(@Embedded Agency via Abstraction@)). This post presents a view of abstraction in which we abstract a low-level territory into a high-level map that can still make reliable predictions about the territory, for some set of queries (whether probabilistic or causal).
For example, in an ideal gas, the low-level configuration would specify the position and velocity of _every single gas particle_. Nonetheless, we can create a high-level model where we keep track of things like the number of molecules, average kinetic energy of the molecules, etc which can then be used to predict things like pressure exerted on a piston.
Given a low-level territory L and a set of queries Q that we’d like to be able to answer, the minimal-information high-level model stores P(Q | L) for every possible Q and L. However, in practice we don’t start with a set of queries and then come up with abstractions, we instead develop crisp, concise abstractions that can answer many queries. One way we could develop such abstractions is by only keeping information that is visible from “far away”, and throwing away information that would be wiped out by noise. For example, when typing 3+4 into a calculator, the exact voltages in the circuit don’t affect anything more than a few microns away, except for the final result 7, which affects the broader world (e.g. via me seeing the answer).
If we instead take a systems view of this, where we want abstractions of multiple different low-level things, then we can equivalently say that two far-away low-level things should be independent of each other _when given their high-level summaries_, which are supposed to be able to quantify all of their interactions.</v>
      </c>
      <c r="K107" t="str">
        <f>IFERROR(__xludf.DUMMYFUNCTION("""COMPUTED_VALUE"""),"I really like the concept of abstraction, and think it is an important part of intelligence, and so I’m glad to get better tools for understanding it. I especially like the formulation that low-level components should be independent given high-level summa"&amp;"ries -- this corresponds neatly to the principle of encapsulation in software design, and does seem to be a fairly natural and elegant description, though of course abstractions in practice will only approximately satisfy this property.")</f>
        <v>I really like the concept of abstraction, and think it is an important part of intelligence, and so I’m glad to get better tools for understanding it. I especially like the formulation that low-level components should be independent given high-level summaries -- this corresponds neatly to the principle of encapsulation in software design, and does seem to be a fairly natural and elegant description, though of course abstractions in practice will only approximately satisfy this property.</v>
      </c>
      <c r="M107" s="3" t="str">
        <f>IFERROR(__xludf.DUMMYFUNCTION("""COMPUTED_VALUE"""),"Abstraction sequence")</f>
        <v>Abstraction sequence</v>
      </c>
    </row>
    <row r="108">
      <c r="A108" s="1" t="str">
        <f>IFERROR(__xludf.DUMMYFUNCTION("""COMPUTED_VALUE"""),"Agent foundations")</f>
        <v>Agent foundations</v>
      </c>
      <c r="B108" s="1" t="str">
        <f>IFERROR(__xludf.DUMMYFUNCTION("""COMPUTED_VALUE"""),"")</f>
        <v/>
      </c>
      <c r="C108" s="2" t="str">
        <f>IFERROR(__xludf.DUMMYFUNCTION("""COMPUTED_VALUE"""),"Prisoners' Dilemma with Costs to Modeling")</f>
        <v>Prisoners' Dilemma with Costs to Modeling</v>
      </c>
      <c r="D108" s="1" t="str">
        <f>IFERROR(__xludf.DUMMYFUNCTION("""COMPUTED_VALUE"""),"Scott Garrabrant")</f>
        <v>Scott Garrabrant</v>
      </c>
      <c r="E108" s="1" t="str">
        <f>IFERROR(__xludf.DUMMYFUNCTION("""COMPUTED_VALUE"""),"LessWrong")</f>
        <v>LessWrong</v>
      </c>
      <c r="F108" s="1">
        <f>IFERROR(__xludf.DUMMYFUNCTION("""COMPUTED_VALUE"""),2018.0)</f>
        <v>2018</v>
      </c>
      <c r="G108" s="1"/>
      <c r="H108" s="2" t="str">
        <f>IFERROR(__xludf.DUMMYFUNCTION("""COMPUTED_VALUE"""),"AN #10")</f>
        <v>AN #10</v>
      </c>
      <c r="I108" s="1" t="str">
        <f>IFERROR(__xludf.DUMMYFUNCTION("""COMPUTED_VALUE"""),"Rohin")</f>
        <v>Rohin</v>
      </c>
      <c r="J108" s="1" t="str">
        <f>IFERROR(__xludf.DUMMYFUNCTION("""COMPUTED_VALUE"""),"Open source game theory looks at the behavior of agents that have access to each other's source code. A major result is that we can define an agent FairBot that will cooperate with itself in the prisoner's dilemma, yet can never be exploited. Later, we go"&amp;"t PrudentBot, which still cooperates with FairBots, but will defect against CooperateBots (which always cooperate) since it can at no cost to itself. Given this, you would expect that if you evolved a population of such bots, you'd hopefully get an equili"&amp;"brium in which everyone cooperates with each other, since they can do so robustly without falling prey to DefectBots (which always defect). However, being a FairBot or PrudentBot is costly -- you have to think hard about the opponent and prove things abou"&amp;"t them, it's a lot easier to rely on everyone else to punish the DefectBots and become a CooperateBot yourself. In this post, Scott analyzes the equilibria in the two person prisoner's dilemma with small costs to play bots that have to prove things. It tu"&amp;"rns out that in addition to the standard Defect-Defect equilibirum, there are two mixed strategy equilibria, including one that leads to generally cooperative behavior -- and if you evolve agents to play this game, they generally stay in the vicinity of t"&amp;"his good equilibrium, for a range of initial conditions.")</f>
        <v>Open source game theory looks at the behavior of agents that have access to each other's source code. A major result is that we can define an agent FairBot that will cooperate with itself in the prisoner's dilemma, yet can never be exploited. Later, we got PrudentBot, which still cooperates with FairBots, but will defect against CooperateBots (which always cooperate) since it can at no cost to itself. Given this, you would expect that if you evolved a population of such bots, you'd hopefully get an equilibrium in which everyone cooperates with each other, since they can do so robustly without falling prey to DefectBots (which always defect). However, being a FairBot or PrudentBot is costly -- you have to think hard about the opponent and prove things about them, it's a lot easier to rely on everyone else to punish the DefectBots and become a CooperateBot yourself. In this post, Scott analyzes the equilibria in the two person prisoner's dilemma with small costs to play bots that have to prove things. It turns out that in addition to the standard Defect-Defect equilibirum, there are two mixed strategy equilibria, including one that leads to generally cooperative behavior -- and if you evolve agents to play this game, they generally stay in the vicinity of this good equilibrium, for a range of initial conditions.</v>
      </c>
      <c r="K108" t="str">
        <f>IFERROR(__xludf.DUMMYFUNCTION("""COMPUTED_VALUE"""),"This is an interesting result. I continue to be surprised at how robust this Lobian cooperative behavior seems to be -- while I used to think that humans could only cooperate with each other because of prosocial tendencies that meant that we were not full"&amp;"y selfish, I'm now leaning more towards the theory that we are simply very good at reading other people, which gives us insight into them, and leads to cooperative behavior in a manner similar to Lobian cooperation.")</f>
        <v>This is an interesting result. I continue to be surprised at how robust this Lobian cooperative behavior seems to be -- while I used to think that humans could only cooperate with each other because of prosocial tendencies that meant that we were not fully selfish, I'm now leaning more towards the theory that we are simply very good at reading other people, which gives us insight into them, and leads to cooperative behavior in a manner similar to Lobian cooperation.</v>
      </c>
      <c r="L108" t="str">
        <f>IFERROR(__xludf.DUMMYFUNCTION("""COMPUTED_VALUE"""),"[Robust Cooperation in the Prisoner's Dilemma](https://www.lesswrong.com/posts/iQWk5jYeDg5ACCmpx/robust-cooperation-in-the-prisoner-s-dilemma) and/or [Open-source game theory is weird](http://acritch.com/osgt-is-weird/)")</f>
        <v>[Robust Cooperation in the Prisoner's Dilemma](https://www.lesswrong.com/posts/iQWk5jYeDg5ACCmpx/robust-cooperation-in-the-prisoner-s-dilemma) and/or [Open-source game theory is weird](http://acritch.com/osgt-is-weird/)</v>
      </c>
    </row>
    <row r="109">
      <c r="A109" s="1" t="str">
        <f>IFERROR(__xludf.DUMMYFUNCTION("""COMPUTED_VALUE"""),"Agent foundations")</f>
        <v>Agent foundations</v>
      </c>
      <c r="B109" s="1" t="str">
        <f>IFERROR(__xludf.DUMMYFUNCTION("""COMPUTED_VALUE"""),"")</f>
        <v/>
      </c>
      <c r="C109" s="2" t="str">
        <f>IFERROR(__xludf.DUMMYFUNCTION("""COMPUTED_VALUE"""),"2018 research plans and predictions")</f>
        <v>2018 research plans and predictions</v>
      </c>
      <c r="D109" s="1" t="str">
        <f>IFERROR(__xludf.DUMMYFUNCTION("""COMPUTED_VALUE"""),"Rob Bensinger")</f>
        <v>Rob Bensinger</v>
      </c>
      <c r="E109" s="1" t="str">
        <f>IFERROR(__xludf.DUMMYFUNCTION("""COMPUTED_VALUE"""),"MIRI Blog")</f>
        <v>MIRI Blog</v>
      </c>
      <c r="F109" s="1">
        <f>IFERROR(__xludf.DUMMYFUNCTION("""COMPUTED_VALUE"""),2018.0)</f>
        <v>2018</v>
      </c>
      <c r="G109" s="1"/>
      <c r="H109" s="2" t="str">
        <f>IFERROR(__xludf.DUMMYFUNCTION("""COMPUTED_VALUE"""),"AN #1")</f>
        <v>AN #1</v>
      </c>
      <c r="I109" s="1" t="str">
        <f>IFERROR(__xludf.DUMMYFUNCTION("""COMPUTED_VALUE"""),"Rohin")</f>
        <v>Rohin</v>
      </c>
      <c r="J109" s="1" t="str">
        <f>IFERROR(__xludf.DUMMYFUNCTION("""COMPUTED_VALUE"""),"Scott and Nate from MIRI score their predictions for research output in 2017 and make predictions for research output in 2018.")</f>
        <v>Scott and Nate from MIRI score their predictions for research output in 2017 and make predictions for research output in 2018.</v>
      </c>
      <c r="K109" t="str">
        <f>IFERROR(__xludf.DUMMYFUNCTION("""COMPUTED_VALUE"""),"I don't know enough about MIRI to have any idea what the predictions mean, but I'd still recommend reading it if you're somewhat familiar with MIRI's technical agenda to get a bird's-eye view of what they have been focusing on for the last year.")</f>
        <v>I don't know enough about MIRI to have any idea what the predictions mean, but I'd still recommend reading it if you're somewhat familiar with MIRI's technical agenda to get a bird's-eye view of what they have been focusing on for the last year.</v>
      </c>
      <c r="L109" t="str">
        <f>IFERROR(__xludf.DUMMYFUNCTION("""COMPUTED_VALUE"""),"A basic understanding of MIRI's technical agenda (eg. what they mean by naturalized agents, decision theory, Vingean reflection, and so on).")</f>
        <v>A basic understanding of MIRI's technical agenda (eg. what they mean by naturalized agents, decision theory, Vingean reflection, and so on).</v>
      </c>
    </row>
    <row r="110">
      <c r="A110" s="1" t="str">
        <f>IFERROR(__xludf.DUMMYFUNCTION("""COMPUTED_VALUE"""),"Agent foundations")</f>
        <v>Agent foundations</v>
      </c>
      <c r="B110" s="1" t="str">
        <f>IFERROR(__xludf.DUMMYFUNCTION("""COMPUTED_VALUE"""),"")</f>
        <v/>
      </c>
      <c r="C110" s="2" t="str">
        <f>IFERROR(__xludf.DUMMYFUNCTION("""COMPUTED_VALUE"""),"An Orthodox Case Against Utility Functions")</f>
        <v>An Orthodox Case Against Utility Functions</v>
      </c>
      <c r="D110" s="1" t="str">
        <f>IFERROR(__xludf.DUMMYFUNCTION("""COMPUTED_VALUE"""),"Abram Demski")</f>
        <v>Abram Demski</v>
      </c>
      <c r="E110" s="1" t="str">
        <f>IFERROR(__xludf.DUMMYFUNCTION("""COMPUTED_VALUE"""),"Alignment Forum")</f>
        <v>Alignment Forum</v>
      </c>
      <c r="F110" s="1">
        <f>IFERROR(__xludf.DUMMYFUNCTION("""COMPUTED_VALUE"""),2020.0)</f>
        <v>2020</v>
      </c>
      <c r="G110" s="1"/>
      <c r="H110" s="2" t="str">
        <f>IFERROR(__xludf.DUMMYFUNCTION("""COMPUTED_VALUE"""),"AN #95")</f>
        <v>AN #95</v>
      </c>
      <c r="I110" s="1" t="str">
        <f>IFERROR(__xludf.DUMMYFUNCTION("""COMPUTED_VALUE"""),"Rohin")</f>
        <v>Rohin</v>
      </c>
      <c r="J110" s="1" t="str">
        <f>IFERROR(__xludf.DUMMYFUNCTION("""COMPUTED_VALUE"""),"How might we theoretically ground utility functions? One approach could be to view the possible environments as a set of universe histories (e.g. a list of the positions of all quarks, etc. at all times), and a utility function as a function that maps the"&amp;"se universe histories to real numbers. We might want this utility function to be computable, but this eliminates some plausible preferences we might want to represent. For example, in the procrastination paradox, the subject prefers to push the button as "&amp;"late as possible, but disprefers never pressing the button. If the history is infinitely long, no computable function can know for sure that the button was never pressed: it's always possible that it was pressed at some later day.
Instead, we could use _"&amp;"subjective utility functions_, which are defined over _events_, which is basically anything you can think about (i.e. it could be chairs and tables, or quarks and strings). This allows us to have utility functions over high level concepts. In the previous"&amp;" example, we can define an event ""never presses the button"", and reason about that event atomically, sidestepping the issues of computability.
We could go further and view _probabilities_ as subjective (as in the Jeffrey-Bolkor axioms), and only requir"&amp;"e that our beliefs are updated in such a way that we cannot be Dutch-booked. This is the perspective taken in logical induction.")</f>
        <v>How might we theoretically ground utility functions? One approach could be to view the possible environments as a set of universe histories (e.g. a list of the positions of all quarks, etc. at all times), and a utility function as a function that maps these universe histories to real numbers. We might want this utility function to be computable, but this eliminates some plausible preferences we might want to represent. For example, in the procrastination paradox, the subject prefers to push the button as late as possible, but disprefers never pressing the button. If the history is infinitely long, no computable function can know for sure that the button was never pressed: it's always possible that it was pressed at some later day.
Instead, we could use _subjective utility functions_, which are defined over _events_, which is basically anything you can think about (i.e. it could be chairs and tables, or quarks and strings). This allows us to have utility functions over high level concepts. In the previous example, we can define an event "never presses the button", and reason about that event atomically, sidestepping the issues of computability.
We could go further and view _probabilities_ as subjective (as in the Jeffrey-Bolkor axioms), and only require that our beliefs are updated in such a way that we cannot be Dutch-booked. This is the perspective taken in logical induction.</v>
      </c>
    </row>
    <row r="111">
      <c r="A111" s="1" t="str">
        <f>IFERROR(__xludf.DUMMYFUNCTION("""COMPUTED_VALUE"""),"Agent foundations")</f>
        <v>Agent foundations</v>
      </c>
      <c r="B111" s="1" t="str">
        <f>IFERROR(__xludf.DUMMYFUNCTION("""COMPUTED_VALUE"""),"")</f>
        <v/>
      </c>
      <c r="C111" s="2" t="str">
        <f>IFERROR(__xludf.DUMMYFUNCTION("""COMPUTED_VALUE"""),"A critical agential account of free will, causation, and physics")</f>
        <v>A critical agential account of free will, causation, and physics</v>
      </c>
      <c r="D111" s="1" t="str">
        <f>IFERROR(__xludf.DUMMYFUNCTION("""COMPUTED_VALUE"""),"Jessica Taylor")</f>
        <v>Jessica Taylor</v>
      </c>
      <c r="E111" s="1" t="str">
        <f>IFERROR(__xludf.DUMMYFUNCTION("""COMPUTED_VALUE"""),"Alignment Forum")</f>
        <v>Alignment Forum</v>
      </c>
      <c r="F111" s="1">
        <f>IFERROR(__xludf.DUMMYFUNCTION("""COMPUTED_VALUE"""),2020.0)</f>
        <v>2020</v>
      </c>
      <c r="G111" s="1"/>
      <c r="H111" s="2" t="str">
        <f>IFERROR(__xludf.DUMMYFUNCTION("""COMPUTED_VALUE"""),"AN #90")</f>
        <v>AN #90</v>
      </c>
      <c r="I111" s="1"/>
      <c r="J111" s="1"/>
    </row>
    <row r="112">
      <c r="A112" s="1" t="str">
        <f>IFERROR(__xludf.DUMMYFUNCTION("""COMPUTED_VALUE"""),"Agent foundations")</f>
        <v>Agent foundations</v>
      </c>
      <c r="B112" s="1" t="str">
        <f>IFERROR(__xludf.DUMMYFUNCTION("""COMPUTED_VALUE"""),"")</f>
        <v/>
      </c>
      <c r="C112" s="2" t="str">
        <f>IFERROR(__xludf.DUMMYFUNCTION("""COMPUTED_VALUE"""),"Markets are Universal for Logical Induction")</f>
        <v>Markets are Universal for Logical Induction</v>
      </c>
      <c r="D112" s="1" t="str">
        <f>IFERROR(__xludf.DUMMYFUNCTION("""COMPUTED_VALUE"""),"John Wentworth")</f>
        <v>John Wentworth</v>
      </c>
      <c r="E112" s="1" t="str">
        <f>IFERROR(__xludf.DUMMYFUNCTION("""COMPUTED_VALUE"""),"Alignment Forum")</f>
        <v>Alignment Forum</v>
      </c>
      <c r="F112" s="1">
        <f>IFERROR(__xludf.DUMMYFUNCTION("""COMPUTED_VALUE"""),2019.0)</f>
        <v>2019</v>
      </c>
      <c r="G112" s="1"/>
      <c r="H112" s="2" t="str">
        <f>IFERROR(__xludf.DUMMYFUNCTION("""COMPUTED_VALUE"""),"AN #66")</f>
        <v>AN #66</v>
      </c>
      <c r="I112" s="1" t="str">
        <f>IFERROR(__xludf.DUMMYFUNCTION("""COMPUTED_VALUE"""),"Rohin")</f>
        <v>Rohin</v>
      </c>
      <c r="J112" s="1" t="str">
        <f>IFERROR(__xludf.DUMMYFUNCTION("""COMPUTED_VALUE"""),"A logical inductor is a system that assigns probabilities to logical statements (such as ""the millionth digit of pi is 3"") over time, that satisfies the _logical induction criterion_: if we interpret the probabilities as prices of contracts that pay out"&amp;" $1 if the statement is true and $0 otherwise, then there does not exist a polynomial-time trader function with bounded money that can make unbounded returns over time. The [original paper](https://arxiv.org/pdf/1609.03543.pdf) shows that logical inductor"&amp;"s exist. This post proves that for any possible logical inductor, there exists some market of traders that produces the same prices as the logical inductor over time.")</f>
        <v>A logical inductor is a system that assigns probabilities to logical statements (such as "the millionth digit of pi is 3") over time, that satisfies the _logical induction criterion_: if we interpret the probabilities as prices of contracts that pay out $1 if the statement is true and $0 otherwise, then there does not exist a polynomial-time trader function with bounded money that can make unbounded returns over time. The [original paper](https://arxiv.org/pdf/1609.03543.pdf) shows that logical inductors exist. This post proves that for any possible logical inductor, there exists some market of traders that produces the same prices as the logical inductor over time.</v>
      </c>
    </row>
    <row r="113">
      <c r="A113" s="1" t="str">
        <f>IFERROR(__xludf.DUMMYFUNCTION("""COMPUTED_VALUE"""),"Agent foundations")</f>
        <v>Agent foundations</v>
      </c>
      <c r="B113" s="1" t="str">
        <f>IFERROR(__xludf.DUMMYFUNCTION("""COMPUTED_VALUE"""),"")</f>
        <v/>
      </c>
      <c r="C113" s="2" t="str">
        <f>IFERROR(__xludf.DUMMYFUNCTION("""COMPUTED_VALUE"""),"Approval-directed agency and the decision theory of Newcomb-like problems")</f>
        <v>Approval-directed agency and the decision theory of Newcomb-like problems</v>
      </c>
      <c r="D113" s="1" t="str">
        <f>IFERROR(__xludf.DUMMYFUNCTION("""COMPUTED_VALUE"""),"Caspar Oesterheld")</f>
        <v>Caspar Oesterheld</v>
      </c>
      <c r="E113" s="1" t="str">
        <f>IFERROR(__xludf.DUMMYFUNCTION("""COMPUTED_VALUE"""),"FRI Website")</f>
        <v>FRI Website</v>
      </c>
      <c r="F113" s="1">
        <f>IFERROR(__xludf.DUMMYFUNCTION("""COMPUTED_VALUE"""),2019.0)</f>
        <v>2019</v>
      </c>
      <c r="G113" s="1"/>
      <c r="H113" s="2" t="str">
        <f>IFERROR(__xludf.DUMMYFUNCTION("""COMPUTED_VALUE"""),"AN #52")</f>
        <v>AN #52</v>
      </c>
      <c r="I113" s="1"/>
      <c r="J113" s="1"/>
    </row>
    <row r="114">
      <c r="A114" s="1" t="str">
        <f>IFERROR(__xludf.DUMMYFUNCTION("""COMPUTED_VALUE"""),"Agent foundations")</f>
        <v>Agent foundations</v>
      </c>
      <c r="B114" s="1" t="str">
        <f>IFERROR(__xludf.DUMMYFUNCTION("""COMPUTED_VALUE"""),"")</f>
        <v/>
      </c>
      <c r="C114" s="2" t="str">
        <f>IFERROR(__xludf.DUMMYFUNCTION("""COMPUTED_VALUE"""),"No surjection onto function space for manifold X")</f>
        <v>No surjection onto function space for manifold X</v>
      </c>
      <c r="D114" s="1" t="str">
        <f>IFERROR(__xludf.DUMMYFUNCTION("""COMPUTED_VALUE"""),"Stuart Armstrong")</f>
        <v>Stuart Armstrong</v>
      </c>
      <c r="E114" s="1" t="str">
        <f>IFERROR(__xludf.DUMMYFUNCTION("""COMPUTED_VALUE"""),"Alignment Forum")</f>
        <v>Alignment Forum</v>
      </c>
      <c r="F114" s="1">
        <f>IFERROR(__xludf.DUMMYFUNCTION("""COMPUTED_VALUE"""),2019.0)</f>
        <v>2019</v>
      </c>
      <c r="G114" s="1"/>
      <c r="H114" s="2" t="str">
        <f>IFERROR(__xludf.DUMMYFUNCTION("""COMPUTED_VALUE"""),"AN #41")</f>
        <v>AN #41</v>
      </c>
      <c r="I114" s="1"/>
      <c r="J114" s="1"/>
    </row>
    <row r="115">
      <c r="A115" s="1" t="str">
        <f>IFERROR(__xludf.DUMMYFUNCTION("""COMPUTED_VALUE"""),"Agent foundations")</f>
        <v>Agent foundations</v>
      </c>
      <c r="B115" s="1" t="str">
        <f>IFERROR(__xludf.DUMMYFUNCTION("""COMPUTED_VALUE"""),"")</f>
        <v/>
      </c>
      <c r="C115" s="2" t="str">
        <f>IFERROR(__xludf.DUMMYFUNCTION("""COMPUTED_VALUE"""),"Failures of UDT-AIXI, Part 1: Improper Randomizing")</f>
        <v>Failures of UDT-AIXI, Part 1: Improper Randomizing</v>
      </c>
      <c r="D115" s="1" t="str">
        <f>IFERROR(__xludf.DUMMYFUNCTION("""COMPUTED_VALUE"""),"Diffractor")</f>
        <v>Diffractor</v>
      </c>
      <c r="E115" s="1" t="str">
        <f>IFERROR(__xludf.DUMMYFUNCTION("""COMPUTED_VALUE"""),"Alignment Forum")</f>
        <v>Alignment Forum</v>
      </c>
      <c r="F115" s="1">
        <f>IFERROR(__xludf.DUMMYFUNCTION("""COMPUTED_VALUE"""),2019.0)</f>
        <v>2019</v>
      </c>
      <c r="G115" s="1"/>
      <c r="H115" s="2" t="str">
        <f>IFERROR(__xludf.DUMMYFUNCTION("""COMPUTED_VALUE"""),"AN #40")</f>
        <v>AN #40</v>
      </c>
      <c r="I115" s="1"/>
      <c r="J115" s="1"/>
    </row>
    <row r="116">
      <c r="A116" s="1" t="str">
        <f>IFERROR(__xludf.DUMMYFUNCTION("""COMPUTED_VALUE"""),"Agent foundations")</f>
        <v>Agent foundations</v>
      </c>
      <c r="B116" s="1" t="str">
        <f>IFERROR(__xludf.DUMMYFUNCTION("""COMPUTED_VALUE"""),"")</f>
        <v/>
      </c>
      <c r="C116" s="2" t="str">
        <f>IFERROR(__xludf.DUMMYFUNCTION("""COMPUTED_VALUE"""),"Robust program equilibrium")</f>
        <v>Robust program equilibrium</v>
      </c>
      <c r="D116" s="1" t="str">
        <f>IFERROR(__xludf.DUMMYFUNCTION("""COMPUTED_VALUE"""),"Caspar Oesterheld")</f>
        <v>Caspar Oesterheld</v>
      </c>
      <c r="E116" s="1" t="str">
        <f>IFERROR(__xludf.DUMMYFUNCTION("""COMPUTED_VALUE"""),"FRI Website")</f>
        <v>FRI Website</v>
      </c>
      <c r="F116" s="1">
        <f>IFERROR(__xludf.DUMMYFUNCTION("""COMPUTED_VALUE"""),2018.0)</f>
        <v>2018</v>
      </c>
      <c r="G116" s="1"/>
      <c r="H116" s="2" t="str">
        <f>IFERROR(__xludf.DUMMYFUNCTION("""COMPUTED_VALUE"""),"AN #39")</f>
        <v>AN #39</v>
      </c>
      <c r="I116" s="1" t="str">
        <f>IFERROR(__xludf.DUMMYFUNCTION("""COMPUTED_VALUE"""),"Rohin")</f>
        <v>Rohin</v>
      </c>
      <c r="J116" s="1" t="str">
        <f>IFERROR(__xludf.DUMMYFUNCTION("""COMPUTED_VALUE"""),"In a prisoner's dilemma where you have access to an opponent's source code, you can hope to achieve cooperation by looking at how the opponent would perform against you. Naively, you could simply simulate what the opponent would do given your source code,"&amp;" and use that to make your decision. However, if your opponent also tries to simulate you, this leads to an infinite loop. The key idea of this paper is to break the infinite loop by introducing a small probability of guaranteed cooperation (without simul"&amp;"ating the opponent), so that eventually after many rounds of simulation the recursion ""bottoms out"" with guaranteed cooperation. They explore what happens when applying this idea to the equivalents of FairBot/Tit-for-Tat strategies when you are simulati"&amp;"ng the opponent.")</f>
        <v>In a prisoner's dilemma where you have access to an opponent's source code, you can hope to achieve cooperation by looking at how the opponent would perform against you. Naively, you could simply simulate what the opponent would do given your source code, and use that to make your decision. However, if your opponent also tries to simulate you, this leads to an infinite loop. The key idea of this paper is to break the infinite loop by introducing a small probability of guaranteed cooperation (without simulating the opponent), so that eventually after many rounds of simulation the recursion "bottoms out" with guaranteed cooperation. They explore what happens when applying this idea to the equivalents of FairBot/Tit-for-Tat strategies when you are simulating the opponent.</v>
      </c>
    </row>
    <row r="117">
      <c r="A117" s="1" t="str">
        <f>IFERROR(__xludf.DUMMYFUNCTION("""COMPUTED_VALUE"""),"Agent foundations")</f>
        <v>Agent foundations</v>
      </c>
      <c r="B117" s="1" t="str">
        <f>IFERROR(__xludf.DUMMYFUNCTION("""COMPUTED_VALUE"""),"")</f>
        <v/>
      </c>
      <c r="C117" s="2" t="str">
        <f>IFERROR(__xludf.DUMMYFUNCTION("""COMPUTED_VALUE"""),"Oracle Induction Proofs")</f>
        <v>Oracle Induction Proofs</v>
      </c>
      <c r="D117" s="1" t="str">
        <f>IFERROR(__xludf.DUMMYFUNCTION("""COMPUTED_VALUE"""),"Diffractor")</f>
        <v>Diffractor</v>
      </c>
      <c r="E117" s="1" t="str">
        <f>IFERROR(__xludf.DUMMYFUNCTION("""COMPUTED_VALUE"""),"Alignment Forum")</f>
        <v>Alignment Forum</v>
      </c>
      <c r="F117" s="1">
        <f>IFERROR(__xludf.DUMMYFUNCTION("""COMPUTED_VALUE"""),2018.0)</f>
        <v>2018</v>
      </c>
      <c r="G117" s="1"/>
      <c r="H117" s="2" t="str">
        <f>IFERROR(__xludf.DUMMYFUNCTION("""COMPUTED_VALUE"""),"AN #35")</f>
        <v>AN #35</v>
      </c>
      <c r="I117" s="1"/>
      <c r="J117" s="1"/>
    </row>
    <row r="118">
      <c r="A118" s="1" t="str">
        <f>IFERROR(__xludf.DUMMYFUNCTION("""COMPUTED_VALUE"""),"Agent foundations")</f>
        <v>Agent foundations</v>
      </c>
      <c r="B118" s="1" t="str">
        <f>IFERROR(__xludf.DUMMYFUNCTION("""COMPUTED_VALUE"""),"")</f>
        <v/>
      </c>
      <c r="C118" s="2" t="str">
        <f>IFERROR(__xludf.DUMMYFUNCTION("""COMPUTED_VALUE"""),"Dimensional regret without resets")</f>
        <v>Dimensional regret without resets</v>
      </c>
      <c r="D118" s="1" t="str">
        <f>IFERROR(__xludf.DUMMYFUNCTION("""COMPUTED_VALUE"""),"Vadim Kosoy")</f>
        <v>Vadim Kosoy</v>
      </c>
      <c r="E118" s="1" t="str">
        <f>IFERROR(__xludf.DUMMYFUNCTION("""COMPUTED_VALUE"""),"Alignment Forum")</f>
        <v>Alignment Forum</v>
      </c>
      <c r="F118" s="1">
        <f>IFERROR(__xludf.DUMMYFUNCTION("""COMPUTED_VALUE"""),2018.0)</f>
        <v>2018</v>
      </c>
      <c r="G118" s="1"/>
      <c r="H118" s="2" t="str">
        <f>IFERROR(__xludf.DUMMYFUNCTION("""COMPUTED_VALUE"""),"AN #33")</f>
        <v>AN #33</v>
      </c>
      <c r="I118" s="1"/>
      <c r="J118" s="1"/>
    </row>
    <row r="119">
      <c r="A119" s="1" t="str">
        <f>IFERROR(__xludf.DUMMYFUNCTION("""COMPUTED_VALUE"""),"Agent foundations")</f>
        <v>Agent foundations</v>
      </c>
      <c r="B119" s="1" t="str">
        <f>IFERROR(__xludf.DUMMYFUNCTION("""COMPUTED_VALUE"""),"")</f>
        <v/>
      </c>
      <c r="C119" s="2" t="str">
        <f>IFERROR(__xludf.DUMMYFUNCTION("""COMPUTED_VALUE"""),"What are Universal Inductors, Again?")</f>
        <v>What are Universal Inductors, Again?</v>
      </c>
      <c r="D119" s="1" t="str">
        <f>IFERROR(__xludf.DUMMYFUNCTION("""COMPUTED_VALUE"""),"Diffractor")</f>
        <v>Diffractor</v>
      </c>
      <c r="E119" s="1" t="str">
        <f>IFERROR(__xludf.DUMMYFUNCTION("""COMPUTED_VALUE"""),"Alignment Forum")</f>
        <v>Alignment Forum</v>
      </c>
      <c r="F119" s="1">
        <f>IFERROR(__xludf.DUMMYFUNCTION("""COMPUTED_VALUE"""),2018.0)</f>
        <v>2018</v>
      </c>
      <c r="G119" s="1"/>
      <c r="H119" s="2" t="str">
        <f>IFERROR(__xludf.DUMMYFUNCTION("""COMPUTED_VALUE"""),"AN #32")</f>
        <v>AN #32</v>
      </c>
      <c r="I119" s="1"/>
      <c r="J119" s="1"/>
    </row>
    <row r="120">
      <c r="A120" s="1" t="str">
        <f>IFERROR(__xludf.DUMMYFUNCTION("""COMPUTED_VALUE"""),"Agent foundations")</f>
        <v>Agent foundations</v>
      </c>
      <c r="B120" s="1" t="str">
        <f>IFERROR(__xludf.DUMMYFUNCTION("""COMPUTED_VALUE"""),"")</f>
        <v/>
      </c>
      <c r="C120" s="2" t="str">
        <f>IFERROR(__xludf.DUMMYFUNCTION("""COMPUTED_VALUE"""),"When EDT=CDT, ADT Does Well")</f>
        <v>When EDT=CDT, ADT Does Well</v>
      </c>
      <c r="D120" s="1" t="str">
        <f>IFERROR(__xludf.DUMMYFUNCTION("""COMPUTED_VALUE"""),"Diffractor")</f>
        <v>Diffractor</v>
      </c>
      <c r="E120" s="1" t="str">
        <f>IFERROR(__xludf.DUMMYFUNCTION("""COMPUTED_VALUE"""),"Alignment Forum")</f>
        <v>Alignment Forum</v>
      </c>
      <c r="F120" s="1">
        <f>IFERROR(__xludf.DUMMYFUNCTION("""COMPUTED_VALUE"""),2018.0)</f>
        <v>2018</v>
      </c>
      <c r="G120" s="1"/>
      <c r="H120" s="2" t="str">
        <f>IFERROR(__xludf.DUMMYFUNCTION("""COMPUTED_VALUE"""),"AN #30")</f>
        <v>AN #30</v>
      </c>
      <c r="I120" s="1"/>
      <c r="J120" s="1"/>
    </row>
    <row r="121">
      <c r="A121" s="1" t="str">
        <f>IFERROR(__xludf.DUMMYFUNCTION("""COMPUTED_VALUE"""),"Agent foundations")</f>
        <v>Agent foundations</v>
      </c>
      <c r="B121" s="1" t="str">
        <f>IFERROR(__xludf.DUMMYFUNCTION("""COMPUTED_VALUE"""),"")</f>
        <v/>
      </c>
      <c r="C121" s="2" t="str">
        <f>IFERROR(__xludf.DUMMYFUNCTION("""COMPUTED_VALUE"""),"Ramsey and Joyce on deliberation and prediction")</f>
        <v>Ramsey and Joyce on deliberation and prediction</v>
      </c>
      <c r="D121" s="1" t="str">
        <f>IFERROR(__xludf.DUMMYFUNCTION("""COMPUTED_VALUE"""),"Yang Liu, Hew Price")</f>
        <v>Yang Liu, Hew Price</v>
      </c>
      <c r="E121" s="1" t="str">
        <f>IFERROR(__xludf.DUMMYFUNCTION("""COMPUTED_VALUE"""),"CSER Website")</f>
        <v>CSER Website</v>
      </c>
      <c r="F121" s="1">
        <f>IFERROR(__xludf.DUMMYFUNCTION("""COMPUTED_VALUE"""),2018.0)</f>
        <v>2018</v>
      </c>
      <c r="G121" s="1"/>
      <c r="H121" s="2" t="str">
        <f>IFERROR(__xludf.DUMMYFUNCTION("""COMPUTED_VALUE"""),"AN #27")</f>
        <v>AN #27</v>
      </c>
      <c r="I121" s="1"/>
      <c r="J121" s="1"/>
    </row>
    <row r="122">
      <c r="A122" s="1" t="str">
        <f>IFERROR(__xludf.DUMMYFUNCTION("""COMPUTED_VALUE"""),"Agent foundations")</f>
        <v>Agent foundations</v>
      </c>
      <c r="B122" s="1" t="str">
        <f>IFERROR(__xludf.DUMMYFUNCTION("""COMPUTED_VALUE"""),"")</f>
        <v/>
      </c>
      <c r="C122" s="2" t="str">
        <f>IFERROR(__xludf.DUMMYFUNCTION("""COMPUTED_VALUE"""),"Focus: you are allowed to be bad at accomplishing your goals")</f>
        <v>Focus: you are allowed to be bad at accomplishing your goals</v>
      </c>
      <c r="D122" s="1" t="str">
        <f>IFERROR(__xludf.DUMMYFUNCTION("""COMPUTED_VALUE"""),"Adam Shimi")</f>
        <v>Adam Shimi</v>
      </c>
      <c r="E122" s="1" t="str">
        <f>IFERROR(__xludf.DUMMYFUNCTION("""COMPUTED_VALUE"""),"Alignment Forum")</f>
        <v>Alignment Forum</v>
      </c>
      <c r="F122" s="1">
        <f>IFERROR(__xludf.DUMMYFUNCTION("""COMPUTED_VALUE"""),2020.0)</f>
        <v>2020</v>
      </c>
      <c r="G122" s="1"/>
      <c r="H122" s="2" t="str">
        <f>IFERROR(__xludf.DUMMYFUNCTION("""COMPUTED_VALUE"""),"AN #103")</f>
        <v>AN #103</v>
      </c>
      <c r="I122" s="1" t="str">
        <f>IFERROR(__xludf.DUMMYFUNCTION("""COMPUTED_VALUE"""),"Rohin")</f>
        <v>Rohin</v>
      </c>
      <c r="J122" s="1" t="str">
        <f>IFERROR(__xludf.DUMMYFUNCTION("""COMPUTED_VALUE"""),"&lt;@Goal-directedness@&gt;(@Intuitions about goal-directed behavior@) is one of the key drivers of AI risk: it's the underlying factor that leads to [convergent instrumental subgoals](https://selfawaresystems.files.wordpress.com/2008/01/ai_drives_final.pdf). H"&amp;"owever, it has eluded a good definition so far: we cannot simply say that it is the optimal policy for some simple reward function, as that would imply AlphaGo is not goal-directed (since it was beaten by AlphaZero), which seems wrong. Basically, goal-dir"&amp;"ectedness should not be tied directly to _competence_. So, instead of only considering optimal policies, we can consider any policy that could have been output by an RL algorithm, perhaps with limited resources. Formally, we can construct a set of policie"&amp;"s for G that can result from running e.g. SARSA with varying amounts of resources with G as the reward, and define the focus of a system towards G to be the distance of the system’s policy to the constructed set of policies.")</f>
        <v>&lt;@Goal-directedness@&gt;(@Intuitions about goal-directed behavior@) is one of the key drivers of AI risk: it's the underlying factor that leads to [convergent instrumental subgoals](https://selfawaresystems.files.wordpress.com/2008/01/ai_drives_final.pdf). However, it has eluded a good definition so far: we cannot simply say that it is the optimal policy for some simple reward function, as that would imply AlphaGo is not goal-directed (since it was beaten by AlphaZero), which seems wrong. Basically, goal-directedness should not be tied directly to _competence_. So, instead of only considering optimal policies, we can consider any policy that could have been output by an RL algorithm, perhaps with limited resources. Formally, we can construct a set of policies for G that can result from running e.g. SARSA with varying amounts of resources with G as the reward, and define the focus of a system towards G to be the distance of the system’s policy to the constructed set of policies.</v>
      </c>
      <c r="K122" t="str">
        <f>IFERROR(__xludf.DUMMYFUNCTION("""COMPUTED_VALUE"""),"I certainly agree that we should not require full competence in order to call a system goal-directed. I am less convinced of the particular construction here: current RL policies are typically terrible at generalization, and tabular SARSA explicitly doesn"&amp;"’t even _try_ to generalize, whereas I see generalization as a key feature of goal-directedness.
You could imagine the RL policies get more resources and so are able to understand the whole environment without generalization, e.g. if they get to update o"&amp;"n every state at least once. However, in this case realistic goal-directed policies would be penalized for “not knowing what they should have known”. For example, suppose I want to eat sweet things, and I come across a new fruit I’ve never seen before. So"&amp;" I try the fruit, and it turns out it is very bitter. This would count as “not being goal-directed”, since the RL policies for “eat sweet things” would already know that the fruit is bitter and so wouldn’t eat it.")</f>
        <v>I certainly agree that we should not require full competence in order to call a system goal-directed. I am less convinced of the particular construction here: current RL policies are typically terrible at generalization, and tabular SARSA explicitly doesn’t even _try_ to generalize, whereas I see generalization as a key feature of goal-directedness.
You could imagine the RL policies get more resources and so are able to understand the whole environment without generalization, e.g. if they get to update on every state at least once. However, in this case realistic goal-directed policies would be penalized for “not knowing what they should have known”. For example, suppose I want to eat sweet things, and I come across a new fruit I’ve never seen before. So I try the fruit, and it turns out it is very bitter. This would count as “not being goal-directed”, since the RL policies for “eat sweet things” would already know that the fruit is bitter and so wouldn’t eat it.</v>
      </c>
    </row>
    <row r="123">
      <c r="A123" s="1" t="str">
        <f>IFERROR(__xludf.DUMMYFUNCTION("""COMPUTED_VALUE"""),"Agent foundations")</f>
        <v>Agent foundations</v>
      </c>
      <c r="B123" s="1" t="str">
        <f>IFERROR(__xludf.DUMMYFUNCTION("""COMPUTED_VALUE"""),"")</f>
        <v/>
      </c>
      <c r="C123" s="2" t="str">
        <f>IFERROR(__xludf.DUMMYFUNCTION("""COMPUTED_VALUE"""),"Subjective implication decision theory in critical agentialism")</f>
        <v>Subjective implication decision theory in critical agentialism</v>
      </c>
      <c r="D123" s="1" t="str">
        <f>IFERROR(__xludf.DUMMYFUNCTION("""COMPUTED_VALUE"""),"Jessica Taylor")</f>
        <v>Jessica Taylor</v>
      </c>
      <c r="E123" s="1" t="str">
        <f>IFERROR(__xludf.DUMMYFUNCTION("""COMPUTED_VALUE"""),"Alignment Forum")</f>
        <v>Alignment Forum</v>
      </c>
      <c r="F123" s="1">
        <f>IFERROR(__xludf.DUMMYFUNCTION("""COMPUTED_VALUE"""),2020.0)</f>
        <v>2020</v>
      </c>
      <c r="G123" s="1"/>
      <c r="H123" s="2" t="str">
        <f>IFERROR(__xludf.DUMMYFUNCTION("""COMPUTED_VALUE"""),"AN #90")</f>
        <v>AN #90</v>
      </c>
      <c r="I123" s="1"/>
      <c r="J123" s="1"/>
    </row>
    <row r="124">
      <c r="A124" s="1" t="str">
        <f>IFERROR(__xludf.DUMMYFUNCTION("""COMPUTED_VALUE"""),"Agent foundations")</f>
        <v>Agent foundations</v>
      </c>
      <c r="B124" s="1" t="str">
        <f>IFERROR(__xludf.DUMMYFUNCTION("""COMPUTED_VALUE"""),"")</f>
        <v/>
      </c>
      <c r="C124" s="2" t="str">
        <f>IFERROR(__xludf.DUMMYFUNCTION("""COMPUTED_VALUE"""),"Predictors exist: CDT going bonkers... forever")</f>
        <v>Predictors exist: CDT going bonkers... forever</v>
      </c>
      <c r="D124" s="1" t="str">
        <f>IFERROR(__xludf.DUMMYFUNCTION("""COMPUTED_VALUE"""),"Stuart Armstrong")</f>
        <v>Stuart Armstrong</v>
      </c>
      <c r="E124" s="1" t="str">
        <f>IFERROR(__xludf.DUMMYFUNCTION("""COMPUTED_VALUE"""),"Alignment Forum")</f>
        <v>Alignment Forum</v>
      </c>
      <c r="F124" s="1">
        <f>IFERROR(__xludf.DUMMYFUNCTION("""COMPUTED_VALUE"""),2020.0)</f>
        <v>2020</v>
      </c>
      <c r="G124" s="1"/>
      <c r="H124" s="2" t="str">
        <f>IFERROR(__xludf.DUMMYFUNCTION("""COMPUTED_VALUE"""),"AN #83")</f>
        <v>AN #83</v>
      </c>
      <c r="I124" s="1" t="str">
        <f>IFERROR(__xludf.DUMMYFUNCTION("""COMPUTED_VALUE"""),"Rohin")</f>
        <v>Rohin</v>
      </c>
      <c r="J124" s="1" t="str">
        <f>IFERROR(__xludf.DUMMYFUNCTION("""COMPUTED_VALUE"""),"Consider a setting in which an agent can play a game against a predictor. The agent can choose to say zero or one. It gets 3 utility if it says something different from the predictor, and -1 utility if it says the same thing. If the predictor is near-perf"&amp;"ect, but the agent models its actions as independent of the predictor (since the prediction was made in the past), then the agent will have some belief about the prediction and will choose the less likely action for expected utility at least 1, and will c"&amp;"ontinually lose.")</f>
        <v>Consider a setting in which an agent can play a game against a predictor. The agent can choose to say zero or one. It gets 3 utility if it says something different from the predictor, and -1 utility if it says the same thing. If the predictor is near-perfect, but the agent models its actions as independent of the predictor (since the prediction was made in the past), then the agent will have some belief about the prediction and will choose the less likely action for expected utility at least 1, and will continually lose.</v>
      </c>
    </row>
    <row r="125">
      <c r="A125" s="1" t="str">
        <f>IFERROR(__xludf.DUMMYFUNCTION("""COMPUTED_VALUE"""),"Agent foundations")</f>
        <v>Agent foundations</v>
      </c>
      <c r="B125" s="1" t="str">
        <f>IFERROR(__xludf.DUMMYFUNCTION("""COMPUTED_VALUE"""),"")</f>
        <v/>
      </c>
      <c r="C125" s="2" t="str">
        <f>IFERROR(__xludf.DUMMYFUNCTION("""COMPUTED_VALUE"""),"ACDT: a hack-y acausal decision theory")</f>
        <v>ACDT: a hack-y acausal decision theory</v>
      </c>
      <c r="D125" s="1" t="str">
        <f>IFERROR(__xludf.DUMMYFUNCTION("""COMPUTED_VALUE"""),"Stuart Armstrong")</f>
        <v>Stuart Armstrong</v>
      </c>
      <c r="E125" s="1" t="str">
        <f>IFERROR(__xludf.DUMMYFUNCTION("""COMPUTED_VALUE"""),"Alignment Forum")</f>
        <v>Alignment Forum</v>
      </c>
      <c r="F125" s="1">
        <f>IFERROR(__xludf.DUMMYFUNCTION("""COMPUTED_VALUE"""),2020.0)</f>
        <v>2020</v>
      </c>
      <c r="G125" s="1"/>
      <c r="H125" s="2" t="str">
        <f>IFERROR(__xludf.DUMMYFUNCTION("""COMPUTED_VALUE"""),"AN #83")</f>
        <v>AN #83</v>
      </c>
      <c r="I125" s="1" t="str">
        <f>IFERROR(__xludf.DUMMYFUNCTION("""COMPUTED_VALUE"""),"Rohin")</f>
        <v>Rohin</v>
      </c>
      <c r="J125" s="1" t="str">
        <f>IFERROR(__xludf.DUMMYFUNCTION("""COMPUTED_VALUE"""),"The problem with the previous agent is that it never learns that it has the wrong causal model. If the agent is able to learn a better causal model from experience, then it can learn that the predictor can actually predict the agent successfully, and so w"&amp;"ill no longer expect a 50% chance of winning, and it will stop playing the game.")</f>
        <v>The problem with the previous agent is that it never learns that it has the wrong causal model. If the agent is able to learn a better causal model from experience, then it can learn that the predictor can actually predict the agent successfully, and so will no longer expect a 50% chance of winning, and it will stop playing the game.</v>
      </c>
    </row>
    <row r="126">
      <c r="A126" s="1" t="str">
        <f>IFERROR(__xludf.DUMMYFUNCTION("""COMPUTED_VALUE"""),"Agent foundations")</f>
        <v>Agent foundations</v>
      </c>
      <c r="B126" s="1" t="str">
        <f>IFERROR(__xludf.DUMMYFUNCTION("""COMPUTED_VALUE"""),"")</f>
        <v/>
      </c>
      <c r="C126" s="2" t="str">
        <f>IFERROR(__xludf.DUMMYFUNCTION("""COMPUTED_VALUE"""),"Doubts about Updatelessness")</f>
        <v>Doubts about Updatelessness</v>
      </c>
      <c r="D126" s="1" t="str">
        <f>IFERROR(__xludf.DUMMYFUNCTION("""COMPUTED_VALUE"""),"Alex Appel")</f>
        <v>Alex Appel</v>
      </c>
      <c r="E126" s="1" t="str">
        <f>IFERROR(__xludf.DUMMYFUNCTION("""COMPUTED_VALUE"""),"Agent Foundations")</f>
        <v>Agent Foundations</v>
      </c>
      <c r="F126" s="1">
        <f>IFERROR(__xludf.DUMMYFUNCTION("""COMPUTED_VALUE"""),2018.0)</f>
        <v>2018</v>
      </c>
      <c r="G126" s="1"/>
      <c r="H126" s="2" t="str">
        <f>IFERROR(__xludf.DUMMYFUNCTION("""COMPUTED_VALUE"""),"AN #5")</f>
        <v>AN #5</v>
      </c>
      <c r="I126" s="1"/>
      <c r="J126" s="1"/>
    </row>
    <row r="127">
      <c r="A127" s="1" t="str">
        <f>IFERROR(__xludf.DUMMYFUNCTION("""COMPUTED_VALUE"""),"Agent foundations")</f>
        <v>Agent foundations</v>
      </c>
      <c r="B127" s="1" t="str">
        <f>IFERROR(__xludf.DUMMYFUNCTION("""COMPUTED_VALUE"""),"")</f>
        <v/>
      </c>
      <c r="C127" s="2" t="str">
        <f>IFERROR(__xludf.DUMMYFUNCTION("""COMPUTED_VALUE"""),"Computing an exact quantilal policy")</f>
        <v>Computing an exact quantilal policy</v>
      </c>
      <c r="D127" s="1" t="str">
        <f>IFERROR(__xludf.DUMMYFUNCTION("""COMPUTED_VALUE"""),"Vadim Kosoy")</f>
        <v>Vadim Kosoy</v>
      </c>
      <c r="E127" s="1" t="str">
        <f>IFERROR(__xludf.DUMMYFUNCTION("""COMPUTED_VALUE"""),"Agent Foundations")</f>
        <v>Agent Foundations</v>
      </c>
      <c r="F127" s="1">
        <f>IFERROR(__xludf.DUMMYFUNCTION("""COMPUTED_VALUE"""),2018.0)</f>
        <v>2018</v>
      </c>
      <c r="G127" s="1"/>
      <c r="H127" s="2" t="str">
        <f>IFERROR(__xludf.DUMMYFUNCTION("""COMPUTED_VALUE"""),"AN #3")</f>
        <v>AN #3</v>
      </c>
      <c r="I127" s="1"/>
      <c r="J127" s="1"/>
    </row>
    <row r="128">
      <c r="A128" s="1" t="str">
        <f>IFERROR(__xludf.DUMMYFUNCTION("""COMPUTED_VALUE"""),"Agent foundations")</f>
        <v>Agent foundations</v>
      </c>
      <c r="B128" s="1" t="str">
        <f>IFERROR(__xludf.DUMMYFUNCTION("""COMPUTED_VALUE"""),"")</f>
        <v/>
      </c>
      <c r="C128" s="2" t="str">
        <f>IFERROR(__xludf.DUMMYFUNCTION("""COMPUTED_VALUE"""),"Logical Counterfactuals &amp; the Cooperation Game")</f>
        <v>Logical Counterfactuals &amp; the Cooperation Game</v>
      </c>
      <c r="D128" s="1" t="str">
        <f>IFERROR(__xludf.DUMMYFUNCTION("""COMPUTED_VALUE"""),"Chris Leong")</f>
        <v>Chris Leong</v>
      </c>
      <c r="E128" s="1" t="str">
        <f>IFERROR(__xludf.DUMMYFUNCTION("""COMPUTED_VALUE"""),"Alignment Forum")</f>
        <v>Alignment Forum</v>
      </c>
      <c r="F128" s="1">
        <f>IFERROR(__xludf.DUMMYFUNCTION("""COMPUTED_VALUE"""),2018.0)</f>
        <v>2018</v>
      </c>
      <c r="G128" s="1"/>
      <c r="H128" s="2" t="str">
        <f>IFERROR(__xludf.DUMMYFUNCTION("""COMPUTED_VALUE"""),"AN #20")</f>
        <v>AN #20</v>
      </c>
      <c r="I128" s="1"/>
      <c r="J128" s="1"/>
    </row>
    <row r="129">
      <c r="A129" s="1" t="str">
        <f>IFERROR(__xludf.DUMMYFUNCTION("""COMPUTED_VALUE"""),"Agent foundations")</f>
        <v>Agent foundations</v>
      </c>
      <c r="B129" s="1" t="str">
        <f>IFERROR(__xludf.DUMMYFUNCTION("""COMPUTED_VALUE"""),"")</f>
        <v/>
      </c>
      <c r="C129" s="2" t="str">
        <f>IFERROR(__xludf.DUMMYFUNCTION("""COMPUTED_VALUE"""),"No Constant Distribution Can be a Logical Inductor")</f>
        <v>No Constant Distribution Can be a Logical Inductor</v>
      </c>
      <c r="D129" s="1" t="str">
        <f>IFERROR(__xludf.DUMMYFUNCTION("""COMPUTED_VALUE"""),"Alex Appel")</f>
        <v>Alex Appel</v>
      </c>
      <c r="E129" s="1" t="str">
        <f>IFERROR(__xludf.DUMMYFUNCTION("""COMPUTED_VALUE"""),"Agent Foundations")</f>
        <v>Agent Foundations</v>
      </c>
      <c r="F129" s="1">
        <f>IFERROR(__xludf.DUMMYFUNCTION("""COMPUTED_VALUE"""),2018.0)</f>
        <v>2018</v>
      </c>
      <c r="G129" s="1"/>
      <c r="H129" s="2" t="str">
        <f>IFERROR(__xludf.DUMMYFUNCTION("""COMPUTED_VALUE"""),"AN #2")</f>
        <v>AN #2</v>
      </c>
      <c r="I129" s="1"/>
      <c r="J129" s="1"/>
    </row>
    <row r="130">
      <c r="A130" s="1" t="str">
        <f>IFERROR(__xludf.DUMMYFUNCTION("""COMPUTED_VALUE"""),"Agent foundations")</f>
        <v>Agent foundations</v>
      </c>
      <c r="B130" s="1" t="str">
        <f>IFERROR(__xludf.DUMMYFUNCTION("""COMPUTED_VALUE"""),"")</f>
        <v/>
      </c>
      <c r="C130" s="2" t="str">
        <f>IFERROR(__xludf.DUMMYFUNCTION("""COMPUTED_VALUE"""),"Resource-Limited Reflective Oracles")</f>
        <v>Resource-Limited Reflective Oracles</v>
      </c>
      <c r="D130" s="1" t="str">
        <f>IFERROR(__xludf.DUMMYFUNCTION("""COMPUTED_VALUE"""),"Alex Appel")</f>
        <v>Alex Appel</v>
      </c>
      <c r="E130" s="1" t="str">
        <f>IFERROR(__xludf.DUMMYFUNCTION("""COMPUTED_VALUE"""),"Agent Foundations")</f>
        <v>Agent Foundations</v>
      </c>
      <c r="F130" s="1">
        <f>IFERROR(__xludf.DUMMYFUNCTION("""COMPUTED_VALUE"""),2018.0)</f>
        <v>2018</v>
      </c>
      <c r="G130" s="1"/>
      <c r="H130" s="2" t="str">
        <f>IFERROR(__xludf.DUMMYFUNCTION("""COMPUTED_VALUE"""),"AN #2")</f>
        <v>AN #2</v>
      </c>
      <c r="I130" s="1"/>
      <c r="J130" s="1"/>
    </row>
    <row r="131">
      <c r="A131" s="1" t="str">
        <f>IFERROR(__xludf.DUMMYFUNCTION("""COMPUTED_VALUE"""),"Agent foundations")</f>
        <v>Agent foundations</v>
      </c>
      <c r="B131" s="1" t="str">
        <f>IFERROR(__xludf.DUMMYFUNCTION("""COMPUTED_VALUE"""),"")</f>
        <v/>
      </c>
      <c r="C131" s="2" t="str">
        <f>IFERROR(__xludf.DUMMYFUNCTION("""COMPUTED_VALUE"""),"Idea: OpenAI Gym environments where the AI is a part of the environment")</f>
        <v>Idea: OpenAI Gym environments where the AI is a part of the environment</v>
      </c>
      <c r="D131" s="1" t="str">
        <f>IFERROR(__xludf.DUMMYFUNCTION("""COMPUTED_VALUE"""),"crabman")</f>
        <v>crabman</v>
      </c>
      <c r="E131" s="1" t="str">
        <f>IFERROR(__xludf.DUMMYFUNCTION("""COMPUTED_VALUE"""),"LessWrong")</f>
        <v>LessWrong</v>
      </c>
      <c r="F131" s="1">
        <f>IFERROR(__xludf.DUMMYFUNCTION("""COMPUTED_VALUE"""),2018.0)</f>
        <v>2018</v>
      </c>
      <c r="G131" s="1"/>
      <c r="H131" s="2" t="str">
        <f>IFERROR(__xludf.DUMMYFUNCTION("""COMPUTED_VALUE"""),"AN #2")</f>
        <v>AN #2</v>
      </c>
      <c r="I131" s="1"/>
      <c r="J131" s="1"/>
    </row>
    <row r="132">
      <c r="A132" s="1" t="str">
        <f>IFERROR(__xludf.DUMMYFUNCTION("""COMPUTED_VALUE"""),"Agent foundations")</f>
        <v>Agent foundations</v>
      </c>
      <c r="B132" s="1" t="str">
        <f>IFERROR(__xludf.DUMMYFUNCTION("""COMPUTED_VALUE"""),"")</f>
        <v/>
      </c>
      <c r="C132" s="2" t="str">
        <f>IFERROR(__xludf.DUMMYFUNCTION("""COMPUTED_VALUE"""),"Probabilistic Tiling (Preliminary Attempt)")</f>
        <v>Probabilistic Tiling (Preliminary Attempt)</v>
      </c>
      <c r="D132" s="1" t="str">
        <f>IFERROR(__xludf.DUMMYFUNCTION("""COMPUTED_VALUE"""),"Diffractor")</f>
        <v>Diffractor</v>
      </c>
      <c r="E132" s="1" t="str">
        <f>IFERROR(__xludf.DUMMYFUNCTION("""COMPUTED_VALUE"""),"Alignment Forum")</f>
        <v>Alignment Forum</v>
      </c>
      <c r="F132" s="1">
        <f>IFERROR(__xludf.DUMMYFUNCTION("""COMPUTED_VALUE"""),2018.0)</f>
        <v>2018</v>
      </c>
      <c r="G132" s="1"/>
      <c r="H132" s="2" t="str">
        <f>IFERROR(__xludf.DUMMYFUNCTION("""COMPUTED_VALUE"""),"AN #19")</f>
        <v>AN #19</v>
      </c>
      <c r="I132" s="1"/>
      <c r="J132" s="1"/>
    </row>
    <row r="133">
      <c r="A133" s="1" t="str">
        <f>IFERROR(__xludf.DUMMYFUNCTION("""COMPUTED_VALUE"""),"Agent foundations")</f>
        <v>Agent foundations</v>
      </c>
      <c r="B133" s="1" t="str">
        <f>IFERROR(__xludf.DUMMYFUNCTION("""COMPUTED_VALUE"""),"")</f>
        <v/>
      </c>
      <c r="C133" s="1" t="str">
        <f>IFERROR(__xludf.DUMMYFUNCTION("""COMPUTED_VALUE"""),"[Logical Counterfactuals for Perfect Predictors](https://www.lesswrong.com/posts/AKkFh3zKGzcYBiPo7/logical-counterfactuals-for-perfect-predictors) and [A Short Note on UDT](https://www.lesswrong.com/posts/EXtzy3v4soZcoZjuH/a-short-note-on-udt)")</f>
        <v>[Logical Counterfactuals for Perfect Predictors](https://www.lesswrong.com/posts/AKkFh3zKGzcYBiPo7/logical-counterfactuals-for-perfect-predictors) and [A Short Note on UDT](https://www.lesswrong.com/posts/EXtzy3v4soZcoZjuH/a-short-note-on-udt)</v>
      </c>
      <c r="D133" s="1" t="str">
        <f>IFERROR(__xludf.DUMMYFUNCTION("""COMPUTED_VALUE"""),"Chris Leong")</f>
        <v>Chris Leong</v>
      </c>
      <c r="E133" s="1" t="str">
        <f>IFERROR(__xludf.DUMMYFUNCTION("""COMPUTED_VALUE"""),"LessWrong")</f>
        <v>LessWrong</v>
      </c>
      <c r="F133" s="1">
        <f>IFERROR(__xludf.DUMMYFUNCTION("""COMPUTED_VALUE"""),2018.0)</f>
        <v>2018</v>
      </c>
      <c r="G133" s="1"/>
      <c r="H133" s="2" t="str">
        <f>IFERROR(__xludf.DUMMYFUNCTION("""COMPUTED_VALUE"""),"AN #19")</f>
        <v>AN #19</v>
      </c>
      <c r="I133" s="1"/>
      <c r="J133" s="1"/>
    </row>
    <row r="134">
      <c r="A134" s="1" t="str">
        <f>IFERROR(__xludf.DUMMYFUNCTION("""COMPUTED_VALUE"""),"Agent foundations")</f>
        <v>Agent foundations</v>
      </c>
      <c r="B134" s="1" t="str">
        <f>IFERROR(__xludf.DUMMYFUNCTION("""COMPUTED_VALUE"""),"")</f>
        <v/>
      </c>
      <c r="C134" s="2" t="str">
        <f>IFERROR(__xludf.DUMMYFUNCTION("""COMPUTED_VALUE"""),"Counterfactuals, thick and thin")</f>
        <v>Counterfactuals, thick and thin</v>
      </c>
      <c r="D134" s="1" t="str">
        <f>IFERROR(__xludf.DUMMYFUNCTION("""COMPUTED_VALUE"""),"Nisan")</f>
        <v>Nisan</v>
      </c>
      <c r="E134" s="1" t="str">
        <f>IFERROR(__xludf.DUMMYFUNCTION("""COMPUTED_VALUE"""),"LessWrong")</f>
        <v>LessWrong</v>
      </c>
      <c r="F134" s="1">
        <f>IFERROR(__xludf.DUMMYFUNCTION("""COMPUTED_VALUE"""),2018.0)</f>
        <v>2018</v>
      </c>
      <c r="G134" s="1"/>
      <c r="H134" s="2" t="str">
        <f>IFERROR(__xludf.DUMMYFUNCTION("""COMPUTED_VALUE"""),"AN #18")</f>
        <v>AN #18</v>
      </c>
      <c r="I134" s="1" t="str">
        <f>IFERROR(__xludf.DUMMYFUNCTION("""COMPUTED_VALUE"""),"Rohin")</f>
        <v>Rohin</v>
      </c>
      <c r="J134" s="1" t="str">
        <f>IFERROR(__xludf.DUMMYFUNCTION("""COMPUTED_VALUE"""),"There are many different ways to formalize counterfactuals (the post suggests three such ways). Often, for any given way of formalizing counterfactuals, there are many ways you could take a counterfactual, which give different answers. When considering th"&amp;"e physical world, we have strong causal models that can tell us which one is the ""correct"" counterfactual. However, there is no such method for logical counterfactuals yet.")</f>
        <v>There are many different ways to formalize counterfactuals (the post suggests three such ways). Often, for any given way of formalizing counterfactuals, there are many ways you could take a counterfactual, which give different answers. When considering the physical world, we have strong causal models that can tell us which one is the "correct" counterfactual. However, there is no such method for logical counterfactuals yet.</v>
      </c>
      <c r="K134" t="str">
        <f>IFERROR(__xludf.DUMMYFUNCTION("""COMPUTED_VALUE"""),"I don't think I understood this post, so I'll abstain on an opinion.")</f>
        <v>I don't think I understood this post, so I'll abstain on an opinion.</v>
      </c>
    </row>
    <row r="135">
      <c r="A135" s="1" t="str">
        <f>IFERROR(__xludf.DUMMYFUNCTION("""COMPUTED_VALUE"""),"Agent foundations")</f>
        <v>Agent foundations</v>
      </c>
      <c r="B135" s="1" t="str">
        <f>IFERROR(__xludf.DUMMYFUNCTION("""COMPUTED_VALUE"""),"")</f>
        <v/>
      </c>
      <c r="C135" s="2" t="str">
        <f>IFERROR(__xludf.DUMMYFUNCTION("""COMPUTED_VALUE"""),"Conceptual problems with utility functions, second attempt at explaining")</f>
        <v>Conceptual problems with utility functions, second attempt at explaining</v>
      </c>
      <c r="D135" s="1" t="str">
        <f>IFERROR(__xludf.DUMMYFUNCTION("""COMPUTED_VALUE"""),"Dacyn")</f>
        <v>Dacyn</v>
      </c>
      <c r="E135" s="1" t="str">
        <f>IFERROR(__xludf.DUMMYFUNCTION("""COMPUTED_VALUE"""),"LessWrong")</f>
        <v>LessWrong</v>
      </c>
      <c r="F135" s="1">
        <f>IFERROR(__xludf.DUMMYFUNCTION("""COMPUTED_VALUE"""),2018.0)</f>
        <v>2018</v>
      </c>
      <c r="G135" s="1"/>
      <c r="H135" s="2" t="str">
        <f>IFERROR(__xludf.DUMMYFUNCTION("""COMPUTED_VALUE"""),"AN #17")</f>
        <v>AN #17</v>
      </c>
      <c r="I135" s="1" t="str">
        <f>IFERROR(__xludf.DUMMYFUNCTION("""COMPUTED_VALUE"""),"Rohin")</f>
        <v>Rohin</v>
      </c>
      <c r="J135" s="1" t="str">
        <f>IFERROR(__xludf.DUMMYFUNCTION("""COMPUTED_VALUE"""),"Argues that there's a difference between object-level fairness (which sounds to me like fairness as a terminal value) and meta-level fairness (which sounds to me like instrumental fairness), and that this difference is not captured with single-player util"&amp;"ity function maximization.")</f>
        <v>Argues that there's a difference between object-level fairness (which sounds to me like fairness as a terminal value) and meta-level fairness (which sounds to me like instrumental fairness), and that this difference is not captured with single-player utility function maximization.</v>
      </c>
      <c r="K135" t="str">
        <f>IFERROR(__xludf.DUMMYFUNCTION("""COMPUTED_VALUE"""),"I still think that the difference pointed out here is accounted for by traditional multiagent game theory, which has utility maximization for each player. For example, I would expect that in a repeated Ultimatum game, fairness would arise naturally, simil"&amp;"arly to how tit-for-tat is a good strategy in an iterated prisoner's dilemma.")</f>
        <v>I still think that the difference pointed out here is accounted for by traditional multiagent game theory, which has utility maximization for each player. For example, I would expect that in a repeated Ultimatum game, fairness would arise naturally, similarly to how tit-for-tat is a good strategy in an iterated prisoner's dilemma.</v>
      </c>
      <c r="M135" s="3" t="str">
        <f>IFERROR(__xludf.DUMMYFUNCTION("""COMPUTED_VALUE"""),"Conceptual problems with utility functions")</f>
        <v>Conceptual problems with utility functions</v>
      </c>
    </row>
    <row r="136">
      <c r="A136" s="1" t="str">
        <f>IFERROR(__xludf.DUMMYFUNCTION("""COMPUTED_VALUE"""),"Agent foundations")</f>
        <v>Agent foundations</v>
      </c>
      <c r="B136" s="1" t="str">
        <f>IFERROR(__xludf.DUMMYFUNCTION("""COMPUTED_VALUE"""),"")</f>
        <v/>
      </c>
      <c r="C136" s="2" t="str">
        <f>IFERROR(__xludf.DUMMYFUNCTION("""COMPUTED_VALUE"""),"Exorcizing the Speed Prior?")</f>
        <v>Exorcizing the Speed Prior?</v>
      </c>
      <c r="D136" s="1" t="str">
        <f>IFERROR(__xludf.DUMMYFUNCTION("""COMPUTED_VALUE"""),"Abram Demski")</f>
        <v>Abram Demski</v>
      </c>
      <c r="E136" s="1" t="str">
        <f>IFERROR(__xludf.DUMMYFUNCTION("""COMPUTED_VALUE"""),"LessWrong")</f>
        <v>LessWrong</v>
      </c>
      <c r="F136" s="1">
        <f>IFERROR(__xludf.DUMMYFUNCTION("""COMPUTED_VALUE"""),2018.0)</f>
        <v>2018</v>
      </c>
      <c r="G136" s="1"/>
      <c r="H136" s="2" t="str">
        <f>IFERROR(__xludf.DUMMYFUNCTION("""COMPUTED_VALUE"""),"AN #17")</f>
        <v>AN #17</v>
      </c>
      <c r="I136" s="1" t="str">
        <f>IFERROR(__xludf.DUMMYFUNCTION("""COMPUTED_VALUE"""),"Rohin")</f>
        <v>Rohin</v>
      </c>
      <c r="J136" s="1" t="str">
        <f>IFERROR(__xludf.DUMMYFUNCTION("""COMPUTED_VALUE"""),"Intuitively, in order to find a solution to a hard problem, we could either do an uninformed brute force search, or encode some domain knowledge and then do an informed search. Roughly, we should expect each additional bit of information to cut the requir"&amp;"ed search roughly in half. The speed prior trades off a bit of complexity against a doubling of running time, so we should expect the informed and uninformed searches to be equally likely in the speed prior. So, uninformed brute force searches that can fi"&amp;"nd weird edge cases (aka daemons) are only equally likely, not more likely.")</f>
        <v>Intuitively, in order to find a solution to a hard problem, we could either do an uninformed brute force search, or encode some domain knowledge and then do an informed search. Roughly, we should expect each additional bit of information to cut the required search roughly in half. The speed prior trades off a bit of complexity against a doubling of running time, so we should expect the informed and uninformed searches to be equally likely in the speed prior. So, uninformed brute force searches that can find weird edge cases (aka daemons) are only equally likely, not more likely.</v>
      </c>
      <c r="K136" t="str">
        <f>IFERROR(__xludf.DUMMYFUNCTION("""COMPUTED_VALUE"""),"As the post acknowledges, this is extremely handwavy and just gesturing at an intuition, so I'm not sure what to make of it yet. One counterconsideration is that a lot of intelligence that is not just search, that still is general across domains (see [thi"&amp;"s comment](https://www.lesswrong.com/posts/Say4sCQ2g22HGsbRT/exorcizing-the-speed-prior#CeLGp6Cje4id5RFb2) for examples).")</f>
        <v>As the post acknowledges, this is extremely handwavy and just gesturing at an intuition, so I'm not sure what to make of it yet. One counterconsideration is that a lot of intelligence that is not just search, that still is general across domains (see [this comment](https://www.lesswrong.com/posts/Say4sCQ2g22HGsbRT/exorcizing-the-speed-prior#CeLGp6Cje4id5RFb2) for examples).</v>
      </c>
    </row>
    <row r="137">
      <c r="A137" s="1" t="str">
        <f>IFERROR(__xludf.DUMMYFUNCTION("""COMPUTED_VALUE"""),"Agent foundations")</f>
        <v>Agent foundations</v>
      </c>
      <c r="B137" s="1" t="str">
        <f>IFERROR(__xludf.DUMMYFUNCTION("""COMPUTED_VALUE"""),"")</f>
        <v/>
      </c>
      <c r="C137" s="2" t="str">
        <f>IFERROR(__xludf.DUMMYFUNCTION("""COMPUTED_VALUE"""),"The Evil Genie Puzzle")</f>
        <v>The Evil Genie Puzzle</v>
      </c>
      <c r="D137" s="1" t="str">
        <f>IFERROR(__xludf.DUMMYFUNCTION("""COMPUTED_VALUE"""),"Chris Leong")</f>
        <v>Chris Leong</v>
      </c>
      <c r="E137" s="1" t="str">
        <f>IFERROR(__xludf.DUMMYFUNCTION("""COMPUTED_VALUE"""),"LessWrong")</f>
        <v>LessWrong</v>
      </c>
      <c r="F137" s="1">
        <f>IFERROR(__xludf.DUMMYFUNCTION("""COMPUTED_VALUE"""),2018.0)</f>
        <v>2018</v>
      </c>
      <c r="G137" s="1"/>
      <c r="H137" s="2" t="str">
        <f>IFERROR(__xludf.DUMMYFUNCTION("""COMPUTED_VALUE"""),"AN #17")</f>
        <v>AN #17</v>
      </c>
      <c r="I137" s="1"/>
      <c r="J137" s="1"/>
    </row>
    <row r="138">
      <c r="A138" s="1" t="str">
        <f>IFERROR(__xludf.DUMMYFUNCTION("""COMPUTED_VALUE"""),"Agent foundations")</f>
        <v>Agent foundations</v>
      </c>
      <c r="B138" s="1" t="str">
        <f>IFERROR(__xludf.DUMMYFUNCTION("""COMPUTED_VALUE"""),"")</f>
        <v/>
      </c>
      <c r="C138" s="2" t="str">
        <f>IFERROR(__xludf.DUMMYFUNCTION("""COMPUTED_VALUE"""),"Logical uncertainty and Mathematical uncertainty")</f>
        <v>Logical uncertainty and Mathematical uncertainty</v>
      </c>
      <c r="D138" s="1" t="str">
        <f>IFERROR(__xludf.DUMMYFUNCTION("""COMPUTED_VALUE"""),"Alex Mennen")</f>
        <v>Alex Mennen</v>
      </c>
      <c r="E138" s="1" t="str">
        <f>IFERROR(__xludf.DUMMYFUNCTION("""COMPUTED_VALUE"""),"LessWrong")</f>
        <v>LessWrong</v>
      </c>
      <c r="F138" s="1">
        <f>IFERROR(__xludf.DUMMYFUNCTION("""COMPUTED_VALUE"""),2018.0)</f>
        <v>2018</v>
      </c>
      <c r="G138" s="1"/>
      <c r="H138" s="2" t="str">
        <f>IFERROR(__xludf.DUMMYFUNCTION("""COMPUTED_VALUE"""),"AN #13")</f>
        <v>AN #13</v>
      </c>
      <c r="I138" s="1"/>
      <c r="J138" s="1"/>
    </row>
    <row r="139">
      <c r="A139" s="1" t="str">
        <f>IFERROR(__xludf.DUMMYFUNCTION("""COMPUTED_VALUE"""),"Agent foundations")</f>
        <v>Agent foundations</v>
      </c>
      <c r="B139" s="1" t="str">
        <f>IFERROR(__xludf.DUMMYFUNCTION("""COMPUTED_VALUE"""),"")</f>
        <v/>
      </c>
      <c r="C139" s="2" t="str">
        <f>IFERROR(__xludf.DUMMYFUNCTION("""COMPUTED_VALUE"""),"Forecasting using incomplete models")</f>
        <v>Forecasting using incomplete models</v>
      </c>
      <c r="D139" s="1" t="str">
        <f>IFERROR(__xludf.DUMMYFUNCTION("""COMPUTED_VALUE"""),"Vadim Kosoy")</f>
        <v>Vadim Kosoy</v>
      </c>
      <c r="E139" s="1" t="str">
        <f>IFERROR(__xludf.DUMMYFUNCTION("""COMPUTED_VALUE"""),"MIRI Website")</f>
        <v>MIRI Website</v>
      </c>
      <c r="F139" s="1">
        <f>IFERROR(__xludf.DUMMYFUNCTION("""COMPUTED_VALUE"""),2018.0)</f>
        <v>2018</v>
      </c>
      <c r="G139" s="1"/>
      <c r="H139" s="2" t="str">
        <f>IFERROR(__xludf.DUMMYFUNCTION("""COMPUTED_VALUE"""),"AN #13")</f>
        <v>AN #13</v>
      </c>
      <c r="I139" s="1"/>
      <c r="J139" s="1"/>
    </row>
    <row r="140">
      <c r="A140" s="1" t="str">
        <f>IFERROR(__xludf.DUMMYFUNCTION("""COMPUTED_VALUE"""),"Agent foundations")</f>
        <v>Agent foundations</v>
      </c>
      <c r="B140" s="1" t="str">
        <f>IFERROR(__xludf.DUMMYFUNCTION("""COMPUTED_VALUE"""),"")</f>
        <v/>
      </c>
      <c r="C140" s="2" t="str">
        <f>IFERROR(__xludf.DUMMYFUNCTION("""COMPUTED_VALUE"""),"A Possible Loophole for Self-Applicative Soundness?")</f>
        <v>A Possible Loophole for Self-Applicative Soundness?</v>
      </c>
      <c r="D140" s="1" t="str">
        <f>IFERROR(__xludf.DUMMYFUNCTION("""COMPUTED_VALUE"""),"Alex Appel")</f>
        <v>Alex Appel</v>
      </c>
      <c r="E140" s="1" t="str">
        <f>IFERROR(__xludf.DUMMYFUNCTION("""COMPUTED_VALUE"""),"Agent Foundations")</f>
        <v>Agent Foundations</v>
      </c>
      <c r="F140" s="1">
        <f>IFERROR(__xludf.DUMMYFUNCTION("""COMPUTED_VALUE"""),2018.0)</f>
        <v>2018</v>
      </c>
      <c r="G140" s="1"/>
      <c r="H140" s="2" t="str">
        <f>IFERROR(__xludf.DUMMYFUNCTION("""COMPUTED_VALUE"""),"AN #10")</f>
        <v>AN #10</v>
      </c>
      <c r="I140" s="1"/>
      <c r="J140" s="1"/>
    </row>
    <row r="141">
      <c r="A141" s="1" t="str">
        <f>IFERROR(__xludf.DUMMYFUNCTION("""COMPUTED_VALUE"""),"Agent foundations")</f>
        <v>Agent foundations</v>
      </c>
      <c r="B141" s="1" t="str">
        <f>IFERROR(__xludf.DUMMYFUNCTION("""COMPUTED_VALUE"""),"")</f>
        <v/>
      </c>
      <c r="C141" s="2" t="str">
        <f>IFERROR(__xludf.DUMMYFUNCTION("""COMPUTED_VALUE"""),"Logical Inductor Lemmas")</f>
        <v>Logical Inductor Lemmas</v>
      </c>
      <c r="D141" s="1" t="str">
        <f>IFERROR(__xludf.DUMMYFUNCTION("""COMPUTED_VALUE"""),"Alex Appel")</f>
        <v>Alex Appel</v>
      </c>
      <c r="E141" s="1" t="str">
        <f>IFERROR(__xludf.DUMMYFUNCTION("""COMPUTED_VALUE"""),"Agent Foundations")</f>
        <v>Agent Foundations</v>
      </c>
      <c r="F141" s="1">
        <f>IFERROR(__xludf.DUMMYFUNCTION("""COMPUTED_VALUE"""),2018.0)</f>
        <v>2018</v>
      </c>
      <c r="G141" s="1"/>
      <c r="H141" s="2" t="str">
        <f>IFERROR(__xludf.DUMMYFUNCTION("""COMPUTED_VALUE"""),"AN #10")</f>
        <v>AN #10</v>
      </c>
      <c r="I141" s="1"/>
      <c r="J141" s="1"/>
    </row>
    <row r="142">
      <c r="A142" s="1" t="str">
        <f>IFERROR(__xludf.DUMMYFUNCTION("""COMPUTED_VALUE"""),"Agent foundations")</f>
        <v>Agent foundations</v>
      </c>
      <c r="B142" s="1" t="str">
        <f>IFERROR(__xludf.DUMMYFUNCTION("""COMPUTED_VALUE"""),"")</f>
        <v/>
      </c>
      <c r="C142" s="2" t="str">
        <f>IFERROR(__xludf.DUMMYFUNCTION("""COMPUTED_VALUE"""),"Logical Inductor Tiling and Why it's Hard")</f>
        <v>Logical Inductor Tiling and Why it's Hard</v>
      </c>
      <c r="D142" s="1" t="str">
        <f>IFERROR(__xludf.DUMMYFUNCTION("""COMPUTED_VALUE"""),"Alex Appel")</f>
        <v>Alex Appel</v>
      </c>
      <c r="E142" s="1" t="str">
        <f>IFERROR(__xludf.DUMMYFUNCTION("""COMPUTED_VALUE"""),"Agent Foundations")</f>
        <v>Agent Foundations</v>
      </c>
      <c r="F142" s="1">
        <f>IFERROR(__xludf.DUMMYFUNCTION("""COMPUTED_VALUE"""),2018.0)</f>
        <v>2018</v>
      </c>
      <c r="G142" s="1"/>
      <c r="H142" s="2" t="str">
        <f>IFERROR(__xludf.DUMMYFUNCTION("""COMPUTED_VALUE"""),"AN #10")</f>
        <v>AN #10</v>
      </c>
      <c r="I142" s="1"/>
      <c r="J142" s="1"/>
    </row>
    <row r="143">
      <c r="A143" s="1" t="str">
        <f>IFERROR(__xludf.DUMMYFUNCTION("""COMPUTED_VALUE"""),"Agent foundations")</f>
        <v>Agent foundations</v>
      </c>
      <c r="B143" s="1" t="str">
        <f>IFERROR(__xludf.DUMMYFUNCTION("""COMPUTED_VALUE"""),"")</f>
        <v/>
      </c>
      <c r="C143" s="2" t="str">
        <f>IFERROR(__xludf.DUMMYFUNCTION("""COMPUTED_VALUE"""),"Logical Inductors Converge to Correlated Equilibria (Kinda)")</f>
        <v>Logical Inductors Converge to Correlated Equilibria (Kinda)</v>
      </c>
      <c r="D143" s="1" t="str">
        <f>IFERROR(__xludf.DUMMYFUNCTION("""COMPUTED_VALUE"""),"Alex Appel")</f>
        <v>Alex Appel</v>
      </c>
      <c r="E143" s="1" t="str">
        <f>IFERROR(__xludf.DUMMYFUNCTION("""COMPUTED_VALUE"""),"Agent Foundations")</f>
        <v>Agent Foundations</v>
      </c>
      <c r="F143" s="1">
        <f>IFERROR(__xludf.DUMMYFUNCTION("""COMPUTED_VALUE"""),2018.0)</f>
        <v>2018</v>
      </c>
      <c r="G143" s="1"/>
      <c r="H143" s="2" t="str">
        <f>IFERROR(__xludf.DUMMYFUNCTION("""COMPUTED_VALUE"""),"AN #10")</f>
        <v>AN #10</v>
      </c>
      <c r="I143" s="1"/>
      <c r="J143" s="1"/>
    </row>
    <row r="144">
      <c r="A144" s="1" t="str">
        <f>IFERROR(__xludf.DUMMYFUNCTION("""COMPUTED_VALUE"""),"Agent foundations")</f>
        <v>Agent foundations</v>
      </c>
      <c r="B144" s="1" t="str">
        <f>IFERROR(__xludf.DUMMYFUNCTION("""COMPUTED_VALUE"""),"")</f>
        <v/>
      </c>
      <c r="C144" s="2" t="str">
        <f>IFERROR(__xludf.DUMMYFUNCTION("""COMPUTED_VALUE"""),"Two Notions of Best Response")</f>
        <v>Two Notions of Best Response</v>
      </c>
      <c r="D144" s="1" t="str">
        <f>IFERROR(__xludf.DUMMYFUNCTION("""COMPUTED_VALUE"""),"Alex Appel")</f>
        <v>Alex Appel</v>
      </c>
      <c r="E144" s="1" t="str">
        <f>IFERROR(__xludf.DUMMYFUNCTION("""COMPUTED_VALUE"""),"Agent Foundations")</f>
        <v>Agent Foundations</v>
      </c>
      <c r="F144" s="1">
        <f>IFERROR(__xludf.DUMMYFUNCTION("""COMPUTED_VALUE"""),2018.0)</f>
        <v>2018</v>
      </c>
      <c r="G144" s="1"/>
      <c r="H144" s="2" t="str">
        <f>IFERROR(__xludf.DUMMYFUNCTION("""COMPUTED_VALUE"""),"AN #10")</f>
        <v>AN #10</v>
      </c>
      <c r="I144" s="1"/>
      <c r="J144" s="1"/>
    </row>
    <row r="145">
      <c r="A145" s="1" t="str">
        <f>IFERROR(__xludf.DUMMYFUNCTION("""COMPUTED_VALUE"""),"Agent foundations")</f>
        <v>Agent foundations</v>
      </c>
      <c r="B145" s="1" t="str">
        <f>IFERROR(__xludf.DUMMYFUNCTION("""COMPUTED_VALUE"""),"")</f>
        <v/>
      </c>
      <c r="C145" s="2" t="str">
        <f>IFERROR(__xludf.DUMMYFUNCTION("""COMPUTED_VALUE"""),"Musings on Exploration")</f>
        <v>Musings on Exploration</v>
      </c>
      <c r="D145" s="1" t="str">
        <f>IFERROR(__xludf.DUMMYFUNCTION("""COMPUTED_VALUE"""),"Alex Appel")</f>
        <v>Alex Appel</v>
      </c>
      <c r="E145" s="1" t="str">
        <f>IFERROR(__xludf.DUMMYFUNCTION("""COMPUTED_VALUE"""),"Agent Foundations")</f>
        <v>Agent Foundations</v>
      </c>
      <c r="F145" s="1">
        <f>IFERROR(__xludf.DUMMYFUNCTION("""COMPUTED_VALUE"""),2018.0)</f>
        <v>2018</v>
      </c>
      <c r="G145" s="1"/>
      <c r="H145" s="2" t="str">
        <f>IFERROR(__xludf.DUMMYFUNCTION("""COMPUTED_VALUE"""),"AN #1")</f>
        <v>AN #1</v>
      </c>
      <c r="I145" s="1" t="str">
        <f>IFERROR(__xludf.DUMMYFUNCTION("""COMPUTED_VALUE"""),"Rohin")</f>
        <v>Rohin</v>
      </c>
      <c r="J145" s="1" t="str">
        <f>IFERROR(__xludf.DUMMYFUNCTION("""COMPUTED_VALUE"""),"Decision theories require some exploration in order to prevent the problem of spurious conterfactuals, where you condition on a zero-probability event. However, there are problems with exploration too, such as unsafe exploration (eg. launching a nuclear a"&amp;"rsenal in an exploration step), and a sufficiently strong agent seems to have an incentive to self-modify to remove the exploration, because the exploration usually leads to suboptimal outcomes for the agent.")</f>
        <v>Decision theories require some exploration in order to prevent the problem of spurious conterfactuals, where you condition on a zero-probability event. However, there are problems with exploration too, such as unsafe exploration (eg. launching a nuclear arsenal in an exploration step), and a sufficiently strong agent seems to have an incentive to self-modify to remove the exploration, because the exploration usually leads to suboptimal outcomes for the agent.</v>
      </c>
      <c r="K145" t="str">
        <f>IFERROR(__xludf.DUMMYFUNCTION("""COMPUTED_VALUE"""),"I liked the linked [post](https://agentfoundations.org/item?id=92) that explains why conditioning on low-probability actions is not the same thing as a counterfactual, but I'm not knowledgeable enough to understand what's going on in this post, so I can't"&amp;" really say whether or not you should read it.")</f>
        <v>I liked the linked [post](https://agentfoundations.org/item?id=92) that explains why conditioning on low-probability actions is not the same thing as a counterfactual, but I'm not knowledgeable enough to understand what's going on in this post, so I can't really say whether or not you should read it.</v>
      </c>
    </row>
    <row r="146">
      <c r="A146" s="1" t="str">
        <f>IFERROR(__xludf.DUMMYFUNCTION("""COMPUTED_VALUE"""),"Agent foundations")</f>
        <v>Agent foundations</v>
      </c>
      <c r="B146" s="1" t="str">
        <f>IFERROR(__xludf.DUMMYFUNCTION("""COMPUTED_VALUE"""),"")</f>
        <v/>
      </c>
      <c r="C146" s="2" t="str">
        <f>IFERROR(__xludf.DUMMYFUNCTION("""COMPUTED_VALUE"""),"Quantilal control for finite MDPs")</f>
        <v>Quantilal control for finite MDPs</v>
      </c>
      <c r="D146" s="1" t="str">
        <f>IFERROR(__xludf.DUMMYFUNCTION("""COMPUTED_VALUE"""),"Vadim Kosoy")</f>
        <v>Vadim Kosoy</v>
      </c>
      <c r="E146" s="1" t="str">
        <f>IFERROR(__xludf.DUMMYFUNCTION("""COMPUTED_VALUE"""),"Agent Foundations")</f>
        <v>Agent Foundations</v>
      </c>
      <c r="F146" s="1">
        <f>IFERROR(__xludf.DUMMYFUNCTION("""COMPUTED_VALUE"""),2018.0)</f>
        <v>2018</v>
      </c>
      <c r="G146" s="1"/>
      <c r="H146" s="2" t="str">
        <f>IFERROR(__xludf.DUMMYFUNCTION("""COMPUTED_VALUE"""),"AN #1")</f>
        <v>AN #1</v>
      </c>
      <c r="I146" s="1"/>
      <c r="J146" s="1"/>
    </row>
    <row r="147">
      <c r="A147" s="1" t="str">
        <f>IFERROR(__xludf.DUMMYFUNCTION("""COMPUTED_VALUE"""),"Agent foundations")</f>
        <v>Agent foundations</v>
      </c>
      <c r="B147" s="1" t="str">
        <f>IFERROR(__xludf.DUMMYFUNCTION("""COMPUTED_VALUE"""),"")</f>
        <v/>
      </c>
      <c r="C147" s="2" t="str">
        <f>IFERROR(__xludf.DUMMYFUNCTION("""COMPUTED_VALUE"""),"Distributed Cooperation")</f>
        <v>Distributed Cooperation</v>
      </c>
      <c r="D147" s="1" t="str">
        <f>IFERROR(__xludf.DUMMYFUNCTION("""COMPUTED_VALUE"""),"Alex Appel")</f>
        <v>Alex Appel</v>
      </c>
      <c r="E147" s="1" t="str">
        <f>IFERROR(__xludf.DUMMYFUNCTION("""COMPUTED_VALUE"""),"Agent Foundations")</f>
        <v>Agent Foundations</v>
      </c>
      <c r="F147" s="1">
        <f>IFERROR(__xludf.DUMMYFUNCTION("""COMPUTED_VALUE"""),2018.0)</f>
        <v>2018</v>
      </c>
      <c r="G147" s="1"/>
      <c r="H147" s="2" t="str">
        <f>IFERROR(__xludf.DUMMYFUNCTION("""COMPUTED_VALUE"""),"Recon #5")</f>
        <v>Recon #5</v>
      </c>
      <c r="I147" s="1"/>
      <c r="J147" s="1"/>
    </row>
    <row r="148">
      <c r="A148" s="1" t="str">
        <f>IFERROR(__xludf.DUMMYFUNCTION("""COMPUTED_VALUE"""),"Agent foundations")</f>
        <v>Agent foundations</v>
      </c>
      <c r="B148" s="1" t="str">
        <f>IFERROR(__xludf.DUMMYFUNCTION("""COMPUTED_VALUE"""),"")</f>
        <v/>
      </c>
      <c r="C148" s="2" t="str">
        <f>IFERROR(__xludf.DUMMYFUNCTION("""COMPUTED_VALUE"""),"Decisions are not about changing the world, they are about learning what world you live in")</f>
        <v>Decisions are not about changing the world, they are about learning what world you live in</v>
      </c>
      <c r="D148" s="1" t="str">
        <f>IFERROR(__xludf.DUMMYFUNCTION("""COMPUTED_VALUE"""),"shminux")</f>
        <v>shminux</v>
      </c>
      <c r="E148" s="1" t="str">
        <f>IFERROR(__xludf.DUMMYFUNCTION("""COMPUTED_VALUE"""),"LessWrong")</f>
        <v>LessWrong</v>
      </c>
      <c r="F148" s="1">
        <f>IFERROR(__xludf.DUMMYFUNCTION("""COMPUTED_VALUE"""),2018.0)</f>
        <v>2018</v>
      </c>
      <c r="G148" s="1"/>
      <c r="H148" s="2" t="str">
        <f>IFERROR(__xludf.DUMMYFUNCTION("""COMPUTED_VALUE"""),"AN #18")</f>
        <v>AN #18</v>
      </c>
      <c r="I148" s="1" t="str">
        <f>IFERROR(__xludf.DUMMYFUNCTION("""COMPUTED_VALUE"""),"Rohin")</f>
        <v>Rohin</v>
      </c>
      <c r="J148" s="1" t="str">
        <f>IFERROR(__xludf.DUMMYFUNCTION("""COMPUTED_VALUE"""),"The post tries to reconcile decision theory (in which agents can ""choose"" actions) with the deterministic physical world (in which nothing can be ""chosen""), using many examples from decision theory.")</f>
        <v>The post tries to reconcile decision theory (in which agents can "choose" actions) with the deterministic physical world (in which nothing can be "chosen"), using many examples from decision theory.</v>
      </c>
    </row>
    <row r="149">
      <c r="A149" s="1" t="str">
        <f>IFERROR(__xludf.DUMMYFUNCTION("""COMPUTED_VALUE"""),"Agent foundations")</f>
        <v>Agent foundations</v>
      </c>
      <c r="B149" s="1" t="str">
        <f>IFERROR(__xludf.DUMMYFUNCTION("""COMPUTED_VALUE"""),"")</f>
        <v/>
      </c>
      <c r="C149" s="2" t="str">
        <f>IFERROR(__xludf.DUMMYFUNCTION("""COMPUTED_VALUE"""),"An Agent is a Worldline in Tegmark V")</f>
        <v>An Agent is a Worldline in Tegmark V</v>
      </c>
      <c r="D149" s="1" t="str">
        <f>IFERROR(__xludf.DUMMYFUNCTION("""COMPUTED_VALUE"""),"komponisto")</f>
        <v>komponisto</v>
      </c>
      <c r="E149" s="1" t="str">
        <f>IFERROR(__xludf.DUMMYFUNCTION("""COMPUTED_VALUE"""),"LessWrong")</f>
        <v>LessWrong</v>
      </c>
      <c r="F149" s="1">
        <f>IFERROR(__xludf.DUMMYFUNCTION("""COMPUTED_VALUE"""),2018.0)</f>
        <v>2018</v>
      </c>
      <c r="G149" s="1"/>
      <c r="H149" s="2" t="str">
        <f>IFERROR(__xludf.DUMMYFUNCTION("""COMPUTED_VALUE"""),"AN #15")</f>
        <v>AN #15</v>
      </c>
      <c r="I149" s="1" t="str">
        <f>IFERROR(__xludf.DUMMYFUNCTION("""COMPUTED_VALUE"""),"Rohin")</f>
        <v>Rohin</v>
      </c>
      <c r="J149" s="1" t="str">
        <f>IFERROR(__xludf.DUMMYFUNCTION("""COMPUTED_VALUE"""),"Tegmark IV consists of all possible consistent mathematical structures. Tegmark V is an extension that also considers ""impossible possible worlds"", such as the world where 1+1=3. Agents are reasoning at the level of Tegmark V, because counterfactuals ar"&amp;"e considering these impossible possible worlds.")</f>
        <v>Tegmark IV consists of all possible consistent mathematical structures. Tegmark V is an extension that also considers "impossible possible worlds", such as the world where 1+1=3. Agents are reasoning at the level of Tegmark V, because counterfactuals are considering these impossible possible worlds.</v>
      </c>
      <c r="K149" t="str">
        <f>IFERROR(__xludf.DUMMYFUNCTION("""COMPUTED_VALUE"""),"I'm not really sure what you gain by thinking of an agent this way.")</f>
        <v>I'm not really sure what you gain by thinking of an agent this way.</v>
      </c>
    </row>
    <row r="150">
      <c r="A150" s="1" t="str">
        <f>IFERROR(__xludf.DUMMYFUNCTION("""COMPUTED_VALUE"""),"AGI theory")</f>
        <v>AGI theory</v>
      </c>
      <c r="B150" s="1" t="str">
        <f>IFERROR(__xludf.DUMMYFUNCTION("""COMPUTED_VALUE"""),"")</f>
        <v/>
      </c>
      <c r="C150" s="2" t="str">
        <f>IFERROR(__xludf.DUMMYFUNCTION("""COMPUTED_VALUE"""),"Abstraction Learning")</f>
        <v>Abstraction Learning</v>
      </c>
      <c r="D150" s="1" t="str">
        <f>IFERROR(__xludf.DUMMYFUNCTION("""COMPUTED_VALUE"""),"Fei Deng, Jinsheng Ren, 
Feng Chen")</f>
        <v>Fei Deng, Jinsheng Ren, 
Feng Chen</v>
      </c>
      <c r="E150" s="1" t="str">
        <f>IFERROR(__xludf.DUMMYFUNCTION("""COMPUTED_VALUE"""),"arXiv")</f>
        <v>arXiv</v>
      </c>
      <c r="F150" s="1">
        <f>IFERROR(__xludf.DUMMYFUNCTION("""COMPUTED_VALUE"""),2018.0)</f>
        <v>2018</v>
      </c>
      <c r="G150" s="1"/>
      <c r="H150" s="2" t="str">
        <f>IFERROR(__xludf.DUMMYFUNCTION("""COMPUTED_VALUE"""),"AN #25")</f>
        <v>AN #25</v>
      </c>
      <c r="I150" s="1"/>
      <c r="J150" s="1"/>
    </row>
    <row r="151">
      <c r="A151" s="1" t="str">
        <f>IFERROR(__xludf.DUMMYFUNCTION("""COMPUTED_VALUE"""),"AGI theory")</f>
        <v>AGI theory</v>
      </c>
      <c r="B151" s="1" t="str">
        <f>IFERROR(__xludf.DUMMYFUNCTION("""COMPUTED_VALUE"""),"")</f>
        <v/>
      </c>
      <c r="C151" s="1" t="str">
        <f>IFERROR(__xludf.DUMMYFUNCTION("""COMPUTED_VALUE"""),"Steps toward super intelligence ([1](http://rodneybrooks.com/forai-steps-toward-super-intelligence-i-how-we-got-here/), [2](http://rodneybrooks.com/forai-steps-toward-super-intelligence-ii-beyond-the-turing-test/), [3](http://rodneybrooks.com/forai-steps-"&amp;"toward-super-intelligence-iii-hard-things-today/), [4](http://rodneybrooks.com/forai-steps-toward-super-intelligence-iv-things-to-work-on-now/))")</f>
        <v>Steps toward super intelligence ([1](http://rodneybrooks.com/forai-steps-toward-super-intelligence-i-how-we-got-here/), [2](http://rodneybrooks.com/forai-steps-toward-super-intelligence-ii-beyond-the-turing-test/), [3](http://rodneybrooks.com/forai-steps-toward-super-intelligence-iii-hard-things-today/), [4](http://rodneybrooks.com/forai-steps-toward-super-intelligence-iv-things-to-work-on-now/))</v>
      </c>
      <c r="D151" s="1" t="str">
        <f>IFERROR(__xludf.DUMMYFUNCTION("""COMPUTED_VALUE"""),"Rodney Brooks")</f>
        <v>Rodney Brooks</v>
      </c>
      <c r="E151" s="1" t="str">
        <f>IFERROR(__xludf.DUMMYFUNCTION("""COMPUTED_VALUE"""),"Author's Website")</f>
        <v>Author's Website</v>
      </c>
      <c r="F151" s="1">
        <f>IFERROR(__xludf.DUMMYFUNCTION("""COMPUTED_VALUE"""),2018.0)</f>
        <v>2018</v>
      </c>
      <c r="G151" s="1"/>
      <c r="H151" s="2" t="str">
        <f>IFERROR(__xludf.DUMMYFUNCTION("""COMPUTED_VALUE"""),"AN #16")</f>
        <v>AN #16</v>
      </c>
      <c r="I151" s="1" t="str">
        <f>IFERROR(__xludf.DUMMYFUNCTION("""COMPUTED_VALUE"""),"Rohin")</f>
        <v>Rohin</v>
      </c>
      <c r="J151" s="1" t="str">
        <f>IFERROR(__xludf.DUMMYFUNCTION("""COMPUTED_VALUE"""),"Part 1 goes into four historical approaches to AI and their strengths and weaknesses. Part 2 talks about what sorts of things an AGI should be capable of doing, proposing two tasks to evaluate on to replace the Turing test (which simple not-generally-inte"&amp;"lligent chatbots can pass). The tasks are an elder care worker (ECW) robot, that could assist the elderly and let them live their lives in their homes, and a services logistics planner (SLP), which should be able to design systems for logistics, such as t"&amp;"he first-ever dialysis ward in a hospital. Part 3 talks about what sorts of things are hard now, but talks about rather high-level things such as reading a book and writing code. Part 4 has suggestions on what to work on right now, such as getting object "&amp;"recognition and manipulation capabilities of young children.")</f>
        <v>Part 1 goes into four historical approaches to AI and their strengths and weaknesses. Part 2 talks about what sorts of things an AGI should be capable of doing, proposing two tasks to evaluate on to replace the Turing test (which simple not-generally-intelligent chatbots can pass). The tasks are an elder care worker (ECW) robot, that could assist the elderly and let them live their lives in their homes, and a services logistics planner (SLP), which should be able to design systems for logistics, such as the first-ever dialysis ward in a hospital. Part 3 talks about what sorts of things are hard now, but talks about rather high-level things such as reading a book and writing code. Part 4 has suggestions on what to work on right now, such as getting object recognition and manipulation capabilities of young children.</v>
      </c>
      <c r="K151" t="str">
        <f>IFERROR(__xludf.DUMMYFUNCTION("""COMPUTED_VALUE"""),"Firstly, you may just want to skip it all because many parts drastically and insultingly misrepresent AI alignment concerns. But if you're okay with that, then part 2 is worth reading -- I really like the proposed tasks for AGI, they seem like good cases "&amp;"to think about. Part 1 doesn't actually talk about superintelligence so I would skip it. Part 3 was not news to me, and I suspect will not be news to readers of this newsletter (even if you aren't an AI researcher). I disagree with the intuition behind Pa"&amp;"rt 4 as a method for getting superintelligent AI systems, but it does seem like the way we will make progress in the short term.")</f>
        <v>Firstly, you may just want to skip it all because many parts drastically and insultingly misrepresent AI alignment concerns. But if you're okay with that, then part 2 is worth reading -- I really like the proposed tasks for AGI, they seem like good cases to think about. Part 1 doesn't actually talk about superintelligence so I would skip it. Part 3 was not news to me, and I suspect will not be news to readers of this newsletter (even if you aren't an AI researcher). I disagree with the intuition behind Part 4 as a method for getting superintelligent AI systems, but it does seem like the way we will make progress in the short term.</v>
      </c>
    </row>
    <row r="152">
      <c r="A152" s="1" t="str">
        <f>IFERROR(__xludf.DUMMYFUNCTION("""COMPUTED_VALUE"""),"AGI theory")</f>
        <v>AGI theory</v>
      </c>
      <c r="B152" s="1" t="str">
        <f>IFERROR(__xludf.DUMMYFUNCTION("""COMPUTED_VALUE"""),"")</f>
        <v/>
      </c>
      <c r="C152" s="2" t="str">
        <f>IFERROR(__xludf.DUMMYFUNCTION("""COMPUTED_VALUE"""),"A Model for General Intelligence")</f>
        <v>A Model for General Intelligence</v>
      </c>
      <c r="D152" s="1" t="str">
        <f>IFERROR(__xludf.DUMMYFUNCTION("""COMPUTED_VALUE"""),"Paul Yaworsky")</f>
        <v>Paul Yaworsky</v>
      </c>
      <c r="E152" s="1" t="str">
        <f>IFERROR(__xludf.DUMMYFUNCTION("""COMPUTED_VALUE"""),"arXiv")</f>
        <v>arXiv</v>
      </c>
      <c r="F152" s="1">
        <f>IFERROR(__xludf.DUMMYFUNCTION("""COMPUTED_VALUE"""),2018.0)</f>
        <v>2018</v>
      </c>
      <c r="G152" s="1"/>
      <c r="H152" s="2" t="str">
        <f>IFERROR(__xludf.DUMMYFUNCTION("""COMPUTED_VALUE"""),"AN #32")</f>
        <v>AN #32</v>
      </c>
      <c r="I152" s="1"/>
      <c r="J152" s="1"/>
    </row>
    <row r="153">
      <c r="A153" s="1" t="str">
        <f>IFERROR(__xludf.DUMMYFUNCTION("""COMPUTED_VALUE"""),"AGI theory")</f>
        <v>AGI theory</v>
      </c>
      <c r="B153" s="1" t="str">
        <f>IFERROR(__xludf.DUMMYFUNCTION("""COMPUTED_VALUE"""),"")</f>
        <v/>
      </c>
      <c r="C153" s="2" t="str">
        <f>IFERROR(__xludf.DUMMYFUNCTION("""COMPUTED_VALUE"""),"Fractal AI: A fragile theory of intelligence")</f>
        <v>Fractal AI: A fragile theory of intelligence</v>
      </c>
      <c r="D153" s="1" t="str">
        <f>IFERROR(__xludf.DUMMYFUNCTION("""COMPUTED_VALUE"""),"Sergio Hernandez Cerezo, 
Guillem Duran Ballester")</f>
        <v>Sergio Hernandez Cerezo, 
Guillem Duran Ballester</v>
      </c>
      <c r="E153" s="1" t="str">
        <f>IFERROR(__xludf.DUMMYFUNCTION("""COMPUTED_VALUE"""),"arXiv")</f>
        <v>arXiv</v>
      </c>
      <c r="F153" s="1">
        <f>IFERROR(__xludf.DUMMYFUNCTION("""COMPUTED_VALUE"""),2018.0)</f>
        <v>2018</v>
      </c>
      <c r="G153" s="1"/>
      <c r="H153" s="2" t="str">
        <f>IFERROR(__xludf.DUMMYFUNCTION("""COMPUTED_VALUE"""),"Recon #5")</f>
        <v>Recon #5</v>
      </c>
      <c r="I153" s="1"/>
      <c r="J153" s="1"/>
    </row>
    <row r="154">
      <c r="A154" s="1" t="str">
        <f>IFERROR(__xludf.DUMMYFUNCTION("""COMPUTED_VALUE"""),"AGI theory")</f>
        <v>AGI theory</v>
      </c>
      <c r="B154" s="1" t="str">
        <f>IFERROR(__xludf.DUMMYFUNCTION("""COMPUTED_VALUE"""),"")</f>
        <v/>
      </c>
      <c r="C154" s="2" t="str">
        <f>IFERROR(__xludf.DUMMYFUNCTION("""COMPUTED_VALUE"""),"Believable Promises")</f>
        <v>Believable Promises</v>
      </c>
      <c r="D154" s="1" t="str">
        <f>IFERROR(__xludf.DUMMYFUNCTION("""COMPUTED_VALUE"""),"Douglas_Reay")</f>
        <v>Douglas_Reay</v>
      </c>
      <c r="E154" s="1" t="str">
        <f>IFERROR(__xludf.DUMMYFUNCTION("""COMPUTED_VALUE"""),"LessWrong")</f>
        <v>LessWrong</v>
      </c>
      <c r="F154" s="1">
        <f>IFERROR(__xludf.DUMMYFUNCTION("""COMPUTED_VALUE"""),2018.0)</f>
        <v>2018</v>
      </c>
      <c r="G154" s="1"/>
      <c r="H154" s="2" t="str">
        <f>IFERROR(__xludf.DUMMYFUNCTION("""COMPUTED_VALUE"""),"AN #3")</f>
        <v>AN #3</v>
      </c>
      <c r="I154" s="1"/>
      <c r="J154" s="1"/>
    </row>
    <row r="155">
      <c r="A155" s="1" t="str">
        <f>IFERROR(__xludf.DUMMYFUNCTION("""COMPUTED_VALUE"""),"AGI theory")</f>
        <v>AGI theory</v>
      </c>
      <c r="B155" s="1" t="str">
        <f>IFERROR(__xludf.DUMMYFUNCTION("""COMPUTED_VALUE"""),"")</f>
        <v/>
      </c>
      <c r="C155" s="2" t="str">
        <f>IFERROR(__xludf.DUMMYFUNCTION("""COMPUTED_VALUE"""),"The Foundations of Deep Learning with a Path Towards General Intelligence")</f>
        <v>The Foundations of Deep Learning with a Path Towards General Intelligence</v>
      </c>
      <c r="D155" s="1" t="str">
        <f>IFERROR(__xludf.DUMMYFUNCTION("""COMPUTED_VALUE"""),"Eray Özkural")</f>
        <v>Eray Özkural</v>
      </c>
      <c r="E155" s="1" t="str">
        <f>IFERROR(__xludf.DUMMYFUNCTION("""COMPUTED_VALUE"""),"NIPS 2018")</f>
        <v>NIPS 2018</v>
      </c>
      <c r="F155" s="1">
        <f>IFERROR(__xludf.DUMMYFUNCTION("""COMPUTED_VALUE"""),2018.0)</f>
        <v>2018</v>
      </c>
      <c r="G155" s="1"/>
      <c r="H155" s="2" t="str">
        <f>IFERROR(__xludf.DUMMYFUNCTION("""COMPUTED_VALUE"""),"AN #13")</f>
        <v>AN #13</v>
      </c>
      <c r="I155" s="1"/>
      <c r="J155" s="1"/>
    </row>
    <row r="156">
      <c r="A156" s="1" t="str">
        <f>IFERROR(__xludf.DUMMYFUNCTION("""COMPUTED_VALUE"""),"AI governance")</f>
        <v>AI governance</v>
      </c>
      <c r="B156" s="1" t="str">
        <f>IFERROR(__xludf.DUMMYFUNCTION("""COMPUTED_VALUE"""),"Highlight")</f>
        <v>Highlight</v>
      </c>
      <c r="C156" s="2" t="str">
        <f>IFERROR(__xludf.DUMMYFUNCTION("""COMPUTED_VALUE"""),"GovAI 2019 Annual Report")</f>
        <v>GovAI 2019 Annual Report</v>
      </c>
      <c r="D156" s="1" t="str">
        <f>IFERROR(__xludf.DUMMYFUNCTION("""COMPUTED_VALUE"""),"Allan Dafoe")</f>
        <v>Allan Dafoe</v>
      </c>
      <c r="E156" s="1" t="str">
        <f>IFERROR(__xludf.DUMMYFUNCTION("""COMPUTED_VALUE"""),"FHI Website")</f>
        <v>FHI Website</v>
      </c>
      <c r="F156" s="1">
        <f>IFERROR(__xludf.DUMMYFUNCTION("""COMPUTED_VALUE"""),2020.0)</f>
        <v>2020</v>
      </c>
      <c r="G156" s="1"/>
      <c r="H156" s="2" t="str">
        <f>IFERROR(__xludf.DUMMYFUNCTION("""COMPUTED_VALUE"""),"AN #88")</f>
        <v>AN #88</v>
      </c>
      <c r="I156" s="1" t="str">
        <f>IFERROR(__xludf.DUMMYFUNCTION("""COMPUTED_VALUE"""),"Rohin")</f>
        <v>Rohin</v>
      </c>
      <c r="J156" s="1" t="str">
        <f>IFERROR(__xludf.DUMMYFUNCTION("""COMPUTED_VALUE"""),"This is exactly what it sounds like.")</f>
        <v>This is exactly what it sounds like.</v>
      </c>
      <c r="K156" t="str">
        <f>IFERROR(__xludf.DUMMYFUNCTION("""COMPUTED_VALUE"""),"I generally find governance papers quite illuminating for thinking about how all this technical stuff we do is meant to interact with the broader society and actually have an impact on the world. That said, I usually don't highlight such papers, despite l"&amp;"iking them a lot, because the primary audience I have in mind are people trying to solve the technical alignment problem in which you want to ensure a powerful AI system is not adversarially optimizing against you. So instead I've collected a bunch of the"&amp;"m in this newsletter and just highlighted the annual report.")</f>
        <v>I generally find governance papers quite illuminating for thinking about how all this technical stuff we do is meant to interact with the broader society and actually have an impact on the world. That said, I usually don't highlight such papers, despite liking them a lot, because the primary audience I have in mind are people trying to solve the technical alignment problem in which you want to ensure a powerful AI system is not adversarially optimizing against you. So instead I've collected a bunch of them in this newsletter and just highlighted the annual report.</v>
      </c>
    </row>
    <row r="157">
      <c r="A157" s="1" t="str">
        <f>IFERROR(__xludf.DUMMYFUNCTION("""COMPUTED_VALUE"""),"AI governance")</f>
        <v>AI governance</v>
      </c>
      <c r="B157" s="1" t="str">
        <f>IFERROR(__xludf.DUMMYFUNCTION("""COMPUTED_VALUE"""),"Highlight")</f>
        <v>Highlight</v>
      </c>
      <c r="C157" s="2" t="str">
        <f>IFERROR(__xludf.DUMMYFUNCTION("""COMPUTED_VALUE"""),"80K podcast with Allan Dafoe")</f>
        <v>80K podcast with Allan Dafoe</v>
      </c>
      <c r="D157" s="1" t="str">
        <f>IFERROR(__xludf.DUMMYFUNCTION("""COMPUTED_VALUE"""),"Allan Dafoe and Rob Wiblin")</f>
        <v>Allan Dafoe and Rob Wiblin</v>
      </c>
      <c r="E157" s="1" t="str">
        <f>IFERROR(__xludf.DUMMYFUNCTION("""COMPUTED_VALUE"""),"80,000 Hours")</f>
        <v>80,000 Hours</v>
      </c>
      <c r="F157" s="1">
        <f>IFERROR(__xludf.DUMMYFUNCTION("""COMPUTED_VALUE"""),2018.0)</f>
        <v>2018</v>
      </c>
      <c r="G157" s="1"/>
      <c r="H157" s="2" t="str">
        <f>IFERROR(__xludf.DUMMYFUNCTION("""COMPUTED_VALUE"""),"AN #7")</f>
        <v>AN #7</v>
      </c>
      <c r="I157" s="1" t="str">
        <f>IFERROR(__xludf.DUMMYFUNCTION("""COMPUTED_VALUE"""),"Rohin")</f>
        <v>Rohin</v>
      </c>
      <c r="J157" s="1" t="str">
        <f>IFERROR(__xludf.DUMMYFUNCTION("""COMPUTED_VALUE"""),"A long interview with Allan Dafoe about the field of AI policy, strategy and governance. It discusses challenges for AI policy that haven't arisen before (primarily because AI is a dual use technology), the rhetoric around arms races, and autonomous weapo"&amp;"ns as a means to enable authoritarian regimes, to give a small sampling. One particularly interesting tidbit (to me) was that Putin has said that Russia will give away its AI capabilities to the world, because an arms race would be dangerous.")</f>
        <v>A long interview with Allan Dafoe about the field of AI policy, strategy and governance. It discusses challenges for AI policy that haven't arisen before (primarily because AI is a dual use technology), the rhetoric around arms races, and autonomous weapons as a means to enable authoritarian regimes, to give a small sampling. One particularly interesting tidbit (to me) was that Putin has said that Russia will give away its AI capabilities to the world, because an arms race would be dangerous.</v>
      </c>
      <c r="K157" t="str">
        <f>IFERROR(__xludf.DUMMYFUNCTION("""COMPUTED_VALUE"""),"Overall this is a great introduction to the field, I'd probably recommend people interested in the area to read this before any of the more typical published papers. I do have one disagreement -- Allan claims that even if we stopped Moore's law, and stopp"&amp;"ed algorithmic scientific improvement in AI, there could be some extreme systematic risks that emerge from AI -- mass labor displacement, creating monopolies, mass surveillance and control (through robot repression), and strategic stability. I would be ve"&amp;"ry surprised if current AI systems would be able to lead to mass labor displacement and/or control through robot repression. We are barely able to get machines to do anything in the real world right now -- _something_ has to improve quite drastically, and"&amp;" if it's neither compute nor algorithms, then I don't know what it would be. The other worries seem plausible from the technical viewpoint.")</f>
        <v>Overall this is a great introduction to the field, I'd probably recommend people interested in the area to read this before any of the more typical published papers. I do have one disagreement -- Allan claims that even if we stopped Moore's law, and stopped algorithmic scientific improvement in AI, there could be some extreme systematic risks that emerge from AI -- mass labor displacement, creating monopolies, mass surveillance and control (through robot repression), and strategic stability. I would be very surprised if current AI systems would be able to lead to mass labor displacement and/or control through robot repression. We are barely able to get machines to do anything in the real world right now -- _something_ has to improve quite drastically, and if it's neither compute nor algorithms, then I don't know what it would be. The other worries seem plausible from the technical viewpoint.</v>
      </c>
    </row>
    <row r="158">
      <c r="A158" s="1" t="str">
        <f>IFERROR(__xludf.DUMMYFUNCTION("""COMPUTED_VALUE"""),"AI governance")</f>
        <v>AI governance</v>
      </c>
      <c r="B158" s="1" t="str">
        <f>IFERROR(__xludf.DUMMYFUNCTION("""COMPUTED_VALUE"""),"Highlight")</f>
        <v>Highlight</v>
      </c>
      <c r="C158" s="2" t="str">
        <f>IFERROR(__xludf.DUMMYFUNCTION("""COMPUTED_VALUE"""),"The new 30-person research group in DC investigating how emerging technologies could affect national security")</f>
        <v>The new 30-person research group in DC investigating how emerging technologies could affect national security</v>
      </c>
      <c r="D158" s="1" t="str">
        <f>IFERROR(__xludf.DUMMYFUNCTION("""COMPUTED_VALUE"""),"Rob Wiblin and Helen Toner")</f>
        <v>Rob Wiblin and Helen Toner</v>
      </c>
      <c r="E158" s="1" t="str">
        <f>IFERROR(__xludf.DUMMYFUNCTION("""COMPUTED_VALUE"""),"80000 Hours Podcast")</f>
        <v>80000 Hours Podcast</v>
      </c>
      <c r="F158" s="1">
        <f>IFERROR(__xludf.DUMMYFUNCTION("""COMPUTED_VALUE"""),2019.0)</f>
        <v>2019</v>
      </c>
      <c r="G158" s="1"/>
      <c r="H158" s="2" t="str">
        <f>IFERROR(__xludf.DUMMYFUNCTION("""COMPUTED_VALUE"""),"AN #61")</f>
        <v>AN #61</v>
      </c>
      <c r="I158" s="1" t="str">
        <f>IFERROR(__xludf.DUMMYFUNCTION("""COMPUTED_VALUE"""),"Rohin")</f>
        <v>Rohin</v>
      </c>
      <c r="J158" s="1" t="str">
        <f>IFERROR(__xludf.DUMMYFUNCTION("""COMPUTED_VALUE"""),"This 80,000 Hours podcast with Helen Toner dives into details of AI policy, China and the new Center for Security and Emerging Technology (CSET). I'm only summarizing the parts I found most relevant.
Many of the analogies for AI are quite broken. AI is a"&amp;" very broad set of software technologies, unlike nuclear weapons which are very discrete. It's not feasible to use export controls to keep ""AI"" within the US. In addition, AI will affect war far more fundamentally than just creating lethal autonomous we"&amp;"apons -- Helen thinks that the biggest military impact might be on logistics. It's also weird to compare data to oil, because oil is a rival good (two people can't use the same oil), whereas data can easily be copied. In addition, one barrel of oil can re"&amp;"place any other barrel, but data is very specific to the particular application. Helen's preferred analogy is thinking of AI as electricity -- a very general purpose tool that will transform lots of aspects of society. However, this analogy can also break"&amp;" down -- for example, the AI research community seems pretty important, but there was no analog for electricity.
And now for a few random points, in no particular order. China ""exports"" around 50,000 inventors (patent holders) every year, while the US "&amp;"imports 190,000, far more than any other country, suggesting that the US is a global hub for talent. AI is hard to define, because many of its properties lie on a continuum -- for example, is a landmine a lethal autonomous weapon? The way to affect policy"&amp;" is to make small, targeted changes in proposed policies so that the government makes slightly better decisions -- it's far too difficult to execute on a grand plan to get the government to do some big thing. The main skills for engaging with government o"&amp;"n technology issues: be able to speak both to scientists as well as bureaucrats, and be able to navigate the DC setting -- knowing what people are doing, what their incentives are, and how to get your thing done given their different incentives.")</f>
        <v>This 80,000 Hours podcast with Helen Toner dives into details of AI policy, China and the new Center for Security and Emerging Technology (CSET). I'm only summarizing the parts I found most relevant.
Many of the analogies for AI are quite broken. AI is a very broad set of software technologies, unlike nuclear weapons which are very discrete. It's not feasible to use export controls to keep "AI" within the US. In addition, AI will affect war far more fundamentally than just creating lethal autonomous weapons -- Helen thinks that the biggest military impact might be on logistics. It's also weird to compare data to oil, because oil is a rival good (two people can't use the same oil), whereas data can easily be copied. In addition, one barrel of oil can replace any other barrel, but data is very specific to the particular application. Helen's preferred analogy is thinking of AI as electricity -- a very general purpose tool that will transform lots of aspects of society. However, this analogy can also break down -- for example, the AI research community seems pretty important, but there was no analog for electricity.
And now for a few random points, in no particular order. China "exports" around 50,000 inventors (patent holders) every year, while the US imports 190,000, far more than any other country, suggesting that the US is a global hub for talent. AI is hard to define, because many of its properties lie on a continuum -- for example, is a landmine a lethal autonomous weapon? The way to affect policy is to make small, targeted changes in proposed policies so that the government makes slightly better decisions -- it's far too difficult to execute on a grand plan to get the government to do some big thing. The main skills for engaging with government on technology issues: be able to speak both to scientists as well as bureaucrats, and be able to navigate the DC setting -- knowing what people are doing, what their incentives are, and how to get your thing done given their different incentives.</v>
      </c>
      <c r="K158" t="str">
        <f>IFERROR(__xludf.DUMMYFUNCTION("""COMPUTED_VALUE"""),"I enjoyed the section on how analogies for AI are broken -- I don't usually think much about them, but they always felt a bit off, and Helen makes it very clear what the issues are. It was also interesting seeing how the perspectives on AI are quite diffe"&amp;"rent from those of us thinking about AGI accident risk -- we often think about single, generally intelligent AGI systems, whereas Helen emphasized how current technologies can be easily deployed in many application-specific contexts. While data for curren"&amp;"t systems is very application-specific as Helen mentioned, if you believe the unsupervised learning story data may be more interchangeable for AGI systems.")</f>
        <v>I enjoyed the section on how analogies for AI are broken -- I don't usually think much about them, but they always felt a bit off, and Helen makes it very clear what the issues are. It was also interesting seeing how the perspectives on AI are quite different from those of us thinking about AGI accident risk -- we often think about single, generally intelligent AGI systems, whereas Helen emphasized how current technologies can be easily deployed in many application-specific contexts. While data for current systems is very application-specific as Helen mentioned, if you believe the unsupervised learning story data may be more interchangeable for AGI systems.</v>
      </c>
    </row>
    <row r="159">
      <c r="A159" s="1" t="str">
        <f>IFERROR(__xludf.DUMMYFUNCTION("""COMPUTED_VALUE"""),"AI governance")</f>
        <v>AI governance</v>
      </c>
      <c r="B159" s="1" t="str">
        <f>IFERROR(__xludf.DUMMYFUNCTION("""COMPUTED_VALUE"""),"Highlight")</f>
        <v>Highlight</v>
      </c>
      <c r="C159" s="2" t="str">
        <f>IFERROR(__xludf.DUMMYFUNCTION("""COMPUTED_VALUE"""),"AI Alignment Podcast: On the Governance of AI")</f>
        <v>AI Alignment Podcast: On the Governance of AI</v>
      </c>
      <c r="D159" s="1" t="str">
        <f>IFERROR(__xludf.DUMMYFUNCTION("""COMPUTED_VALUE"""),"Lucas Perry and Jade Leung")</f>
        <v>Lucas Perry and Jade Leung</v>
      </c>
      <c r="E159" s="1" t="str">
        <f>IFERROR(__xludf.DUMMYFUNCTION("""COMPUTED_VALUE"""),"FLI Website")</f>
        <v>FLI Website</v>
      </c>
      <c r="F159" s="1">
        <f>IFERROR(__xludf.DUMMYFUNCTION("""COMPUTED_VALUE"""),2019.0)</f>
        <v>2019</v>
      </c>
      <c r="G159" s="1"/>
      <c r="H159" s="2" t="str">
        <f>IFERROR(__xludf.DUMMYFUNCTION("""COMPUTED_VALUE"""),"AN #61")</f>
        <v>AN #61</v>
      </c>
      <c r="I159" s="1" t="str">
        <f>IFERROR(__xludf.DUMMYFUNCTION("""COMPUTED_VALUE"""),"Rohin")</f>
        <v>Rohin</v>
      </c>
      <c r="J159" s="1" t="str">
        <f>IFERROR(__xludf.DUMMYFUNCTION("""COMPUTED_VALUE"""),"Jade makes a lot of points in this podcast, some of which I've summarized here in no particular order.
GovAI works on lots of research topics, including analysis of the inputs to AI, understanding historical cases of competition, looking at the relations"&amp;"hip between firms and governments, and understanding public opinion.
Governance is particularly difficult because in the current competitive environment it's hard to implement any form of ""ideal"" governance; we can only make changes on the margin. As a"&amp;" result, it is probably better if we could get to a state where we could take a long time to deliberate about what ideal governance would look like, without having to worry about competitive pressures.
The biggest risk for governments is that they will m"&amp;"ake hasty, ill-informed regulation. However, given how uncertain we are, it's hard to recommend any concrete actions right now -- but governance will happen anyway; it won't wait for more research. One useful action we can take is to correct or add nuance"&amp;" to inaccurate memes and information, such as the ""race"" between the US and China, or the performance-safety tradeoff. Plausibly we should engage with government more -- we may have been biased towards working with private organizations because they are"&amp;" more nimble and familiar to us.
Instead of thinking about short term vs. long term, we should be thinking about the stakes. Some issues, such as privacy or job loss, can be thought of as ""short term"" but their stakes could scale to be huge in the long"&amp;" term. Those would be good areas to think about.")</f>
        <v>Jade makes a lot of points in this podcast, some of which I've summarized here in no particular order.
GovAI works on lots of research topics, including analysis of the inputs to AI, understanding historical cases of competition, looking at the relationship between firms and governments, and understanding public opinion.
Governance is particularly difficult because in the current competitive environment it's hard to implement any form of "ideal" governance; we can only make changes on the margin. As a result, it is probably better if we could get to a state where we could take a long time to deliberate about what ideal governance would look like, without having to worry about competitive pressures.
The biggest risk for governments is that they will make hasty, ill-informed regulation. However, given how uncertain we are, it's hard to recommend any concrete actions right now -- but governance will happen anyway; it won't wait for more research. One useful action we can take is to correct or add nuance to inaccurate memes and information, such as the "race" between the US and China, or the performance-safety tradeoff. Plausibly we should engage with government more -- we may have been biased towards working with private organizations because they are more nimble and familiar to us.
Instead of thinking about short term vs. long term, we should be thinking about the stakes. Some issues, such as privacy or job loss, can be thought of as "short term" but their stakes could scale to be huge in the long term. Those would be good areas to think about.</v>
      </c>
      <c r="K159" t="str">
        <f>IFERROR(__xludf.DUMMYFUNCTION("""COMPUTED_VALUE"""),"I don't have any particular thoughts on these topics, but I am glad for both this and the previous podcast, which give more of a birds-eye view of the AI governance landscape, which is hard to get from any single paper.")</f>
        <v>I don't have any particular thoughts on these topics, but I am glad for both this and the previous podcast, which give more of a birds-eye view of the AI governance landscape, which is hard to get from any single paper.</v>
      </c>
    </row>
    <row r="160">
      <c r="A160" s="1" t="str">
        <f>IFERROR(__xludf.DUMMYFUNCTION("""COMPUTED_VALUE"""),"AI governance")</f>
        <v>AI governance</v>
      </c>
      <c r="B160" s="1" t="str">
        <f>IFERROR(__xludf.DUMMYFUNCTION("""COMPUTED_VALUE"""),"Highlight")</f>
        <v>Highlight</v>
      </c>
      <c r="C160" s="2" t="str">
        <f>IFERROR(__xludf.DUMMYFUNCTION("""COMPUTED_VALUE"""),"Standards for AI Governance: International Standards to Enable Global Coordination in AI Research &amp; Development")</f>
        <v>Standards for AI Governance: International Standards to Enable Global Coordination in AI Research &amp; Development</v>
      </c>
      <c r="D160" s="1" t="str">
        <f>IFERROR(__xludf.DUMMYFUNCTION("""COMPUTED_VALUE"""),"Peter Cihon")</f>
        <v>Peter Cihon</v>
      </c>
      <c r="E160" s="1" t="str">
        <f>IFERROR(__xludf.DUMMYFUNCTION("""COMPUTED_VALUE"""),"FHI Website")</f>
        <v>FHI Website</v>
      </c>
      <c r="F160" s="1">
        <f>IFERROR(__xludf.DUMMYFUNCTION("""COMPUTED_VALUE"""),2019.0)</f>
        <v>2019</v>
      </c>
      <c r="G160" s="1"/>
      <c r="H160" s="2" t="str">
        <f>IFERROR(__xludf.DUMMYFUNCTION("""COMPUTED_VALUE"""),"AN #55")</f>
        <v>AN #55</v>
      </c>
      <c r="I160" s="1" t="str">
        <f>IFERROR(__xludf.DUMMYFUNCTION("""COMPUTED_VALUE"""),"Rohin")</f>
        <v>Rohin</v>
      </c>
      <c r="J160" s="1" t="str">
        <f>IFERROR(__xludf.DUMMYFUNCTION("""COMPUTED_VALUE"""),"This technical report argues that we can have an outsized impact on the future of AI by influencing standards on AI so that they help ensure that AI systems are safe and beneficial, in addition to making the deployment of AI more efficient. A standard her"&amp;"e could be a product like Tensorflow or Gym, or a process like [this list](https://ai.google/education/responsible-ai-practices). It's particularly useful to focus on international standards: since corporations can simply leave the country to escape natio"&amp;"nal regulations, there is a race to the bottom on the stringency of national standards, and so they can't effect as much change.
It may be particularly valuable to influence existing organizations that set standards because they are very responsive to ex"&amp;"pert opinion. It is also possible to develop a standard privately, and then ""convert"" it into an international standard. (This happened with the C programming language and the PDF file format.) Such influence can be used to change the culture around AI "&amp;"development, e.g. to put safety more at the forefront.")</f>
        <v>This technical report argues that we can have an outsized impact on the future of AI by influencing standards on AI so that they help ensure that AI systems are safe and beneficial, in addition to making the deployment of AI more efficient. A standard here could be a product like Tensorflow or Gym, or a process like [this list](https://ai.google/education/responsible-ai-practices). It's particularly useful to focus on international standards: since corporations can simply leave the country to escape national regulations, there is a race to the bottom on the stringency of national standards, and so they can't effect as much change.
It may be particularly valuable to influence existing organizations that set standards because they are very responsive to expert opinion. It is also possible to develop a standard privately, and then "convert" it into an international standard. (This happened with the C programming language and the PDF file format.) Such influence can be used to change the culture around AI development, e.g. to put safety more at the forefront.</v>
      </c>
      <c r="K160" t="str">
        <f>IFERROR(__xludf.DUMMYFUNCTION("""COMPUTED_VALUE"""),"I would guess that the most influential standards are ""network standards"" like Tensorflow: they make it easier for everyone to develop AI systems. However, the benefit here is in having any standard at all, and so it seems unlikely that such standards c"&amp;"ould also effect a change in culture that's unrelated to the efficiency aspect of the standard. That said, the report convinced me that ""enforced standards"" are also impactful: even if the standard requires active enforcement to prevent organizations fr"&amp;"om ignoring it, organizations will often choose to comply with the standard in order to get a certification that builds consumer trust in them.")</f>
        <v>I would guess that the most influential standards are "network standards" like Tensorflow: they make it easier for everyone to develop AI systems. However, the benefit here is in having any standard at all, and so it seems unlikely that such standards could also effect a change in culture that's unrelated to the efficiency aspect of the standard. That said, the report convinced me that "enforced standards" are also impactful: even if the standard requires active enforcement to prevent organizations from ignoring it, organizations will often choose to comply with the standard in order to get a certification that builds consumer trust in them.</v>
      </c>
    </row>
    <row r="161">
      <c r="A161" s="1" t="str">
        <f>IFERROR(__xludf.DUMMYFUNCTION("""COMPUTED_VALUE"""),"AI governance")</f>
        <v>AI governance</v>
      </c>
      <c r="B161" s="1" t="str">
        <f>IFERROR(__xludf.DUMMYFUNCTION("""COMPUTED_VALUE"""),"Highlight")</f>
        <v>Highlight</v>
      </c>
      <c r="C161" s="2" t="str">
        <f>IFERROR(__xludf.DUMMYFUNCTION("""COMPUTED_VALUE"""),"Regulatory Markets for AI Safety")</f>
        <v>Regulatory Markets for AI Safety</v>
      </c>
      <c r="D161" s="1" t="str">
        <f>IFERROR(__xludf.DUMMYFUNCTION("""COMPUTED_VALUE"""),"Jack Clark, Gillian K. Hadfield")</f>
        <v>Jack Clark, Gillian K. Hadfield</v>
      </c>
      <c r="E161" s="1" t="str">
        <f>IFERROR(__xludf.DUMMYFUNCTION("""COMPUTED_VALUE"""),"SafeML 2019")</f>
        <v>SafeML 2019</v>
      </c>
      <c r="F161" s="1">
        <f>IFERROR(__xludf.DUMMYFUNCTION("""COMPUTED_VALUE"""),2019.0)</f>
        <v>2019</v>
      </c>
      <c r="G161" s="1"/>
      <c r="H161" s="2" t="str">
        <f>IFERROR(__xludf.DUMMYFUNCTION("""COMPUTED_VALUE"""),"AN #55")</f>
        <v>AN #55</v>
      </c>
      <c r="I161" s="1" t="str">
        <f>IFERROR(__xludf.DUMMYFUNCTION("""COMPUTED_VALUE"""),"Rohin")</f>
        <v>Rohin</v>
      </c>
      <c r="J161" s="1" t="str">
        <f>IFERROR(__xludf.DUMMYFUNCTION("""COMPUTED_VALUE"""),"This paper presents an idea on how AI could be regulated: by the introduction of a **market of private regulators** that themselves are regulated by the government. Companies would be required by law to purchase regulatory services, but could choose which"&amp;" regulator they purchase from. The regulators compete to attract companies, but are all required to meet goals set by the government.
The key benefit of such an approach is that the government now only needs to set **goals** for regulation (e.g. for self"&amp;"-driving cars, a limit on the rate of accidents) while offloading to private regulators the regulations on **processes** (e.g. required adversarial training on the vision models employed in self-driving cars). This relieves the burden on government, which"&amp;" is currently too slow-moving to effectively regulate AI. It gets the best of both worlds: as with government regulation, it can optimize for the public good, and as with tech self-regulation, it can have best practices emerge from the researchers who kno"&amp;"w best (since they can build their own regulatory startups).
Of course, for this to work, it is crucial that the private regulators avoid regulatory capture, and that **the market for regulators is competitive and independent**.")</f>
        <v>This paper presents an idea on how AI could be regulated: by the introduction of a **market of private regulators** that themselves are regulated by the government. Companies would be required by law to purchase regulatory services, but could choose which regulator they purchase from. The regulators compete to attract companies, but are all required to meet goals set by the government.
The key benefit of such an approach is that the government now only needs to set **goals** for regulation (e.g. for self-driving cars, a limit on the rate of accidents) while offloading to private regulators the regulations on **processes** (e.g. required adversarial training on the vision models employed in self-driving cars). This relieves the burden on government, which is currently too slow-moving to effectively regulate AI. It gets the best of both worlds: as with government regulation, it can optimize for the public good, and as with tech self-regulation, it can have best practices emerge from the researchers who know best (since they can build their own regulatory startups).
Of course, for this to work, it is crucial that the private regulators avoid regulatory capture, and that **the market for regulators is competitive and independent**.</v>
      </c>
      <c r="K161" t="str">
        <f>IFERROR(__xludf.DUMMYFUNCTION("""COMPUTED_VALUE"""),"This seems very related to the notion of an ""enforced standard"" in the previous paper, though here it is only necessary to enforce a _goal_ across everyone, and the details of processes can vary across regulators. I especially like the scenario in which"&amp;" regulators emerge ""bottom-up"" from researchers thinking about potential problems with AI, though I'm not sure how likely it is.
With both this and the previous paper, I can see how they would apply to e.g. self-driving cars and adversarial robustness,"&amp;" but it's less clear to me how such an approach can help with AI alignment. If we believe that alignment is really hard and we only get one shot at it, then it seems especially difficult to have legible regulations that ensure, **without any testing**, th"&amp;"at we don't build a misaligned superintelligent AI. Alternatively, if we believe that we will have lots of non-catastrophic experience with aligning AI systems, and can iterate on our processes, then it seems more likely that we could develop useful, legi"&amp;"ble regulations. (I am more inclined to believe this latter scenario, based on &lt;@CAIS@&gt;(@Reframing Superintelligence: Comprehensive AI Services as General Intelligence@) and other intuitions.) Even in this scenario I don't yet know what regulations I woul"&amp;"d place, but it seems likely that with more experience we would be able to develop such regulations.")</f>
        <v>This seems very related to the notion of an "enforced standard" in the previous paper, though here it is only necessary to enforce a _goal_ across everyone, and the details of processes can vary across regulators. I especially like the scenario in which regulators emerge "bottom-up" from researchers thinking about potential problems with AI, though I'm not sure how likely it is.
With both this and the previous paper, I can see how they would apply to e.g. self-driving cars and adversarial robustness, but it's less clear to me how such an approach can help with AI alignment. If we believe that alignment is really hard and we only get one shot at it, then it seems especially difficult to have legible regulations that ensure, **without any testing**, that we don't build a misaligned superintelligent AI. Alternatively, if we believe that we will have lots of non-catastrophic experience with aligning AI systems, and can iterate on our processes, then it seems more likely that we could develop useful, legible regulations. (I am more inclined to believe this latter scenario, based on &lt;@CAIS@&gt;(@Reframing Superintelligence: Comprehensive AI Services as General Intelligence@) and other intuitions.) Even in this scenario I don't yet know what regulations I would place, but it seems likely that with more experience we would be able to develop such regulations.</v>
      </c>
    </row>
    <row r="162">
      <c r="A162" s="1" t="str">
        <f>IFERROR(__xludf.DUMMYFUNCTION("""COMPUTED_VALUE"""),"AI governance")</f>
        <v>AI governance</v>
      </c>
      <c r="B162" s="1" t="str">
        <f>IFERROR(__xludf.DUMMYFUNCTION("""COMPUTED_VALUE"""),"Highlight")</f>
        <v>Highlight</v>
      </c>
      <c r="C162" s="2" t="str">
        <f>IFERROR(__xludf.DUMMYFUNCTION("""COMPUTED_VALUE"""),"80K podcast: How can policy keep up with AI advances?")</f>
        <v>80K podcast: How can policy keep up with AI advances?</v>
      </c>
      <c r="D162" s="1" t="str">
        <f>IFERROR(__xludf.DUMMYFUNCTION("""COMPUTED_VALUE"""),"Rob Wiblin, Jack Clark, Miles Brundage and Amanda Askell")</f>
        <v>Rob Wiblin, Jack Clark, Miles Brundage and Amanda Askell</v>
      </c>
      <c r="E162" s="1" t="str">
        <f>IFERROR(__xludf.DUMMYFUNCTION("""COMPUTED_VALUE"""),"80,000 Hours Website")</f>
        <v>80,000 Hours Website</v>
      </c>
      <c r="F162" s="1">
        <f>IFERROR(__xludf.DUMMYFUNCTION("""COMPUTED_VALUE"""),2019.0)</f>
        <v>2019</v>
      </c>
      <c r="G162" s="1"/>
      <c r="H162" s="2" t="str">
        <f>IFERROR(__xludf.DUMMYFUNCTION("""COMPUTED_VALUE"""),"AN #50")</f>
        <v>AN #50</v>
      </c>
      <c r="I162" s="1" t="str">
        <f>IFERROR(__xludf.DUMMYFUNCTION("""COMPUTED_VALUE"""),"Rohin")</f>
        <v>Rohin</v>
      </c>
      <c r="J162" s="1" t="str">
        <f>IFERROR(__xludf.DUMMYFUNCTION("""COMPUTED_VALUE"""),"OpenAI policy researchers Jack Clark, Amanda Askell and Miles Brundage cover a large variety of topics relevant to AI policy, giving an outside-view perspective on the field as a whole. A year or two ago, the consensus was that the field required [disenta"&amp;"nglement research](https://forum.effectivealtruism.org/posts/RCvetzfDnBNFX7pLH/personal-thoughts-on-careers-in-ai-policy-and-strategy); now, while disentanglement research is still needed, there are more clearly defined important questions that can be tac"&amp;"kled independently. People are now also taking action in addition to doing research, mainly by accurately conveying relevant concepts to policymakers. A common thread across policy is the framing of the problem as a large coordination problem, for which a"&amp;"n important ingredient of the solution is to build _trust_ between actors.
Another thread was the high uncertainty over specific details of scenarios in the future, but the emergence of some structural properties that allow us to make progress anyway. Th"&amp;"is implies that the goal of AI policy should be aiming for _robustness_ rather than _optimality_. Some examples:
    - The [malicious use of AI report](https://maliciousaireport.com/) was broad and high level because each individual example is different a"&amp;"nd the correct solution depends on the details; a general rule will not work. In fact, Miles thinks that they probably overemphasized how much they could learn from other fields in that report, since the different context means that you quickly hit dimini"&amp;"shing returns on what you can learn.
    - None of them were willing to predict specific capabilities over more than a 3-year period, especially due to the steep growth rate of compute, which means that things will change rapidly. Nonetheless, there are s"&amp;"tructural properties that we can be confident will be important: for example, a trained AI system will be easy to scale via copying (which you can't do with humans).
    - OpenAI's strategy is to unify the fields of capabilities, safety and policy, since "&amp;"ultimately these are all facets of the overarching goal of developing beneficial AI. They aim to either be the main actor developing beneficial AGI, or to help the main actor, in order to be robust to many different scenarios.
    - Due to uncertainty, Op"&amp;"enAI tries to have policy institutions that make sense over many different time horizons. They are building towards a world with formal processes for coordinating between different AI labs, but use informal relationships and networking for now.
AI policy"&amp;" is often considered a field where it is easy to cause harm. They identify two (of many) ways this could happen: first, you could cause other actors to start racing (which you may not even realize, if it manifests as a substantial increase in some classif"&amp;"ied budget), and second, you could build coordination mechanisms that aren't the ones people want and that work fine for small problems but break once they are put under a lot of stress. Another common one people think about is information hazards. While "&amp;"they consider info hazards all the time, they also think that (within the AI safety community) these worries are overblown. Typically people overestimate how important or controversial their opinion is. Another common reason for not publishing is not bein"&amp;"g sure whether the work meets high intellectual standards, but in this case the conversation will be dominated by people with lower standards.
Miscellaneous other stuff:
    - Many aspects of races can make them much more collaborative, and it is not cle"&amp;"ar that AI corresponds to an adversarial race. In particular, large shared benefits make races much more collaborative.
    - Another common framing is to treat the military as an adversary, and try to prevent them from gaining access to AI. Jack thinks t"&amp;"his is mistaken, since then the military will probably end up developing AI systems anyway, and you wouldn't have been able to help them make it safe.
    - There's also a lot of content at the end about career trajectories and working at OpenAI or the US"&amp;" government, which I won't get into here.")</f>
        <v>OpenAI policy researchers Jack Clark, Amanda Askell and Miles Brundage cover a large variety of topics relevant to AI policy, giving an outside-view perspective on the field as a whole. A year or two ago, the consensus was that the field required [disentanglement research](https://forum.effectivealtruism.org/posts/RCvetzfDnBNFX7pLH/personal-thoughts-on-careers-in-ai-policy-and-strategy); now, while disentanglement research is still needed, there are more clearly defined important questions that can be tackled independently. People are now also taking action in addition to doing research, mainly by accurately conveying relevant concepts to policymakers. A common thread across policy is the framing of the problem as a large coordination problem, for which an important ingredient of the solution is to build _trust_ between actors.
Another thread was the high uncertainty over specific details of scenarios in the future, but the emergence of some structural properties that allow us to make progress anyway. This implies that the goal of AI policy should be aiming for _robustness_ rather than _optimality_. Some examples:
    - The [malicious use of AI report](https://maliciousaireport.com/) was broad and high level because each individual example is different and the correct solution depends on the details; a general rule will not work. In fact, Miles thinks that they probably overemphasized how much they could learn from other fields in that report, since the different context means that you quickly hit diminishing returns on what you can learn.
    - None of them were willing to predict specific capabilities over more than a 3-year period, especially due to the steep growth rate of compute, which means that things will change rapidly. Nonetheless, there are structural properties that we can be confident will be important: for example, a trained AI system will be easy to scale via copying (which you can't do with humans).
    - OpenAI's strategy is to unify the fields of capabilities, safety and policy, since ultimately these are all facets of the overarching goal of developing beneficial AI. They aim to either be the main actor developing beneficial AGI, or to help the main actor, in order to be robust to many different scenarios.
    - Due to uncertainty, OpenAI tries to have policy institutions that make sense over many different time horizons. They are building towards a world with formal processes for coordinating between different AI labs, but use informal relationships and networking for now.
AI policy is often considered a field where it is easy to cause harm. They identify two (of many) ways this could happen: first, you could cause other actors to start racing (which you may not even realize, if it manifests as a substantial increase in some classified budget), and second, you could build coordination mechanisms that aren't the ones people want and that work fine for small problems but break once they are put under a lot of stress. Another common one people think about is information hazards. While they consider info hazards all the time, they also think that (within the AI safety community) these worries are overblown. Typically people overestimate how important or controversial their opinion is. Another common reason for not publishing is not being sure whether the work meets high intellectual standards, but in this case the conversation will be dominated by people with lower standards.
Miscellaneous other stuff:
    - Many aspects of races can make them much more collaborative, and it is not clear that AI corresponds to an adversarial race. In particular, large shared benefits make races much more collaborative.
    - Another common framing is to treat the military as an adversary, and try to prevent them from gaining access to AI. Jack thinks this is mistaken, since then the military will probably end up developing AI systems anyway, and you wouldn't have been able to help them make it safe.
    - There's also a lot of content at the end about career trajectories and working at OpenAI or the US government, which I won't get into here.</v>
      </c>
      <c r="K162" t="str">
        <f>IFERROR(__xludf.DUMMYFUNCTION("""COMPUTED_VALUE"""),"It does seem like building trust between actors is a pretty key part of AI policy. That said, there are two kinds of trust that you can have: first, trust that the statements made by other actors are true, and second, trust that other actors are aligned e"&amp;"nough with you in their goals that their success is also your success. The former can be improved by mechanisms lie monitoring, software verification, etc. while the latter cannot. The former is often maintained using processes that impose a lot of overhe"&amp;"ad, while the latter usually does not require much overhead once established. The former can scale to large groups comprising thousands or millions of people, while the latter is much harder to scale. I think it's an open question in AI policy to what ext"&amp;"ent we need each of these kinds of trust to exist between actors. This podcast seems to focus particularly on the latter kind.
Other miscellaneous thoughts:
    - I think a lot of these views are conditioned on a gradual view of AI development, where the"&amp;"re isn't a discontinuous jump in capabilities, and there are many different actors all deploying powerful AI systems.
    - Conditional on the military eventually developing AI systems, it seems worth it to work with them to make their AI systems safer. H"&amp;"owever, it's not inconceivable that AI researchers could globally coordinate to prevent military AI applications. This wouldn't prevent it from happening eventually, but could drastically slow it down, and let defense scale faster than offense. In that ca"&amp;"se, working with the military can also be seen as a defection in a giant coordination game with other AI researchers.
    - One of my favorite lines: ""I would recommend everyone who has calibrated intuitions about AI timelines spend some time doing stuff"&amp;" with real robots and it will probably … how should I put this? … further calibrate your intuitions in quite a humbling way."" (Not that I've worked with real robots, but many of my peers have.)")</f>
        <v>It does seem like building trust between actors is a pretty key part of AI policy. That said, there are two kinds of trust that you can have: first, trust that the statements made by other actors are true, and second, trust that other actors are aligned enough with you in their goals that their success is also your success. The former can be improved by mechanisms lie monitoring, software verification, etc. while the latter cannot. The former is often maintained using processes that impose a lot of overhead, while the latter usually does not require much overhead once established. The former can scale to large groups comprising thousands or millions of people, while the latter is much harder to scale. I think it's an open question in AI policy to what extent we need each of these kinds of trust to exist between actors. This podcast seems to focus particularly on the latter kind.
Other miscellaneous thoughts:
    - I think a lot of these views are conditioned on a gradual view of AI development, where there isn't a discontinuous jump in capabilities, and there are many different actors all deploying powerful AI systems.
    - Conditional on the military eventually developing AI systems, it seems worth it to work with them to make their AI systems safer. However, it's not inconceivable that AI researchers could globally coordinate to prevent military AI applications. This wouldn't prevent it from happening eventually, but could drastically slow it down, and let defense scale faster than offense. In that case, working with the military can also be seen as a defection in a giant coordination game with other AI researchers.
    - One of my favorite lines: "I would recommend everyone who has calibrated intuitions about AI timelines spend some time doing stuff with real robots and it will probably … how should I put this? … further calibrate your intuitions in quite a humbling way." (Not that I've worked with real robots, but many of my peers have.)</v>
      </c>
    </row>
    <row r="163">
      <c r="A163" s="1" t="str">
        <f>IFERROR(__xludf.DUMMYFUNCTION("""COMPUTED_VALUE"""),"AI governance")</f>
        <v>AI governance</v>
      </c>
      <c r="B163" s="1" t="str">
        <f>IFERROR(__xludf.DUMMYFUNCTION("""COMPUTED_VALUE"""),"Highlight")</f>
        <v>Highlight</v>
      </c>
      <c r="C163" s="2" t="str">
        <f>IFERROR(__xludf.DUMMYFUNCTION("""COMPUTED_VALUE"""),"Thinking About Risks From AI: Accidents, Misuse and Structure")</f>
        <v>Thinking About Risks From AI: Accidents, Misuse and Structure</v>
      </c>
      <c r="D163" s="1" t="str">
        <f>IFERROR(__xludf.DUMMYFUNCTION("""COMPUTED_VALUE"""),"Remco Zwetsloot, Allan Dafoe")</f>
        <v>Remco Zwetsloot, Allan Dafoe</v>
      </c>
      <c r="E163" s="1" t="str">
        <f>IFERROR(__xludf.DUMMYFUNCTION("""COMPUTED_VALUE"""),"Lawfare")</f>
        <v>Lawfare</v>
      </c>
      <c r="F163" s="1">
        <f>IFERROR(__xludf.DUMMYFUNCTION("""COMPUTED_VALUE"""),2019.0)</f>
        <v>2019</v>
      </c>
      <c r="G163" s="1"/>
      <c r="H163" s="2" t="str">
        <f>IFERROR(__xludf.DUMMYFUNCTION("""COMPUTED_VALUE"""),"AN #46")</f>
        <v>AN #46</v>
      </c>
      <c r="I163" s="1" t="str">
        <f>IFERROR(__xludf.DUMMYFUNCTION("""COMPUTED_VALUE"""),"Richard")</f>
        <v>Richard</v>
      </c>
      <c r="J163" s="1" t="str">
        <f>IFERROR(__xludf.DUMMYFUNCTION("""COMPUTED_VALUE"""),"The authors argue that in addition to risk from misuse of AI and ""accidents"", we should pay attention to the structural perspective: how AI changes the broader environment and incentives of various actors. Possible examples include creating winner-take-"&amp;"all competition or creating overlap between offensive and defensive actions. In the face of these effects, even competent and well-intentioned decision-makers might be pressured into making risky choices. To ameliorate this problem, more people should foc"&amp;"us on AI policy, particularly social scientists and historians; and we should think hard about creating collective norms and institutions for AI.")</f>
        <v>The authors argue that in addition to risk from misuse of AI and "accidents", we should pay attention to the structural perspective: how AI changes the broader environment and incentives of various actors. Possible examples include creating winner-take-all competition or creating overlap between offensive and defensive actions. In the face of these effects, even competent and well-intentioned decision-makers might be pressured into making risky choices. To ameliorate this problem, more people should focus on AI policy, particularly social scientists and historians; and we should think hard about creating collective norms and institutions for AI.</v>
      </c>
      <c r="K163" t="str">
        <f>IFERROR(__xludf.DUMMYFUNCTION("""COMPUTED_VALUE"""),"This post makes an important point in a clear and concise way. My only concern is that ""structural problems"" is such a broad heading that practically anything can be included, making it more difficult to specifically direct attention towards existential"&amp;" threats (the same is true for the term ""accidents"", which to me doesn't properly reflect the threat of adversarial behaviour from AI). I don't know how to best handle this tradeoff, but think it's a point worth raising.
*Rohin's opinion*: I just wante"&amp;"d to add a note on why we've highlighted this piece. While many of the particular concrete examples have been explained before, the underlying system for thinking about AI is new and useful. I particularly liked the distinction made between focusing on _a"&amp;"gency_ in AI (which leads you to think about accidents and misuse) vs. thinking about incentives and structure (which leads you to think about the entire causal chain leading up to the moment where an agent causes something bad to happen).")</f>
        <v>This post makes an important point in a clear and concise way. My only concern is that "structural problems" is such a broad heading that practically anything can be included, making it more difficult to specifically direct attention towards existential threats (the same is true for the term "accidents", which to me doesn't properly reflect the threat of adversarial behaviour from AI). I don't know how to best handle this tradeoff, but think it's a point worth raising.
*Rohin's opinion*: I just wanted to add a note on why we've highlighted this piece. While many of the particular concrete examples have been explained before, the underlying system for thinking about AI is new and useful. I particularly liked the distinction made between focusing on _agency_ in AI (which leads you to think about accidents and misuse) vs. thinking about incentives and structure (which leads you to think about the entire causal chain leading up to the moment where an agent causes something bad to happen).</v>
      </c>
    </row>
    <row r="164">
      <c r="A164" s="1" t="str">
        <f>IFERROR(__xludf.DUMMYFUNCTION("""COMPUTED_VALUE"""),"AI governance")</f>
        <v>AI governance</v>
      </c>
      <c r="B164" s="1" t="str">
        <f>IFERROR(__xludf.DUMMYFUNCTION("""COMPUTED_VALUE"""),"Highlight")</f>
        <v>Highlight</v>
      </c>
      <c r="C164" s="2" t="str">
        <f>IFERROR(__xludf.DUMMYFUNCTION("""COMPUTED_VALUE"""),"AI Governance: A Research Agenda")</f>
        <v>AI Governance: A Research Agenda</v>
      </c>
      <c r="D164" s="1" t="str">
        <f>IFERROR(__xludf.DUMMYFUNCTION("""COMPUTED_VALUE"""),"Allan Dafoe")</f>
        <v>Allan Dafoe</v>
      </c>
      <c r="E164" s="1" t="str">
        <f>IFERROR(__xludf.DUMMYFUNCTION("""COMPUTED_VALUE"""),"FHI Website")</f>
        <v>FHI Website</v>
      </c>
      <c r="F164" s="1">
        <f>IFERROR(__xludf.DUMMYFUNCTION("""COMPUTED_VALUE"""),2018.0)</f>
        <v>2018</v>
      </c>
      <c r="G164" s="1"/>
      <c r="H164" s="2" t="str">
        <f>IFERROR(__xludf.DUMMYFUNCTION("""COMPUTED_VALUE"""),"AN #22")</f>
        <v>AN #22</v>
      </c>
      <c r="I164" s="1" t="str">
        <f>IFERROR(__xludf.DUMMYFUNCTION("""COMPUTED_VALUE"""),"Rohin")</f>
        <v>Rohin</v>
      </c>
      <c r="J164" s="1" t="str">
        <f>IFERROR(__xludf.DUMMYFUNCTION("""COMPUTED_VALUE"""),"A comprehensive document about the research agenda at the Governance of AI Program. This is really long and covers a lot of ground so I'm not going to summarize it, but I highly recommend it, even if you intend to work primarily on technical work.")</f>
        <v>A comprehensive document about the research agenda at the Governance of AI Program. This is really long and covers a lot of ground so I'm not going to summarize it, but I highly recommend it, even if you intend to work primarily on technical work.</v>
      </c>
    </row>
    <row r="165">
      <c r="A165" s="1" t="str">
        <f>IFERROR(__xludf.DUMMYFUNCTION("""COMPUTED_VALUE"""),"AI governance")</f>
        <v>AI governance</v>
      </c>
      <c r="B165" s="1" t="str">
        <f>IFERROR(__xludf.DUMMYFUNCTION("""COMPUTED_VALUE"""),"Highlight")</f>
        <v>Highlight</v>
      </c>
      <c r="C165" s="2" t="str">
        <f>IFERROR(__xludf.DUMMYFUNCTION("""COMPUTED_VALUE"""),"OpenAI Charter")</f>
        <v>OpenAI Charter</v>
      </c>
      <c r="D165" s="1" t="str">
        <f>IFERROR(__xludf.DUMMYFUNCTION("""COMPUTED_VALUE"""),"Open AI")</f>
        <v>Open AI</v>
      </c>
      <c r="E165" s="1" t="str">
        <f>IFERROR(__xludf.DUMMYFUNCTION("""COMPUTED_VALUE"""),"OpenAI Blog")</f>
        <v>OpenAI Blog</v>
      </c>
      <c r="F165" s="1">
        <f>IFERROR(__xludf.DUMMYFUNCTION("""COMPUTED_VALUE"""),2018.0)</f>
        <v>2018</v>
      </c>
      <c r="G165" s="1"/>
      <c r="H165" s="2" t="str">
        <f>IFERROR(__xludf.DUMMYFUNCTION("""COMPUTED_VALUE"""),"AN #2")</f>
        <v>AN #2</v>
      </c>
      <c r="I165" s="1" t="str">
        <f>IFERROR(__xludf.DUMMYFUNCTION("""COMPUTED_VALUE"""),"Rohin")</f>
        <v>Rohin</v>
      </c>
      <c r="J165" s="1" t="str">
        <f>IFERROR(__xludf.DUMMYFUNCTION("""COMPUTED_VALUE"""),"In their words, this is ""a charter that describes the principles we use to execute on OpenAI’s mission"".")</f>
        <v>In their words, this is "a charter that describes the principles we use to execute on OpenAI’s mission".</v>
      </c>
      <c r="K165" t="str">
        <f>IFERROR(__xludf.DUMMYFUNCTION("""COMPUTED_VALUE"""),"I'm very excited by this charter, it's a good sign suggesting that we can get the important actors to cooperate in building aligned AI, and in particular to avoid a competitive race. Key quote: ""if a value-aligned, safety-conscious project comes close to"&amp;" building AGI before we do, we commit to stop competing with and start assisting this project"".")</f>
        <v>I'm very excited by this charter, it's a good sign suggesting that we can get the important actors to cooperate in building aligned AI, and in particular to avoid a competitive race. Key quote: "if a value-aligned, safety-conscious project comes close to building AGI before we do, we commit to stop competing with and start assisting this project".</v>
      </c>
    </row>
    <row r="166">
      <c r="A166" s="1" t="str">
        <f>IFERROR(__xludf.DUMMYFUNCTION("""COMPUTED_VALUE"""),"AI governance")</f>
        <v>AI governance</v>
      </c>
      <c r="B166" s="1" t="str">
        <f>IFERROR(__xludf.DUMMYFUNCTION("""COMPUTED_VALUE"""),"Highlight")</f>
        <v>Highlight</v>
      </c>
      <c r="C166" s="2" t="str">
        <f>IFERROR(__xludf.DUMMYFUNCTION("""COMPUTED_VALUE"""),"‘Solving for X?’ Towards a problem-finding framework to ground long-term governance strategies for artificial intelligence")</f>
        <v>‘Solving for X?’ Towards a problem-finding framework to ground long-term governance strategies for artificial intelligence</v>
      </c>
      <c r="D166" s="1" t="str">
        <f>IFERROR(__xludf.DUMMYFUNCTION("""COMPUTED_VALUE"""),"Hin-Yan Liu, Matthijs M. Maas")</f>
        <v>Hin-Yan Liu, Matthijs M. Maas</v>
      </c>
      <c r="E166" s="1" t="str">
        <f>IFERROR(__xludf.DUMMYFUNCTION("""COMPUTED_VALUE"""),"Futures 2021")</f>
        <v>Futures 2021</v>
      </c>
      <c r="F166" s="1">
        <f>IFERROR(__xludf.DUMMYFUNCTION("""COMPUTED_VALUE"""),2021.0)</f>
        <v>2021</v>
      </c>
      <c r="G166" s="1"/>
      <c r="H166" s="2" t="str">
        <f>IFERROR(__xludf.DUMMYFUNCTION("""COMPUTED_VALUE"""),"AN #138")</f>
        <v>AN #138</v>
      </c>
      <c r="I166" s="1" t="str">
        <f>IFERROR(__xludf.DUMMYFUNCTION("""COMPUTED_VALUE"""),"Rohin")</f>
        <v>Rohin</v>
      </c>
      <c r="J166" s="1" t="str">
        <f>IFERROR(__xludf.DUMMYFUNCTION("""COMPUTED_VALUE"""),"The typical workflow in governance research might go something like this: first, choose an existing problem to work on; second, list out possible governance mechanisms that could be applied to the problem; third, figure out which of these is best. We migh"&amp;"t call this the _problem-solving_ approach. However, such an approach has several downsides:
1. Such an approach will tend to use existing analogies and metaphors used for that problem, even when they are no longer appropriate.
2. If there are problems w"&amp;"hich aren’t obvious given current frameworks for governance, this approach won’t address them.
3. Usually, solutions under this approach build on earlier, allegedly similar problems and their solutions, leading to path-dependencies in what kind of solutio"&amp;"ns are being sought. This makes it harder to identify and/or pursue new classes of solutions
4. It is hard to differentiate between problems that are symptoms vs. problems that are root causes in such a framework, since not much thought is put into compar"&amp;"isons across problems
5. Framing our job as solving an existing set of problems lulls us into a false sense of security, as it makes us think we understand the situation better than we actually do (“if only we solved these problems, we’d be done; nothing "&amp;"else would come up”).
The core claim of this paper is that we should also invest in a _problem-finding_ approach, in which we do not assume that we even know what the problem is, and are trying to figure it out in advance before it arises. This distincti"&amp;"on between problem-solving and problem-finding is analogous to the distinction between normal science and paradigm-changing science, between exploitation and exploration, and between “addressing problems” and “pursuing mysteries”. Including a problem-find"&amp;"ing approach in our portfolio of research techniques helps mitigate the five disadvantages listed above. One particularly nice advantage is that it can help avoid the [Collingridge dilemma](https://en.wikipedia.org/wiki/Collingridge_dilemma): by searching"&amp;" for problems in advance, we can control them before they get entrenched in society (when they would be harder to control).
The authors then propose a classification of governance research, where levels 0 and 1 correspond to problem-solving and levels 2 "&amp;"and 3 correspond to problem-finding:
- **Business as usual** (level 0): There is no need to change the existing governance structures; they will naturally handle any problems that arise.
- **Puzzle-solving** (level 1): Aims to solve the problem at hand ("&amp;"something like deepfakes), possibly by changing the existing governance structures.
- **Disruptor-finding** (level 2): Searches for properties of AI systems that would be hard to accommodate with the existing governance tools, so that we can prepare in ad"&amp;"vance.
- **Charting macrostrategic trajectories** (level 3): Looks for crucial considerations about how AI could affect the trajectory of the world.
These are not just meant to apply to AGI. For example, autonomous weapons may make it easier to predict a"&amp;"nd preempt conflict, in which case rather than very visible drone strikes we may instead have “invisible” high-tech wars. This may lessen the reputational penalties of war, and so we may need to increase scrutiny of, and accountability for, this sort of “"&amp;"hidden violence”. This is a central example of a level 2 consideration.
The authors note that we could extend the framework even further to cases where governance research fails: at level -1, governance stays fixed and unchanging in its current form, eit"&amp;"her because reality is itself not changing, or because the governance got locked in for some reason. Conversely, at level 4, we are unable to respond to governance challenges, either because we cannot see the problems at all, or because we cannot comprehe"&amp;"nd them, or because we cannot control them despite understanding them.")</f>
        <v>The typical workflow in governance research might go something like this: first, choose an existing problem to work on; second, list out possible governance mechanisms that could be applied to the problem; third, figure out which of these is best. We might call this the _problem-solving_ approach. However, such an approach has several downsides:
1. Such an approach will tend to use existing analogies and metaphors used for that problem, even when they are no longer appropriate.
2. If there are problems which aren’t obvious given current frameworks for governance, this approach won’t address them.
3. Usually, solutions under this approach build on earlier, allegedly similar problems and their solutions, leading to path-dependencies in what kind of solutions are being sought. This makes it harder to identify and/or pursue new classes of solutions
4. It is hard to differentiate between problems that are symptoms vs. problems that are root causes in such a framework, since not much thought is put into comparisons across problems
5. Framing our job as solving an existing set of problems lulls us into a false sense of security, as it makes us think we understand the situation better than we actually do (“if only we solved these problems, we’d be done; nothing else would come up”).
The core claim of this paper is that we should also invest in a _problem-finding_ approach, in which we do not assume that we even know what the problem is, and are trying to figure it out in advance before it arises. This distinction between problem-solving and problem-finding is analogous to the distinction between normal science and paradigm-changing science, between exploitation and exploration, and between “addressing problems” and “pursuing mysteries”. Including a problem-finding approach in our portfolio of research techniques helps mitigate the five disadvantages listed above. One particularly nice advantage is that it can help avoid the [Collingridge dilemma](https://en.wikipedia.org/wiki/Collingridge_dilemma): by searching for problems in advance, we can control them before they get entrenched in society (when they would be harder to control).
The authors then propose a classification of governance research, where levels 0 and 1 correspond to problem-solving and levels 2 and 3 correspond to problem-finding:
- **Business as usual** (level 0): There is no need to change the existing governance structures; they will naturally handle any problems that arise.
- **Puzzle-solving** (level 1): Aims to solve the problem at hand (something like deepfakes), possibly by changing the existing governance structures.
- **Disruptor-finding** (level 2): Searches for properties of AI systems that would be hard to accommodate with the existing governance tools, so that we can prepare in advance.
- **Charting macrostrategic trajectories** (level 3): Looks for crucial considerations about how AI could affect the trajectory of the world.
These are not just meant to apply to AGI. For example, autonomous weapons may make it easier to predict and preempt conflict, in which case rather than very visible drone strikes we may instead have “invisible” high-tech wars. This may lessen the reputational penalties of war, and so we may need to increase scrutiny of, and accountability for, this sort of “hidden violence”. This is a central example of a level 2 consideration.
The authors note that we could extend the framework even further to cases where governance research fails: at level -1, governance stays fixed and unchanging in its current form, either because reality is itself not changing, or because the governance got locked in for some reason. Conversely, at level 4, we are unable to respond to governance challenges, either because we cannot see the problems at all, or because we cannot comprehend them, or because we cannot control them despite understanding them.</v>
      </c>
      <c r="K166" t="str">
        <f>IFERROR(__xludf.DUMMYFUNCTION("""COMPUTED_VALUE"""),"One technique I like a lot is backchaining: starting from the goal you are trying to accomplish, and figuring out what actions or intermediate subgoals would most help accomplish that goal. I’ve spent a lot of time doing this sort of thing with AI alignme"&amp;"nt. This paper feels like it is advocating the same for AI governance, but also gives a bunch of concrete examples of what this sort of work might look like. I’m hoping that it inspires a lot more governance work of the problem-finding variety; this does "&amp;"seem quite neglected to me right now.
One important caveat to all of this is that I am not a governance researcher and don’t have experience actually trying to do such research, so it’s not unlikely that even though I think this sounds like good meta-res"&amp;"earch advice, it is actually missing the mark in a way I failed to see.
While I do recommend reading through the paper, I should warn you that it is rather dense and filled with jargon, at least from my perspective as an outsider.")</f>
        <v>One technique I like a lot is backchaining: starting from the goal you are trying to accomplish, and figuring out what actions or intermediate subgoals would most help accomplish that goal. I’ve spent a lot of time doing this sort of thing with AI alignment. This paper feels like it is advocating the same for AI governance, but also gives a bunch of concrete examples of what this sort of work might look like. I’m hoping that it inspires a lot more governance work of the problem-finding variety; this does seem quite neglected to me right now.
One important caveat to all of this is that I am not a governance researcher and don’t have experience actually trying to do such research, so it’s not unlikely that even though I think this sounds like good meta-research advice, it is actually missing the mark in a way I failed to see.
While I do recommend reading through the paper, I should warn you that it is rather dense and filled with jargon, at least from my perspective as an outsider.</v>
      </c>
    </row>
    <row r="167">
      <c r="A167" s="1" t="str">
        <f>IFERROR(__xludf.DUMMYFUNCTION("""COMPUTED_VALUE"""),"AI governance")</f>
        <v>AI governance</v>
      </c>
      <c r="B167" s="1" t="str">
        <f>IFERROR(__xludf.DUMMYFUNCTION("""COMPUTED_VALUE"""),"Highlight")</f>
        <v>Highlight</v>
      </c>
      <c r="C167" s="2" t="str">
        <f>IFERROR(__xludf.DUMMYFUNCTION("""COMPUTED_VALUE"""),"AI Governance: Opportunity and Theory of Impact")</f>
        <v>AI Governance: Opportunity and Theory of Impact</v>
      </c>
      <c r="D167" s="1" t="str">
        <f>IFERROR(__xludf.DUMMYFUNCTION("""COMPUTED_VALUE"""),"Allan Dafoe")</f>
        <v>Allan Dafoe</v>
      </c>
      <c r="E167" s="1" t="str">
        <f>IFERROR(__xludf.DUMMYFUNCTION("""COMPUTED_VALUE"""),"EA Forum")</f>
        <v>EA Forum</v>
      </c>
      <c r="F167" s="1">
        <f>IFERROR(__xludf.DUMMYFUNCTION("""COMPUTED_VALUE"""),2020.0)</f>
        <v>2020</v>
      </c>
      <c r="G167" s="1"/>
      <c r="H167" s="2" t="str">
        <f>IFERROR(__xludf.DUMMYFUNCTION("""COMPUTED_VALUE"""),"AN #118")</f>
        <v>AN #118</v>
      </c>
      <c r="I167" s="1" t="str">
        <f>IFERROR(__xludf.DUMMYFUNCTION("""COMPUTED_VALUE"""),"Rohin")</f>
        <v>Rohin</v>
      </c>
      <c r="J167" s="1" t="str">
        <f>IFERROR(__xludf.DUMMYFUNCTION("""COMPUTED_VALUE"""),"What is the theory of change for work on AI governance? Since the world is going to be vastly complicated by the broad deployment of AI systems in a wide variety of contexts, several _structural risks_ will arise. AI governance research can produce “asset"&amp;"s” (e.g. policy expertise, strategic insights, important networking connections, etc) that help humanity make better decisions around these risks. Let’s go into more detail.
A common perspective about powerful AI is the “superintelligence” perspective, i"&amp;"n which we assume there is a single very cognitively powerful AI agent. This leads people to primarily consider “accident” and “misuse” risks, in which either the AI agent itself “wants” to harm us, or some bad actor uses the AI agent to harm us.
However"&amp;", it seems likely that **we should think of an ecology of AI agents, or AI as a general purpose technology (GPT)**, as in e.g. &lt;@CAIS@&gt;(@Reframing Superintelligence: Comprehensive AI Services as General Intelligence@) or [Age of Em](https://ageofem.com/)."&amp;" In this case, we can examine the ways in which narrow AI could transform social, military, economic, and political systems, and the _structural risks_ that may arise from that. Concrete examples of potential existential structural risks induced by AI inc"&amp;"lude nuclear instability, geopolitical turbulence, authoritarianism, and value erosion through competition.
A key point about the examples above is that the relevant factors for each are different. For example, for nuclear instability, it is important to"&amp;" understand nuclear deterrence, first strike vulnerability and how it could change with AI processing of satellite imagery, undersea sensors, cyber surveillance and weapons, etc. In contrast, for authoritarianism, relevant processes include global winner-"&amp;"take-all-markets, technological displacement of labor, and authoritarian surveillance and control.
This illustrates a general principle: unlike in the superintelligence perspective, **the scope of both risks and solutions in the ecology / GPT perspective"&amp;"s is very broad**. As a result, we need a broad range of expertise and lots of connections with existing fields of research. In particular, **“we want to build a metropolis -- a hub with dense connections to the broader communities of computer science, so"&amp;"cial science, and policymaking -- rather than an isolated island”**.
Another important aspect here is that in order to _cause better decisions to be made_, we need to focus not just on generating the right ideas, but also on ensuring the right ideas are "&amp;"in the right places at the right time (e.g. by ensuring that people with the right tacit knowledge are part of the decision-making process). Instead of the ""product model"" of research that focuses on generating good ideas, we might instead want a “field"&amp;"-building model”, which also places emphasis on improving researcher’s competence on a variety of issues, bestowing prestige and authority on those who have good perspectives on long-term risks, improving researcher’s networks, and training junior researc"&amp;"hers. However, often it is best to focus on the product model of research anyway, and get these benefits as a side effect.
To quote the author: “I think there is a lot of useful work that can be done in advance, but most of the work involves us building "&amp;"our competence, capacity, and credibility, so that when the time comes, we are in position and ready to formulate a plan. [...] Investments we make today should increase our competence in relevant domains, our capacity to grow and engage effectively, and "&amp;"the intellectual credibility and policy influence of competent experts.”")</f>
        <v>What is the theory of change for work on AI governance? Since the world is going to be vastly complicated by the broad deployment of AI systems in a wide variety of contexts, several _structural risks_ will arise. AI governance research can produce “assets” (e.g. policy expertise, strategic insights, important networking connections, etc) that help humanity make better decisions around these risks. Let’s go into more detail.
A common perspective about powerful AI is the “superintelligence” perspective, in which we assume there is a single very cognitively powerful AI agent. This leads people to primarily consider “accident” and “misuse” risks, in which either the AI agent itself “wants” to harm us, or some bad actor uses the AI agent to harm us.
However, it seems likely that **we should think of an ecology of AI agents, or AI as a general purpose technology (GPT)**, as in e.g. &lt;@CAIS@&gt;(@Reframing Superintelligence: Comprehensive AI Services as General Intelligence@) or [Age of Em](https://ageofem.com/). In this case, we can examine the ways in which narrow AI could transform social, military, economic, and political systems, and the _structural risks_ that may arise from that. Concrete examples of potential existential structural risks induced by AI include nuclear instability, geopolitical turbulence, authoritarianism, and value erosion through competition.
A key point about the examples above is that the relevant factors for each are different. For example, for nuclear instability, it is important to understand nuclear deterrence, first strike vulnerability and how it could change with AI processing of satellite imagery, undersea sensors, cyber surveillance and weapons, etc. In contrast, for authoritarianism, relevant processes include global winner-take-all-markets, technological displacement of labor, and authoritarian surveillance and control.
This illustrates a general principle: unlike in the superintelligence perspective, **the scope of both risks and solutions in the ecology / GPT perspectives is very broad**. As a result, we need a broad range of expertise and lots of connections with existing fields of research. In particular, **“we want to build a metropolis -- a hub with dense connections to the broader communities of computer science, social science, and policymaking -- rather than an isolated island”**.
Another important aspect here is that in order to _cause better decisions to be made_, we need to focus not just on generating the right ideas, but also on ensuring the right ideas are in the right places at the right time (e.g. by ensuring that people with the right tacit knowledge are part of the decision-making process). Instead of the "product model" of research that focuses on generating good ideas, we might instead want a “field-building model”, which also places emphasis on improving researcher’s competence on a variety of issues, bestowing prestige and authority on those who have good perspectives on long-term risks, improving researcher’s networks, and training junior researchers. However, often it is best to focus on the product model of research anyway, and get these benefits as a side effect.
To quote the author: “I think there is a lot of useful work that can be done in advance, but most of the work involves us building our competence, capacity, and credibility, so that when the time comes, we are in position and ready to formulate a plan. [...] Investments we make today should increase our competence in relevant domains, our capacity to grow and engage effectively, and the intellectual credibility and policy influence of competent experts.”</v>
      </c>
      <c r="K167" t="str">
        <f>IFERROR(__xludf.DUMMYFUNCTION("""COMPUTED_VALUE"""),"See the next summary. Note also that the author is organizing the &lt;@Cooperative AI Workshop@&gt; to tackle some of these issues.")</f>
        <v>See the next summary. Note also that the author is organizing the &lt;@Cooperative AI Workshop@&gt; to tackle some of these issues.</v>
      </c>
    </row>
    <row r="168">
      <c r="A168" s="1" t="str">
        <f>IFERROR(__xludf.DUMMYFUNCTION("""COMPUTED_VALUE"""),"AI governance")</f>
        <v>AI governance</v>
      </c>
      <c r="B168" s="1" t="str">
        <f>IFERROR(__xludf.DUMMYFUNCTION("""COMPUTED_VALUE"""),"Highlight")</f>
        <v>Highlight</v>
      </c>
      <c r="C168" s="2" t="str">
        <f>IFERROR(__xludf.DUMMYFUNCTION("""COMPUTED_VALUE"""),"AGI Strategy - List of Resources")</f>
        <v>AGI Strategy - List of Resources</v>
      </c>
      <c r="D168" s="1"/>
      <c r="E168" s="1" t="str">
        <f>IFERROR(__xludf.DUMMYFUNCTION("""COMPUTED_VALUE"""),"Google Docs")</f>
        <v>Google Docs</v>
      </c>
      <c r="F168" s="1">
        <f>IFERROR(__xludf.DUMMYFUNCTION("""COMPUTED_VALUE"""),2018.0)</f>
        <v>2018</v>
      </c>
      <c r="G168" s="1"/>
      <c r="H168" s="2" t="str">
        <f>IFERROR(__xludf.DUMMYFUNCTION("""COMPUTED_VALUE"""),"AN #11")</f>
        <v>AN #11</v>
      </c>
      <c r="I168" s="1" t="str">
        <f>IFERROR(__xludf.DUMMYFUNCTION("""COMPUTED_VALUE"""),"Rohin")</f>
        <v>Rohin</v>
      </c>
      <c r="J168" s="1" t="str">
        <f>IFERROR(__xludf.DUMMYFUNCTION("""COMPUTED_VALUE"""),"Exactly what it sounds like.")</f>
        <v>Exactly what it sounds like.</v>
      </c>
    </row>
    <row r="169">
      <c r="A169" s="1" t="str">
        <f>IFERROR(__xludf.DUMMYFUNCTION("""COMPUTED_VALUE"""),"AI governance")</f>
        <v>AI governance</v>
      </c>
      <c r="B169" s="1" t="str">
        <f>IFERROR(__xludf.DUMMYFUNCTION("""COMPUTED_VALUE"""),"Highlight")</f>
        <v>Highlight</v>
      </c>
      <c r="C169" s="2" t="str">
        <f>IFERROR(__xludf.DUMMYFUNCTION("""COMPUTED_VALUE"""),"Technology Roulette: Managing Loss of Control as Many Militaries Pursue Technological Superiority")</f>
        <v>Technology Roulette: Managing Loss of Control as Many Militaries Pursue Technological Superiority</v>
      </c>
      <c r="D169" s="1" t="str">
        <f>IFERROR(__xludf.DUMMYFUNCTION("""COMPUTED_VALUE"""),"Richard Danzig")</f>
        <v>Richard Danzig</v>
      </c>
      <c r="E169" s="1" t="str">
        <f>IFERROR(__xludf.DUMMYFUNCTION("""COMPUTED_VALUE"""),"CNAS")</f>
        <v>CNAS</v>
      </c>
      <c r="F169" s="1">
        <f>IFERROR(__xludf.DUMMYFUNCTION("""COMPUTED_VALUE"""),2018.0)</f>
        <v>2018</v>
      </c>
      <c r="G169" s="1"/>
      <c r="H169" s="2" t="str">
        <f>IFERROR(__xludf.DUMMYFUNCTION("""COMPUTED_VALUE"""),"AN #10")</f>
        <v>AN #10</v>
      </c>
      <c r="I169" s="1" t="str">
        <f>IFERROR(__xludf.DUMMYFUNCTION("""COMPUTED_VALUE"""),"Rohin")</f>
        <v>Rohin</v>
      </c>
      <c r="J169" s="1" t="str">
        <f>IFERROR(__xludf.DUMMYFUNCTION("""COMPUTED_VALUE"""),"US policy so far has been to pursue technological superiority in order to stay ahead of its adversaries and to prevent conflict through deterrence. This paper argues that policymakers should shift some attention to preparing for other risks, such as accid"&amp;"ents, emergent effects, sabotage and proliferation (where other actors get and use the technology, without the same safety standards as the US). There were several interesting sections, but the one I was particularly interested in was the section arguing "&amp;"that keeping a human in the loop would not be sufficient. In military situations, decisions must often be made in time-sensitive, high-stress situations, and in such scenarios humans are not very good at making decisions. For example, if an AI system dete"&amp;"cts an incoming missile, it must autonomously aim and fire to prevent the missile from hitting its target -- there is not enough time for a human to be in the loop. The biggest issue though is that while a human may be part of the decision-making process,"&amp;" they are reliant on various machine readings and calculations in order to reach their decision, and so a human in the loop doesn't provide an independent check on the answer, and so is of limited utility. And as AI systems get better, humans will become "&amp;"less useful for checking the AI's decisions, making this a temporary solution at best.")</f>
        <v>US policy so far has been to pursue technological superiority in order to stay ahead of its adversaries and to prevent conflict through deterrence. This paper argues that policymakers should shift some attention to preparing for other risks, such as accidents, emergent effects, sabotage and proliferation (where other actors get and use the technology, without the same safety standards as the US). There were several interesting sections, but the one I was particularly interested in was the section arguing that keeping a human in the loop would not be sufficient. In military situations, decisions must often be made in time-sensitive, high-stress situations, and in such scenarios humans are not very good at making decisions. For example, if an AI system detects an incoming missile, it must autonomously aim and fire to prevent the missile from hitting its target -- there is not enough time for a human to be in the loop. The biggest issue though is that while a human may be part of the decision-making process, they are reliant on various machine readings and calculations in order to reach their decision, and so a human in the loop doesn't provide an independent check on the answer, and so is of limited utility. And as AI systems get better, humans will become less useful for checking the AI's decisions, making this a temporary solution at best.</v>
      </c>
      <c r="K169" t="str">
        <f>IFERROR(__xludf.DUMMYFUNCTION("""COMPUTED_VALUE"""),"I found the paper to be quite compelling, especially the comments on the human-in-the-loop solution. This feels relevant to problems in technical AI alignment, though I'm not exactly sure how. One question that it suggests -- how can we learn human prefer"&amp;"ences, when the human answers may themselves depend on the AI's actions? Stuart Armstrong has [pointed out](https://agentfoundations.org/item?id=1678) this problem as well.")</f>
        <v>I found the paper to be quite compelling, especially the comments on the human-in-the-loop solution. This feels relevant to problems in technical AI alignment, though I'm not exactly sure how. One question that it suggests -- how can we learn human preferences, when the human answers may themselves depend on the AI's actions? Stuart Armstrong has [pointed out](https://agentfoundations.org/item?id=1678) this problem as well.</v>
      </c>
    </row>
    <row r="170">
      <c r="A170" s="1" t="str">
        <f>IFERROR(__xludf.DUMMYFUNCTION("""COMPUTED_VALUE"""),"AI governance")</f>
        <v>AI governance</v>
      </c>
      <c r="B170" s="1" t="str">
        <f>IFERROR(__xludf.DUMMYFUNCTION("""COMPUTED_VALUE"""),"")</f>
        <v/>
      </c>
      <c r="C170" s="2" t="str">
        <f>IFERROR(__xludf.DUMMYFUNCTION("""COMPUTED_VALUE"""),"AI Governance in 2019 - A Year in Review: Observations from 50 Global Experts")</f>
        <v>AI Governance in 2019 - A Year in Review: Observations from 50 Global Experts</v>
      </c>
      <c r="D170" s="1" t="str">
        <f>IFERROR(__xludf.DUMMYFUNCTION("""COMPUTED_VALUE"""),"Shi Qian*, Li Hui*, Brian Tse*, others")</f>
        <v>Shi Qian*, Li Hui*, Brian Tse*, others</v>
      </c>
      <c r="E170" s="1" t="str">
        <f>IFERROR(__xludf.DUMMYFUNCTION("""COMPUTED_VALUE"""),"Author's Website")</f>
        <v>Author's Website</v>
      </c>
      <c r="F170" s="1">
        <f>IFERROR(__xludf.DUMMYFUNCTION("""COMPUTED_VALUE"""),2020.0)</f>
        <v>2020</v>
      </c>
      <c r="G170" s="1"/>
      <c r="H170" s="2" t="str">
        <f>IFERROR(__xludf.DUMMYFUNCTION("""COMPUTED_VALUE"""),"AN #99")</f>
        <v>AN #99</v>
      </c>
      <c r="I170" s="1" t="str">
        <f>IFERROR(__xludf.DUMMYFUNCTION("""COMPUTED_VALUE"""),"Nicholas")</f>
        <v>Nicholas</v>
      </c>
      <c r="J170" s="1" t="str">
        <f>IFERROR(__xludf.DUMMYFUNCTION("""COMPUTED_VALUE"""),"This report contains short essays from 50 experts reviewing progress in AI governance. I’ll describe a few themes here rather than try to summarize each essay. 
The first is a strong emphasis on issues of bias, privacy, deception, and safety. Bias can oc"&amp;"cur both due to biases of programmers designing algorithms as well as bias that exists in the data. Deception includes deepfakes as well as online accounts that impersonate humans, a subset of which were made illegal in California this year. 
The benefit"&amp;" of international collaborations and conferences and getting broad agreement from many stakeholders both in government and companies was frequently highlighted throughout. One example is the [OECD Principles on AI](https://www.oecd.org/going-digital/ai/pr"&amp;"inciples/), which were later adopted by the G20 including both the US and China, but there were many working groups and committees organized as well, both within industry and governments. 
The other shift in 2019 was moving from broad principles towards "&amp;"more specific sets of requirements and policy decisions. The principles agreed to have been quite similar, but the specific implementations vary significantly by country. There were individual essays describing the regional challenges in Europe, the UK, J"&amp;"apan, Singapore, India, and East Asia. Many essays also highlighted the debate around &lt;@publication norms@&gt;(@GPT-2: 1.5B Release@), which garnered a lot of attention in 2019 following OpenAI’s staged release of GPT-2. ")</f>
        <v>This report contains short essays from 50 experts reviewing progress in AI governance. I’ll describe a few themes here rather than try to summarize each essay. 
The first is a strong emphasis on issues of bias, privacy, deception, and safety. Bias can occur both due to biases of programmers designing algorithms as well as bias that exists in the data. Deception includes deepfakes as well as online accounts that impersonate humans, a subset of which were made illegal in California this year. 
The benefit of international collaborations and conferences and getting broad agreement from many stakeholders both in government and companies was frequently highlighted throughout. One example is the [OECD Principles on AI](https://www.oecd.org/going-digital/ai/principles/), which were later adopted by the G20 including both the US and China, but there were many working groups and committees organized as well, both within industry and governments. 
The other shift in 2019 was moving from broad principles towards more specific sets of requirements and policy decisions. The principles agreed to have been quite similar, but the specific implementations vary significantly by country. There were individual essays describing the regional challenges in Europe, the UK, Japan, Singapore, India, and East Asia. Many essays also highlighted the debate around &lt;@publication norms@&gt;(@GPT-2: 1.5B Release@), which garnered a lot of attention in 2019 following OpenAI’s staged release of GPT-2. </v>
      </c>
      <c r="K170" t="str">
        <f>IFERROR(__xludf.DUMMYFUNCTION("""COMPUTED_VALUE"""),"I am very impressed by the number and diversity of experts that contributed to this report. I think it is quite valuable to get people with such different backgrounds and areas of expertise to collaborate on how we should be using AI ahead of time. I was "&amp;"also pleasantly surprised to hear that there was broad international agreement on principles so far, particularly given an overall political trend against global institutions that has occurred recently. I’m definitely interested to know what the key facto"&amp;"rs were in managing that and how we can make sure these things continue. 
Another piece that jumped out at me is the overlap between longer-term issues of safety and shorter-term issues of bias and privacy. For technical safety work, I think the problems"&amp;" are largely distinct and it is important for safety researchers to remain focused on solving problems with major long-term consequences. However, in the governance context, the problems seem to have much more in common and require many similar institutio"&amp;"ns / processes to address. So I hope that these communities continue to work together and learn from each other.")</f>
        <v>I am very impressed by the number and diversity of experts that contributed to this report. I think it is quite valuable to get people with such different backgrounds and areas of expertise to collaborate on how we should be using AI ahead of time. I was also pleasantly surprised to hear that there was broad international agreement on principles so far, particularly given an overall political trend against global institutions that has occurred recently. I’m definitely interested to know what the key factors were in managing that and how we can make sure these things continue. 
Another piece that jumped out at me is the overlap between longer-term issues of safety and shorter-term issues of bias and privacy. For technical safety work, I think the problems are largely distinct and it is important for safety researchers to remain focused on solving problems with major long-term consequences. However, in the governance context, the problems seem to have much more in common and require many similar institutions / processes to address. So I hope that these communities continue to work together and learn from each other.</v>
      </c>
    </row>
    <row r="171">
      <c r="A171" s="1" t="str">
        <f>IFERROR(__xludf.DUMMYFUNCTION("""COMPUTED_VALUE"""),"AI governance")</f>
        <v>AI governance</v>
      </c>
      <c r="B171" s="1" t="str">
        <f>IFERROR(__xludf.DUMMYFUNCTION("""COMPUTED_VALUE"""),"")</f>
        <v/>
      </c>
      <c r="C171" s="2" t="str">
        <f>IFERROR(__xludf.DUMMYFUNCTION("""COMPUTED_VALUE"""),"Improving Verifiability in AI Development")</f>
        <v>Improving Verifiability in AI Development</v>
      </c>
      <c r="D171" s="1" t="str">
        <f>IFERROR(__xludf.DUMMYFUNCTION("""COMPUTED_VALUE"""),"Miles Brundage, Shahar Avin, Jasmine Wang, Haydn Belfield, Gretchen Krueger, Gillian Hadfield, Heidy Khlaaf, Jingying Yang, Helen Toner, Ruth Fong, Tegan Maharaj, Pang Wei Koh, Sara Hooker, Jade Leung, Andrew Trask, Emma Bluemke, Jonathan Lebensbold, Cull"&amp;"en O'Keefe, Mark Koren, Théo Ryffel, JB Rubinovitz, Tamay Besiroglu, Federica Carugati, Jack Clark, Peter Eckersley, Sarah de Haas, Maritza Johnson, Ben Laurie, Alex Ingerman, Igor Krawczuk, Amanda Askell, Rosario Cammarota, Andrew Lohn, David Krueger, Ch"&amp;"arlotte Stix, Peter Henderson, Logan Graham, Carina Prunkl, Bianca Martin, Elizabeth Seger, Noa Zilberman, Seán Ó hÉigeartaigh, Frens Kroeger, Girish Sastry, Rebecca Kagan, Adrian Weller, Brian Tse, Elizabeth Barnes, Allan Dafoe, Paul Scharre, Ariel Herbe"&amp;"rt-Voss, Martijn Rasser, Shagun Sodhani, Carrick Flynn, Thomas Krendl Gilbert, Lisa Dyer, Saif Khan, Yoshua Bengio, Markus Anderljung")</f>
        <v>Miles Brundage, Shahar Avin, Jasmine Wang, Haydn Belfield, Gretchen Krueger, Gillian Hadfield, Heidy Khlaaf, Jingying Yang, Helen Toner, Ruth Fong, Tegan Maharaj, Pang Wei Koh, Sara Hooker, Jade Leung, Andrew Trask, Emma Bluemke, Jonathan Lebensbold, Cullen O'Keefe, Mark Koren, Théo Ryffel, JB Rubinovitz, Tamay Besiroglu, Federica Carugati, Jack Clark, Peter Eckersley, Sarah de Haas, Maritza Johnson, Ben Laurie, Alex Ingerman, Igor Krawczuk, Amanda Askell, Rosario Cammarota, Andrew Lohn, David Krueger, Charlotte Stix, Peter Henderson, Logan Graham, Carina Prunkl, Bianca Martin, Elizabeth Seger, Noa Zilberman, Seán Ó hÉigeartaigh, Frens Kroeger, Girish Sastry, Rebecca Kagan, Adrian Weller, Brian Tse, Elizabeth Barnes, Allan Dafoe, Paul Scharre, Ariel Herbert-Voss, Martijn Rasser, Shagun Sodhani, Carrick Flynn, Thomas Krendl Gilbert, Lisa Dyer, Saif Khan, Yoshua Bengio, Markus Anderljung</v>
      </c>
      <c r="E171" s="1" t="str">
        <f>IFERROR(__xludf.DUMMYFUNCTION("""COMPUTED_VALUE"""),"arXiv")</f>
        <v>arXiv</v>
      </c>
      <c r="F171" s="1">
        <f>IFERROR(__xludf.DUMMYFUNCTION("""COMPUTED_VALUE"""),2020.0)</f>
        <v>2020</v>
      </c>
      <c r="G171" s="1"/>
      <c r="H171" s="2" t="str">
        <f>IFERROR(__xludf.DUMMYFUNCTION("""COMPUTED_VALUE"""),"AN #97")</f>
        <v>AN #97</v>
      </c>
      <c r="I171" s="1" t="str">
        <f>IFERROR(__xludf.DUMMYFUNCTION("""COMPUTED_VALUE"""),"Flo")</f>
        <v>Flo</v>
      </c>
      <c r="J171" s="1" t="str">
        <f>IFERROR(__xludf.DUMMYFUNCTION("""COMPUTED_VALUE"""),"This multi-stakeholder report by authors from 30 different organizations proposes mechanisms to help with making claims about AI systems easier to verify. Despite being far from a complete solution to responsible AI development, verifiable claims can enab"&amp;"le the public to hold developers accountable to comply with their stated ethics principles and allow developers to build trust by providing hard evidence about safety and fairness of their system. Better mechanisms for making such claims could also: i) he"&amp;"lp with the regulation of AI systems, ii) improve safety by counterbalancing competitive pressures to cut corners, and iii) help independent outside parties to assess the risk posed by specific applications. 
The proposed mechanisms cluster into three cl"&amp;"asses: institutional, software, and hardware. Institutional mechanisms act on the incentives AI developers face. These include **third party auditing** of AI systems, for which a task force investigating different options would be helpful, and the **publi"&amp;"cation of incidents**, to provide evidence that incidents are taken seriously and prevent others from repeating the same mistakes. Other approaches are broadly analogous to adversarial training: collaborative **red teaming exercises** help to explore risk"&amp;"s, and **bias and safety bounties** incentivize outsiders to seek out and report problems.
Software mechanisms include **audit trails** that are used in many safety-critical applications in other industries, better **interpretability** to help with risk "&amp;"assessment and auditing, as well as better tools and standardization for **privacy-preserving machine learning**. The proposed hardware mechanisms are **secure hardware for machine learning**, which requires additional investment as machine learning often"&amp;" uses specialized hardware such that progress in the security of commodity hardware cannot be directly leveraged, **high-precision compute measurement** to help with verifying claims about how many computational resources were used for a particular projec"&amp;"t, and **compute support for academia** to allow academic researchers to better scrutinize claims made by the AI industry. ")</f>
        <v>This multi-stakeholder report by authors from 30 different organizations proposes mechanisms to help with making claims about AI systems easier to verify. Despite being far from a complete solution to responsible AI development, verifiable claims can enable the public to hold developers accountable to comply with their stated ethics principles and allow developers to build trust by providing hard evidence about safety and fairness of their system. Better mechanisms for making such claims could also: i) help with the regulation of AI systems, ii) improve safety by counterbalancing competitive pressures to cut corners, and iii) help independent outside parties to assess the risk posed by specific applications. 
The proposed mechanisms cluster into three classes: institutional, software, and hardware. Institutional mechanisms act on the incentives AI developers face. These include **third party auditing** of AI systems, for which a task force investigating different options would be helpful, and the **publication of incidents**, to provide evidence that incidents are taken seriously and prevent others from repeating the same mistakes. Other approaches are broadly analogous to adversarial training: collaborative **red teaming exercises** help to explore risks, and **bias and safety bounties** incentivize outsiders to seek out and report problems.
Software mechanisms include **audit trails** that are used in many safety-critical applications in other industries, better **interpretability** to help with risk assessment and auditing, as well as better tools and standardization for **privacy-preserving machine learning**. The proposed hardware mechanisms are **secure hardware for machine learning**, which requires additional investment as machine learning often uses specialized hardware such that progress in the security of commodity hardware cannot be directly leveraged, **high-precision compute measurement** to help with verifying claims about how many computational resources were used for a particular project, and **compute support for academia** to allow academic researchers to better scrutinize claims made by the AI industry. </v>
      </c>
      <c r="K171" t="str">
        <f>IFERROR(__xludf.DUMMYFUNCTION("""COMPUTED_VALUE"""),"It would be exciting to see policymakers and AI developers experimenting with the proposed mechanisms, not because I am confident that all of these mechanisms will be useful for incentivising safer AI development, but because trying solutions and observin"&amp;"g their specific shortcomings is useful for coming up with better solutions, and trying things early gives us more time to improve and iterate. However, the danger of lock-in is real as well: if the mechanisms won't be iterated on, delaying implementation"&amp;" until everything is watertight could be the better option. On the level of concrete mechanisms, regular red teaming exercises and more research on interpretability seem especially useful for safety, as common interaction with failure modes of AI systems "&amp;"seems to make safety issues more salient.
**Rohin's opinion:** I love seeing these huge collaborations that simply enumerate possibilities for achieving some goal (the previous one, also organized by Miles, is the [Malicious use of AI paper](https://arxi"&amp;"v.org/abs/1802.07228)). It gives me much more confidence that the list is in some sense ""exhaustive""; any items not on the list seem more likely to have been intentionally excluded (as opposed to the authors failing to think of those items).
That said,"&amp;" these mechanisms are still only one type of way that you could use to build trust -- in practice, when I trust people, it's because I think they also want to do the things I want them to do (whether because of external incentives or their intrinsic goals"&amp;"). I wonder how much this kind of trust building can be done with AI. For example, one story you could tell is that by producing compelling evidence that a particular algorithm is likely to lead to an existential catastrophe, you can build trust that no o"&amp;"ne will use that algorithm, at least as long as you believe that everyone strongly wants to avoid an existential catastrophe (and this outweighs any benefits of running the algorithm).")</f>
        <v>It would be exciting to see policymakers and AI developers experimenting with the proposed mechanisms, not because I am confident that all of these mechanisms will be useful for incentivising safer AI development, but because trying solutions and observing their specific shortcomings is useful for coming up with better solutions, and trying things early gives us more time to improve and iterate. However, the danger of lock-in is real as well: if the mechanisms won't be iterated on, delaying implementation until everything is watertight could be the better option. On the level of concrete mechanisms, regular red teaming exercises and more research on interpretability seem especially useful for safety, as common interaction with failure modes of AI systems seems to make safety issues more salient.
**Rohin's opinion:** I love seeing these huge collaborations that simply enumerate possibilities for achieving some goal (the previous one, also organized by Miles, is the [Malicious use of AI paper](https://arxiv.org/abs/1802.07228)). It gives me much more confidence that the list is in some sense "exhaustive"; any items not on the list seem more likely to have been intentionally excluded (as opposed to the authors failing to think of those items).
That said, these mechanisms are still only one type of way that you could use to build trust -- in practice, when I trust people, it's because I think they also want to do the things I want them to do (whether because of external incentives or their intrinsic goals). I wonder how much this kind of trust building can be done with AI. For example, one story you could tell is that by producing compelling evidence that a particular algorithm is likely to lead to an existential catastrophe, you can build trust that no one will use that algorithm, at least as long as you believe that everyone strongly wants to avoid an existential catastrophe (and this outweighs any benefits of running the algorithm).</v>
      </c>
      <c r="M171" s="3" t="str">
        <f>IFERROR(__xludf.DUMMYFUNCTION("""COMPUTED_VALUE"""),"Paper: Toward Trustworthy AI Development: Mechanisms for Supporting Verifiable Claims")</f>
        <v>Paper: Toward Trustworthy AI Development: Mechanisms for Supporting Verifiable Claims</v>
      </c>
    </row>
    <row r="172">
      <c r="A172" s="1" t="str">
        <f>IFERROR(__xludf.DUMMYFUNCTION("""COMPUTED_VALUE"""),"AI governance")</f>
        <v>AI governance</v>
      </c>
      <c r="B172" s="1" t="str">
        <f>IFERROR(__xludf.DUMMYFUNCTION("""COMPUTED_VALUE"""),"")</f>
        <v/>
      </c>
      <c r="C172" s="2" t="str">
        <f>IFERROR(__xludf.DUMMYFUNCTION("""COMPUTED_VALUE"""),"The Windfall Clause: Distributing the Benefits of AI")</f>
        <v>The Windfall Clause: Distributing the Benefits of AI</v>
      </c>
      <c r="D172" s="1" t="str">
        <f>IFERROR(__xludf.DUMMYFUNCTION("""COMPUTED_VALUE"""),"Cullen O’Keefe, Peter Cihon, Ben Garfinkel, Carrick Flynn, Jade Leung, Allan Dafoe")</f>
        <v>Cullen O’Keefe, Peter Cihon, Ben Garfinkel, Carrick Flynn, Jade Leung, Allan Dafoe</v>
      </c>
      <c r="E172" s="1" t="str">
        <f>IFERROR(__xludf.DUMMYFUNCTION("""COMPUTED_VALUE"""),"FHI Website")</f>
        <v>FHI Website</v>
      </c>
      <c r="F172" s="1">
        <f>IFERROR(__xludf.DUMMYFUNCTION("""COMPUTED_VALUE"""),2020.0)</f>
        <v>2020</v>
      </c>
      <c r="G172" s="1"/>
      <c r="H172" s="2" t="str">
        <f>IFERROR(__xludf.DUMMYFUNCTION("""COMPUTED_VALUE"""),"AN #88")</f>
        <v>AN #88</v>
      </c>
      <c r="I172" s="1" t="str">
        <f>IFERROR(__xludf.DUMMYFUNCTION("""COMPUTED_VALUE"""),"Rohin")</f>
        <v>Rohin</v>
      </c>
      <c r="J172" s="1" t="str">
        <f>IFERROR(__xludf.DUMMYFUNCTION("""COMPUTED_VALUE"""),"The Windfall Clause is a proposed policy lever for improving outcomes from transformative AI. Corporations can voluntarily agree to be bound by the clause, in which case they must donate some proportion of _windfall profits_ (profits in excess of e.g. 1% "&amp;"of world GDP) for the benefit of humanity. Since such a scenario is exceedingly unlikely, it can be in corporations' interests to be bound by this clause, in order to reap the benefits of improved public relations. If the scenario actually occurs, we can "&amp;"then use the donations to solve many societal problems that would likely arise, e.g. job loss, inequality, etc.")</f>
        <v>The Windfall Clause is a proposed policy lever for improving outcomes from transformative AI. Corporations can voluntarily agree to be bound by the clause, in which case they must donate some proportion of _windfall profits_ (profits in excess of e.g. 1% of world GDP) for the benefit of humanity. Since such a scenario is exceedingly unlikely, it can be in corporations' interests to be bound by this clause, in order to reap the benefits of improved public relations. If the scenario actually occurs, we can then use the donations to solve many societal problems that would likely arise, e.g. job loss, inequality, etc.</v>
      </c>
      <c r="K172" t="str">
        <f>IFERROR(__xludf.DUMMYFUNCTION("""COMPUTED_VALUE"""),"While there are certainly major benefits to the Windfall Clause in the case of an actual windfall, it seems to me like there are benefits even when windfalls do not occur (a point mentioned but not emphasized in the full report). For example, in a world i"&amp;"n which everyone has agreed to the Windfall Clause, the incentives to ""win an economic race"" decrease: even if it is possible for e.g. one company to ""win"" via a monopoly on AI, at least a portion of their ""winnings"" must be distributed to everyone "&amp;"else, plausibly decreasing incentives to race, and increasing the likelihood that companies pay attention to safety. (This of course assumes that the clause remains binding even after ""winning"", which is not obviously true.)")</f>
        <v>While there are certainly major benefits to the Windfall Clause in the case of an actual windfall, it seems to me like there are benefits even when windfalls do not occur (a point mentioned but not emphasized in the full report). For example, in a world in which everyone has agreed to the Windfall Clause, the incentives to "win an economic race" decrease: even if it is possible for e.g. one company to "win" via a monopoly on AI, at least a portion of their "winnings" must be distributed to everyone else, plausibly decreasing incentives to race, and increasing the likelihood that companies pay attention to safety. (This of course assumes that the clause remains binding even after "winning", which is not obviously true.)</v>
      </c>
      <c r="M172" s="3" t="str">
        <f>IFERROR(__xludf.DUMMYFUNCTION("""COMPUTED_VALUE"""),"EA Forum summary")</f>
        <v>EA Forum summary</v>
      </c>
    </row>
    <row r="173">
      <c r="A173" s="1" t="str">
        <f>IFERROR(__xludf.DUMMYFUNCTION("""COMPUTED_VALUE"""),"AI governance")</f>
        <v>AI governance</v>
      </c>
      <c r="B173" s="1" t="str">
        <f>IFERROR(__xludf.DUMMYFUNCTION("""COMPUTED_VALUE"""),"")</f>
        <v/>
      </c>
      <c r="C173" s="2" t="str">
        <f>IFERROR(__xludf.DUMMYFUNCTION("""COMPUTED_VALUE"""),"The Offense-Defense Balance of Scientific Knowledge: Does Publishing AI Research Reduce Misuse?")</f>
        <v>The Offense-Defense Balance of Scientific Knowledge: Does Publishing AI Research Reduce Misuse?</v>
      </c>
      <c r="D173" s="1" t="str">
        <f>IFERROR(__xludf.DUMMYFUNCTION("""COMPUTED_VALUE"""),"Toby Shevlane, Allan Dafoe")</f>
        <v>Toby Shevlane, Allan Dafoe</v>
      </c>
      <c r="E173" s="1" t="str">
        <f>IFERROR(__xludf.DUMMYFUNCTION("""COMPUTED_VALUE"""),"arXiv")</f>
        <v>arXiv</v>
      </c>
      <c r="F173" s="1">
        <f>IFERROR(__xludf.DUMMYFUNCTION("""COMPUTED_VALUE"""),2020.0)</f>
        <v>2020</v>
      </c>
      <c r="G173" s="1"/>
      <c r="H173" s="2" t="str">
        <f>IFERROR(__xludf.DUMMYFUNCTION("""COMPUTED_VALUE"""),"AN #88")</f>
        <v>AN #88</v>
      </c>
      <c r="I173" s="1" t="str">
        <f>IFERROR(__xludf.DUMMYFUNCTION("""COMPUTED_VALUE"""),"Rohin")</f>
        <v>Rohin</v>
      </c>
      <c r="J173" s="1" t="str">
        <f>IFERROR(__xludf.DUMMYFUNCTION("""COMPUTED_VALUE"""),"Since &lt;@GPT-2@&gt;(@Better Language Models and Their Implications@), the AI research community has wrestled with the question of publication of research with malicious applications. On the one hand, publishing such research makes it more likely that those ma"&amp;"licious applications arise in reality, but on the other hand, it also allows defenses against the application to be developed. The core of the question is what the _offense-defense balance_ of AI research looks like.
In particular, publication is particu"&amp;"larly good if attackers are likely to independently develop the knowledge, or would find it hard to translate the research into a real-world attack, or if defenders will put in a lot of effort to finding a solution, and such a solution is likely to be fou"&amp;"nd and deployed. A canonical example is computer security: once a vulnerability is found, it is usually quite easy to develop a patch that fixes the vulnerability, and such patches can be deployed relatively easily via automatic updates. As a result, in c"&amp;"omputer security, the default is to publicly disclose vulnerabilities after giving vendors some time to develop and deploy a patch.
Under the opposite conditions, where attackers are likely to be able to use the research to create a real-world attack, or"&amp;" where defenders would find it hard to find and deploy a good solution, it is better to keep the research secret. For example, in biorisks such as the risk of an engineered pandemic, solutions are not necessarily easy to find and/or deploy, and so it seem"&amp;"s better to avoid making public the knowledge of how to create a novel virus.
The paper argues that relative to computer security (the default comparison for many AI researchers), publication in AI is more likely to be net negative (specifically from a s"&amp;"ecurity standpoint, ignoring beneficial applications of the research), since solutions must often be social (as in e.g. fake news) which are harder to deploy, and publication seems more likely to counterfactually educate attackers rather than defenders (s"&amp;"ince the defenders are big companies that already have a lot of expertise).")</f>
        <v>Since &lt;@GPT-2@&gt;(@Better Language Models and Their Implications@), the AI research community has wrestled with the question of publication of research with malicious applications. On the one hand, publishing such research makes it more likely that those malicious applications arise in reality, but on the other hand, it also allows defenses against the application to be developed. The core of the question is what the _offense-defense balance_ of AI research looks like.
In particular, publication is particularly good if attackers are likely to independently develop the knowledge, or would find it hard to translate the research into a real-world attack, or if defenders will put in a lot of effort to finding a solution, and such a solution is likely to be found and deployed. A canonical example is computer security: once a vulnerability is found, it is usually quite easy to develop a patch that fixes the vulnerability, and such patches can be deployed relatively easily via automatic updates. As a result, in computer security, the default is to publicly disclose vulnerabilities after giving vendors some time to develop and deploy a patch.
Under the opposite conditions, where attackers are likely to be able to use the research to create a real-world attack, or where defenders would find it hard to find and deploy a good solution, it is better to keep the research secret. For example, in biorisks such as the risk of an engineered pandemic, solutions are not necessarily easy to find and/or deploy, and so it seems better to avoid making public the knowledge of how to create a novel virus.
The paper argues that relative to computer security (the default comparison for many AI researchers), publication in AI is more likely to be net negative (specifically from a security standpoint, ignoring beneficial applications of the research), since solutions must often be social (as in e.g. fake news) which are harder to deploy, and publication seems more likely to counterfactually educate attackers rather than defenders (since the defenders are big companies that already have a lot of expertise).</v>
      </c>
      <c r="K173" t="str">
        <f>IFERROR(__xludf.DUMMYFUNCTION("""COMPUTED_VALUE"""),"This is a remarkably straightforward and clear analysis, and is way better than any analysis I've seen done by the AI community, which is quite a shame, given how much time AI researchers have spent thinking about publication norms. (Though note that I do"&amp;"n't follow this space closely, and so might have missed previous good work on publication norms.) As a comparison, the only conclusion that &lt;@When Is It Appropriate to Publish High-Stakes AI Research?@&gt; came to was that whatever the publication norms are,"&amp;" they should be standardized across the AI community.")</f>
        <v>This is a remarkably straightforward and clear analysis, and is way better than any analysis I've seen done by the AI community, which is quite a shame, given how much time AI researchers have spent thinking about publication norms. (Though note that I don't follow this space closely, and so might have missed previous good work on publication norms.) As a comparison, the only conclusion that &lt;@When Is It Appropriate to Publish High-Stakes AI Research?@&gt; came to was that whatever the publication norms are, they should be standardized across the AI community.</v>
      </c>
    </row>
    <row r="174">
      <c r="A174" s="1" t="str">
        <f>IFERROR(__xludf.DUMMYFUNCTION("""COMPUTED_VALUE"""),"AI governance")</f>
        <v>AI governance</v>
      </c>
      <c r="B174" s="1" t="str">
        <f>IFERROR(__xludf.DUMMYFUNCTION("""COMPUTED_VALUE"""),"")</f>
        <v/>
      </c>
      <c r="C174" s="2" t="str">
        <f>IFERROR(__xludf.DUMMYFUNCTION("""COMPUTED_VALUE"""),"How does the offense-defense balance scale?")</f>
        <v>How does the offense-defense balance scale?</v>
      </c>
      <c r="D174" s="1" t="str">
        <f>IFERROR(__xludf.DUMMYFUNCTION("""COMPUTED_VALUE"""),"Ben Garfinkel, Allan Dafoe")</f>
        <v>Ben Garfinkel, Allan Dafoe</v>
      </c>
      <c r="E174" s="1" t="str">
        <f>IFERROR(__xludf.DUMMYFUNCTION("""COMPUTED_VALUE"""),"Journal of Strategic Studies")</f>
        <v>Journal of Strategic Studies</v>
      </c>
      <c r="F174" s="1">
        <f>IFERROR(__xludf.DUMMYFUNCTION("""COMPUTED_VALUE"""),2019.0)</f>
        <v>2019</v>
      </c>
      <c r="G174" s="1"/>
      <c r="H174" s="2" t="str">
        <f>IFERROR(__xludf.DUMMYFUNCTION("""COMPUTED_VALUE"""),"AN #77")</f>
        <v>AN #77</v>
      </c>
      <c r="I174" s="1" t="str">
        <f>IFERROR(__xludf.DUMMYFUNCTION("""COMPUTED_VALUE"""),"Flo")</f>
        <v>Flo</v>
      </c>
      <c r="J174" s="1" t="str">
        <f>IFERROR(__xludf.DUMMYFUNCTION("""COMPUTED_VALUE"""),"The offense-defense balance that characterises how easy it is to successfully attack others can affect what kinds of conflicts break out and how often that happens. This paper analyses how growing capabilities on both sides affect that balance. For exampl"&amp;"e, consider an idealized model of cyber defense with a fixed set of vulnerabilities that are discovered independently by attackers and defenders. The attacker will initially be able to use almost all of the vulnerabilities they found. This is because, wit"&amp;"h only a small percentage of vulnerabilities discovered by both sides, the defender is unlikely to have found the same ones as the attacker. Marginal increases of the defender's capabilities are unlikely to uncover vulnerabilities used by the attacker in "&amp;"this regime, such that attacks become easier as both sides invest resources. Once most vulnerabilities have been found by both sides, this effect reverses as marginal investments by the attacker become unlikely to uncover vulnerabilities the defender has "&amp;"not fixed yet. 
This pattern, where increasingly growing capabilities first favour offense but lead to defensive stability in the long run, dubbed **OD-scaling** seems to be common and can be expected to be found whenever there are **multiple attack vect"&amp;"ors**, the attacker only needs to break through on some of them and the defender enjoys **local defense superiority**, meaning that with sufficient coverage by the defender for a given attack vector, it is almost impossible for the attacker to break throu"&amp;"gh. 
Because the use of digital and AI systems can be scaled up quickly, scale-dependent shifts of the offense-defense balance are going to increase in importance as these systems become ubiquitous. ")</f>
        <v>The offense-defense balance that characterises how easy it is to successfully attack others can affect what kinds of conflicts break out and how often that happens. This paper analyses how growing capabilities on both sides affect that balance. For example, consider an idealized model of cyber defense with a fixed set of vulnerabilities that are discovered independently by attackers and defenders. The attacker will initially be able to use almost all of the vulnerabilities they found. This is because, with only a small percentage of vulnerabilities discovered by both sides, the defender is unlikely to have found the same ones as the attacker. Marginal increases of the defender's capabilities are unlikely to uncover vulnerabilities used by the attacker in this regime, such that attacks become easier as both sides invest resources. Once most vulnerabilities have been found by both sides, this effect reverses as marginal investments by the attacker become unlikely to uncover vulnerabilities the defender has not fixed yet. 
This pattern, where increasingly growing capabilities first favour offense but lead to defensive stability in the long run, dubbed **OD-scaling** seems to be common and can be expected to be found whenever there are **multiple attack vectors**, the attacker only needs to break through on some of them and the defender enjoys **local defense superiority**, meaning that with sufficient coverage by the defender for a given attack vector, it is almost impossible for the attacker to break through. 
Because the use of digital and AI systems can be scaled up quickly, scale-dependent shifts of the offense-defense balance are going to increase in importance as these systems become ubiquitous. </v>
      </c>
      <c r="K174" t="str">
        <f>IFERROR(__xludf.DUMMYFUNCTION("""COMPUTED_VALUE"""),"I found it quite surprising that the paper mentions a lack of academic consensus about whether or not offensive advantage is destabilizing. Assuming that it is, OD-scaling might provide a silver lining concerning cybersecurity, provided things can be scal"&amp;"ed up sufficiently. These kinds of dynamics also seem to put a natural ceiling on arms races: above a certain threshold, gains in capabilities provide advantage to both sides such that resources are better invested elsewhere.")</f>
        <v>I found it quite surprising that the paper mentions a lack of academic consensus about whether or not offensive advantage is destabilizing. Assuming that it is, OD-scaling might provide a silver lining concerning cybersecurity, provided things can be scaled up sufficiently. These kinds of dynamics also seem to put a natural ceiling on arms races: above a certain threshold, gains in capabilities provide advantage to both sides such that resources are better invested elsewhere.</v>
      </c>
    </row>
    <row r="175">
      <c r="A175" s="1" t="str">
        <f>IFERROR(__xludf.DUMMYFUNCTION("""COMPUTED_VALUE"""),"AI governance")</f>
        <v>AI governance</v>
      </c>
      <c r="B175" s="1" t="str">
        <f>IFERROR(__xludf.DUMMYFUNCTION("""COMPUTED_VALUE"""),"")</f>
        <v/>
      </c>
      <c r="C175" s="2" t="str">
        <f>IFERROR(__xludf.DUMMYFUNCTION("""COMPUTED_VALUE"""),"Why Responsible AI Development Needs Cooperation on Safety")</f>
        <v>Why Responsible AI Development Needs Cooperation on Safety</v>
      </c>
      <c r="D175" s="1" t="str">
        <f>IFERROR(__xludf.DUMMYFUNCTION("""COMPUTED_VALUE"""),"Amanda Askell, Miles Brundage, Jack Clark, Gillian Hadfield")</f>
        <v>Amanda Askell, Miles Brundage, Jack Clark, Gillian Hadfield</v>
      </c>
      <c r="E175" s="1" t="str">
        <f>IFERROR(__xludf.DUMMYFUNCTION("""COMPUTED_VALUE"""),"OpenAI Blog")</f>
        <v>OpenAI Blog</v>
      </c>
      <c r="F175" s="1">
        <f>IFERROR(__xludf.DUMMYFUNCTION("""COMPUTED_VALUE"""),2019.0)</f>
        <v>2019</v>
      </c>
      <c r="G175" s="1"/>
      <c r="H175" s="2" t="str">
        <f>IFERROR(__xludf.DUMMYFUNCTION("""COMPUTED_VALUE"""),"AN #66")</f>
        <v>AN #66</v>
      </c>
      <c r="I175" s="1" t="str">
        <f>IFERROR(__xludf.DUMMYFUNCTION("""COMPUTED_VALUE"""),"Nicholas")</f>
        <v>Nicholas</v>
      </c>
      <c r="J175" s="1" t="str">
        <f>IFERROR(__xludf.DUMMYFUNCTION("""COMPUTED_VALUE"""),"AI systems are increasingly being developed by companies, and as such it is important to understand how competition will affect the safety and robustness of these systems. This paper models companies as agents engaging in a cooperate-defect game, where co"&amp;"operation represents responsible development, and defection represents a failure to develop responsibly. This model yields five factors that increase the likelihood of companies cooperating on safety. Ideally, companies will have **high trust** that other"&amp;"s cooperate on safety, large benefits from mutual cooperation (**shared upside**), large costs from mutual defection (**shared downside**), not much incentive to defect when others cooperate (**low advantage**), and not be harmed too much if others defect"&amp;" when they cooperate (**low exposure**).
They then suggest four concrete strategies that can help improve norms today. First, companies should help promote accurate beliefs about the benefits of safety. Second, companies should collaborate on research an"&amp;"d engineering. Third, companies should be transparent and allow for proper oversight and feedback. Fourth, the community should incentivize adhering to high safety standards by rewarding safety work and penalizing unsafe behavior.")</f>
        <v>AI systems are increasingly being developed by companies, and as such it is important to understand how competition will affect the safety and robustness of these systems. This paper models companies as agents engaging in a cooperate-defect game, where cooperation represents responsible development, and defection represents a failure to develop responsibly. This model yields five factors that increase the likelihood of companies cooperating on safety. Ideally, companies will have **high trust** that others cooperate on safety, large benefits from mutual cooperation (**shared upside**), large costs from mutual defection (**shared downside**), not much incentive to defect when others cooperate (**low advantage**), and not be harmed too much if others defect when they cooperate (**low exposure**).
They then suggest four concrete strategies that can help improve norms today. First, companies should help promote accurate beliefs about the benefits of safety. Second, companies should collaborate on research and engineering. Third, companies should be transparent and allow for proper oversight and feedback. Fourth, the community should incentivize adhering to high safety standards by rewarding safety work and penalizing unsafe behavior.</v>
      </c>
      <c r="K175" t="str">
        <f>IFERROR(__xludf.DUMMYFUNCTION("""COMPUTED_VALUE"""),"Given that much of current AI progress is being driven by increases in computation power, it seems likely to me that companies will soon become more significant players in the AI space. As a result, I appreciate that this paper tries to determine what we "&amp;"can do now to make sure that the competitive landscape is conducive to taking proper safety precautions. I do, however, believe that the single step cooperate-defect game which they use to come up with their factors seems like a very simple model for what"&amp;" will be a very complex system of interactions. For example, AI development will take place over time, and it is likely that the same companies will continue to interact with one another. Iterated games have very different dynamics, and I hope that future"&amp;" work will explore how this would affect their current recommendations, and whether it would yield new approaches to incentivizing cooperation.")</f>
        <v>Given that much of current AI progress is being driven by increases in computation power, it seems likely to me that companies will soon become more significant players in the AI space. As a result, I appreciate that this paper tries to determine what we can do now to make sure that the competitive landscape is conducive to taking proper safety precautions. I do, however, believe that the single step cooperate-defect game which they use to come up with their factors seems like a very simple model for what will be a very complex system of interactions. For example, AI development will take place over time, and it is likely that the same companies will continue to interact with one another. Iterated games have very different dynamics, and I hope that future work will explore how this would affect their current recommendations, and whether it would yield new approaches to incentivizing cooperation.</v>
      </c>
      <c r="M175" s="3" t="str">
        <f>IFERROR(__xludf.DUMMYFUNCTION("""COMPUTED_VALUE"""),"The Role of Cooperation in Responsible AI Development")</f>
        <v>The Role of Cooperation in Responsible AI Development</v>
      </c>
    </row>
    <row r="176">
      <c r="A176" s="1" t="str">
        <f>IFERROR(__xludf.DUMMYFUNCTION("""COMPUTED_VALUE"""),"AI governance")</f>
        <v>AI governance</v>
      </c>
      <c r="B176" s="1" t="str">
        <f>IFERROR(__xludf.DUMMYFUNCTION("""COMPUTED_VALUE"""),"")</f>
        <v/>
      </c>
      <c r="C176" s="2" t="str">
        <f>IFERROR(__xludf.DUMMYFUNCTION("""COMPUTED_VALUE"""),"AI Alignment Podcast: China’s AI Superpower Dream")</f>
        <v>AI Alignment Podcast: China’s AI Superpower Dream</v>
      </c>
      <c r="D176" s="1" t="str">
        <f>IFERROR(__xludf.DUMMYFUNCTION("""COMPUTED_VALUE"""),"Lucas Perry and Jeffrey Ding")</f>
        <v>Lucas Perry and Jeffrey Ding</v>
      </c>
      <c r="E176" s="1" t="str">
        <f>IFERROR(__xludf.DUMMYFUNCTION("""COMPUTED_VALUE"""),"FLI Website")</f>
        <v>FLI Website</v>
      </c>
      <c r="F176" s="1">
        <f>IFERROR(__xludf.DUMMYFUNCTION("""COMPUTED_VALUE"""),2019.0)</f>
        <v>2019</v>
      </c>
      <c r="G176" s="1"/>
      <c r="H176" s="2" t="str">
        <f>IFERROR(__xludf.DUMMYFUNCTION("""COMPUTED_VALUE"""),"AN #64")</f>
        <v>AN #64</v>
      </c>
      <c r="I176" s="1" t="str">
        <f>IFERROR(__xludf.DUMMYFUNCTION("""COMPUTED_VALUE"""),"Rohin")</f>
        <v>Rohin</v>
      </c>
      <c r="J176" s="1" t="str">
        <f>IFERROR(__xludf.DUMMYFUNCTION("""COMPUTED_VALUE"""),"See also &lt;@these@&gt;(@Rationally Speaking #231 - Helen Toner on ""Misconceptions about China and artificial intelligence""@) &lt;@three@&gt;(@The new 30-person research group in DC investigating how emerging technologies could affect national security@) &lt;@podcast"&amp;"s@&gt;(@FLI Podcast: Beyond the Arms Race Narrative: AI and China@).")</f>
        <v>See also &lt;@these@&gt;(@Rationally Speaking #231 - Helen Toner on "Misconceptions about China and artificial intelligence"@) &lt;@three@&gt;(@The new 30-person research group in DC investigating how emerging technologies could affect national security@) &lt;@podcasts@&gt;(@FLI Podcast: Beyond the Arms Race Narrative: AI and China@).</v>
      </c>
    </row>
    <row r="177">
      <c r="A177" s="1" t="str">
        <f>IFERROR(__xludf.DUMMYFUNCTION("""COMPUTED_VALUE"""),"AI governance")</f>
        <v>AI governance</v>
      </c>
      <c r="B177" s="1" t="str">
        <f>IFERROR(__xludf.DUMMYFUNCTION("""COMPUTED_VALUE"""),"")</f>
        <v/>
      </c>
      <c r="C177" s="2" t="str">
        <f>IFERROR(__xludf.DUMMYFUNCTION("""COMPUTED_VALUE"""),"Soft takeoff can still lead to decisive strategic advantage")</f>
        <v>Soft takeoff can still lead to decisive strategic advantage</v>
      </c>
      <c r="D177" s="1" t="str">
        <f>IFERROR(__xludf.DUMMYFUNCTION("""COMPUTED_VALUE"""),"Daniel Kokotajlo")</f>
        <v>Daniel Kokotajlo</v>
      </c>
      <c r="E177" s="1" t="str">
        <f>IFERROR(__xludf.DUMMYFUNCTION("""COMPUTED_VALUE"""),"Alignment Forum")</f>
        <v>Alignment Forum</v>
      </c>
      <c r="F177" s="1">
        <f>IFERROR(__xludf.DUMMYFUNCTION("""COMPUTED_VALUE"""),2019.0)</f>
        <v>2019</v>
      </c>
      <c r="G177" s="1"/>
      <c r="H177" s="2" t="str">
        <f>IFERROR(__xludf.DUMMYFUNCTION("""COMPUTED_VALUE"""),"AN #63")</f>
        <v>AN #63</v>
      </c>
      <c r="I177" s="1" t="str">
        <f>IFERROR(__xludf.DUMMYFUNCTION("""COMPUTED_VALUE"""),"Rohin")</f>
        <v>Rohin</v>
      </c>
      <c r="J177" s="1" t="str">
        <f>IFERROR(__xludf.DUMMYFUNCTION("""COMPUTED_VALUE"""),"Since there will be an improved version of this post soon, I will summarize it then.")</f>
        <v>Since there will be an improved version of this post soon, I will summarize it then.</v>
      </c>
    </row>
    <row r="178">
      <c r="A178" s="1" t="str">
        <f>IFERROR(__xludf.DUMMYFUNCTION("""COMPUTED_VALUE"""),"AI governance")</f>
        <v>AI governance</v>
      </c>
      <c r="B178" s="1" t="str">
        <f>IFERROR(__xludf.DUMMYFUNCTION("""COMPUTED_VALUE"""),"")</f>
        <v/>
      </c>
      <c r="C178" s="2" t="str">
        <f>IFERROR(__xludf.DUMMYFUNCTION("""COMPUTED_VALUE"""),"AGI will drastically increase economies of scale")</f>
        <v>AGI will drastically increase economies of scale</v>
      </c>
      <c r="D178" s="1" t="str">
        <f>IFERROR(__xludf.DUMMYFUNCTION("""COMPUTED_VALUE"""),"Wei Dai")</f>
        <v>Wei Dai</v>
      </c>
      <c r="E178" s="1" t="str">
        <f>IFERROR(__xludf.DUMMYFUNCTION("""COMPUTED_VALUE"""),"Alignment Forum")</f>
        <v>Alignment Forum</v>
      </c>
      <c r="F178" s="1">
        <f>IFERROR(__xludf.DUMMYFUNCTION("""COMPUTED_VALUE"""),2019.0)</f>
        <v>2019</v>
      </c>
      <c r="G178" s="1"/>
      <c r="H178" s="2" t="str">
        <f>IFERROR(__xludf.DUMMYFUNCTION("""COMPUTED_VALUE"""),"AN #59")</f>
        <v>AN #59</v>
      </c>
      <c r="I178" s="1" t="str">
        <f>IFERROR(__xludf.DUMMYFUNCTION("""COMPUTED_VALUE"""),"Rohin")</f>
        <v>Rohin</v>
      </c>
      <c r="J178" s="1" t="str">
        <f>IFERROR(__xludf.DUMMYFUNCTION("""COMPUTED_VALUE"""),"Economies of scale would normally mean that companies would keep growing larger and larger. With human employees, the coordination costs grow superlinearly, which ends up limiting the size to which a company can grow. However, with the advent of AGI, many"&amp;" of these coordination costs will be removed. If we can align AGIs to particular humans, then a corporation run by AGIs aligned to a single human would at least avoid principal-agent costs. As a result, the economies of scale would dominate, and companies"&amp;" would grow much larger, leading to more centralization.")</f>
        <v>Economies of scale would normally mean that companies would keep growing larger and larger. With human employees, the coordination costs grow superlinearly, which ends up limiting the size to which a company can grow. However, with the advent of AGI, many of these coordination costs will be removed. If we can align AGIs to particular humans, then a corporation run by AGIs aligned to a single human would at least avoid principal-agent costs. As a result, the economies of scale would dominate, and companies would grow much larger, leading to more centralization.</v>
      </c>
      <c r="K178" t="str">
        <f>IFERROR(__xludf.DUMMYFUNCTION("""COMPUTED_VALUE"""),"This argument is quite compelling to me under the assumption of human-level AGI systems that can be intent-aligned. Note though that while the development of AGI systems removes principal-agent problems, it doesn't remove issues that arise due to differen"&amp;"t agents having different (non-value-related) information.
The argument probably doesn't hold with &lt;@CAIS@&gt;(@Reframing Superintelligence: Comprehensive AI Services as General Intelligence@), where each AI service is optimized for a particular task, since"&amp;" there would be principal-agent problems between services.
It seems like the argument should mainly make us more worried about stable authoritarian regimes: the main effect based on this argument is a centralization of power in the hands of the AGI's ove"&amp;"rseers. This is less likely to happen with companies, because we have institutions that prevent companies from gaining too much power, though perhaps competition between countries could weaken such institutions. It could happen with government, but if lon"&amp;"g-term governmental power still rests with the people via democracy, that seems okay. So the risky situation seems to be when the government gains power, and the people no longer have effective control over government. (This would include scenarios with e"&amp;".g. a government that has sufficiently good AI-fueled propaganda that they always win elections, regardless of whether their governing is actually good.)")</f>
        <v>This argument is quite compelling to me under the assumption of human-level AGI systems that can be intent-aligned. Note though that while the development of AGI systems removes principal-agent problems, it doesn't remove issues that arise due to different agents having different (non-value-related) information.
The argument probably doesn't hold with &lt;@CAIS@&gt;(@Reframing Superintelligence: Comprehensive AI Services as General Intelligence@), where each AI service is optimized for a particular task, since there would be principal-agent problems between services.
It seems like the argument should mainly make us more worried about stable authoritarian regimes: the main effect based on this argument is a centralization of power in the hands of the AGI's overseers. This is less likely to happen with companies, because we have institutions that prevent companies from gaining too much power, though perhaps competition between countries could weaken such institutions. It could happen with government, but if long-term governmental power still rests with the people via democracy, that seems okay. So the risky situation seems to be when the government gains power, and the people no longer have effective control over government. (This would include scenarios with e.g. a government that has sufficiently good AI-fueled propaganda that they always win elections, regardless of whether their governing is actually good.)</v>
      </c>
    </row>
    <row r="179">
      <c r="A179" s="1" t="str">
        <f>IFERROR(__xludf.DUMMYFUNCTION("""COMPUTED_VALUE"""),"AI governance")</f>
        <v>AI governance</v>
      </c>
      <c r="B179" s="1" t="str">
        <f>IFERROR(__xludf.DUMMYFUNCTION("""COMPUTED_VALUE"""),"")</f>
        <v/>
      </c>
      <c r="C179" s="2" t="str">
        <f>IFERROR(__xludf.DUMMYFUNCTION("""COMPUTED_VALUE"""),"Beijing AI Principles")</f>
        <v>Beijing AI Principles</v>
      </c>
      <c r="D179" s="1"/>
      <c r="E179" s="1"/>
      <c r="F179" s="1">
        <f>IFERROR(__xludf.DUMMYFUNCTION("""COMPUTED_VALUE"""),2019.0)</f>
        <v>2019</v>
      </c>
      <c r="G179" s="1"/>
      <c r="H179" s="2" t="str">
        <f>IFERROR(__xludf.DUMMYFUNCTION("""COMPUTED_VALUE"""),"AN #57")</f>
        <v>AN #57</v>
      </c>
      <c r="I179" s="1" t="str">
        <f>IFERROR(__xludf.DUMMYFUNCTION("""COMPUTED_VALUE"""),"Rohin")</f>
        <v>Rohin</v>
      </c>
      <c r="J179" s="1" t="str">
        <f>IFERROR(__xludf.DUMMYFUNCTION("""COMPUTED_VALUE"""),"These principles are a collaboration between Chinese academia and industry, and hit upon many of the problems surrounding AI discussed today, including fairness, accountability, transparency, diversity, job automation, responsibility, ethics, etc. Notably"&amp;" for long-termists, it specifically mentions control risks, AGI, superintelligence, and AI races, and calls for international collaboration in AI governance.")</f>
        <v>These principles are a collaboration between Chinese academia and industry, and hit upon many of the problems surrounding AI discussed today, including fairness, accountability, transparency, diversity, job automation, responsibility, ethics, etc. Notably for long-termists, it specifically mentions control risks, AGI, superintelligence, and AI races, and calls for international collaboration in AI governance.</v>
      </c>
      <c r="M179" s="3" t="str">
        <f>IFERROR(__xludf.DUMMYFUNCTION("""COMPUTED_VALUE"""),"Beijing publishes AI ethical standards, calls for int'l cooperation")</f>
        <v>Beijing publishes AI ethical standards, calls for int'l cooperation</v>
      </c>
    </row>
    <row r="180">
      <c r="A180" s="1" t="str">
        <f>IFERROR(__xludf.DUMMYFUNCTION("""COMPUTED_VALUE"""),"AI governance")</f>
        <v>AI governance</v>
      </c>
      <c r="B180" s="1" t="str">
        <f>IFERROR(__xludf.DUMMYFUNCTION("""COMPUTED_VALUE"""),"")</f>
        <v/>
      </c>
      <c r="C180" s="2" t="str">
        <f>IFERROR(__xludf.DUMMYFUNCTION("""COMPUTED_VALUE"""),"Stable Agreements in Turbulent Times")</f>
        <v>Stable Agreements in Turbulent Times</v>
      </c>
      <c r="D180" s="1" t="str">
        <f>IFERROR(__xludf.DUMMYFUNCTION("""COMPUTED_VALUE"""),"Cullen O’Keefe")</f>
        <v>Cullen O’Keefe</v>
      </c>
      <c r="E180" s="1" t="str">
        <f>IFERROR(__xludf.DUMMYFUNCTION("""COMPUTED_VALUE"""),"FHI Website")</f>
        <v>FHI Website</v>
      </c>
      <c r="F180" s="1">
        <f>IFERROR(__xludf.DUMMYFUNCTION("""COMPUTED_VALUE"""),2019.0)</f>
        <v>2019</v>
      </c>
      <c r="G180" s="1"/>
      <c r="H180" s="2" t="str">
        <f>IFERROR(__xludf.DUMMYFUNCTION("""COMPUTED_VALUE"""),"AN #48")</f>
        <v>AN #48</v>
      </c>
      <c r="I180" s="1" t="str">
        <f>IFERROR(__xludf.DUMMYFUNCTION("""COMPUTED_VALUE"""),"Rohin")</f>
        <v>Rohin</v>
      </c>
      <c r="J180" s="1" t="str">
        <f>IFERROR(__xludf.DUMMYFUNCTION("""COMPUTED_VALUE"""),"On the one hand we would like actors to be able to cooperate before the development of AGI by entering into binding agreements, but on the other hand such agreements are often unpalatable and hard to write because there is a lot of uncertainty, indetermin"&amp;"acy and unfamiliarity with the consequences of developing powerful AI systems. This makes it very hard to be confident that any given agreement is actually net positive for a given actor. The key point of this report is that we can strike a balance betwee"&amp;"n these two extremes by agreeing pre-AGI to be bound by decisions that are made post-AGI with the benefit of increased knowledge. It examines five tools for this purpose: options, impossibility doctrines, contractual standards, renegotiation, and third-pa"&amp;"rty resolution.")</f>
        <v>On the one hand we would like actors to be able to cooperate before the development of AGI by entering into binding agreements, but on the other hand such agreements are often unpalatable and hard to write because there is a lot of uncertainty, indeterminacy and unfamiliarity with the consequences of developing powerful AI systems. This makes it very hard to be confident that any given agreement is actually net positive for a given actor. The key point of this report is that we can strike a balance between these two extremes by agreeing pre-AGI to be bound by decisions that are made post-AGI with the benefit of increased knowledge. It examines five tools for this purpose: options, impossibility doctrines, contractual standards, renegotiation, and third-party resolution.</v>
      </c>
    </row>
    <row r="181">
      <c r="A181" s="1" t="str">
        <f>IFERROR(__xludf.DUMMYFUNCTION("""COMPUTED_VALUE"""),"AI governance")</f>
        <v>AI governance</v>
      </c>
      <c r="B181" s="1" t="str">
        <f>IFERROR(__xludf.DUMMYFUNCTION("""COMPUTED_VALUE"""),"")</f>
        <v/>
      </c>
      <c r="C181" s="2" t="str">
        <f>IFERROR(__xludf.DUMMYFUNCTION("""COMPUTED_VALUE"""),"How Sure are we about this AI Stuff?")</f>
        <v>How Sure are we about this AI Stuff?</v>
      </c>
      <c r="D181" s="1" t="str">
        <f>IFERROR(__xludf.DUMMYFUNCTION("""COMPUTED_VALUE"""),"Ben Garfinkel")</f>
        <v>Ben Garfinkel</v>
      </c>
      <c r="E181" s="1" t="str">
        <f>IFERROR(__xludf.DUMMYFUNCTION("""COMPUTED_VALUE"""),"EA Forum")</f>
        <v>EA Forum</v>
      </c>
      <c r="F181" s="1">
        <f>IFERROR(__xludf.DUMMYFUNCTION("""COMPUTED_VALUE"""),2018.0)</f>
        <v>2018</v>
      </c>
      <c r="G181" s="1"/>
      <c r="H181" s="2" t="str">
        <f>IFERROR(__xludf.DUMMYFUNCTION("""COMPUTED_VALUE"""),"AN #45")</f>
        <v>AN #45</v>
      </c>
      <c r="I181" s="1" t="str">
        <f>IFERROR(__xludf.DUMMYFUNCTION("""COMPUTED_VALUE"""),"Richard")</f>
        <v>Richard</v>
      </c>
      <c r="J181" s="1" t="str">
        <f>IFERROR(__xludf.DUMMYFUNCTION("""COMPUTED_VALUE"""),"Ben outlines four broad arguments for prioritising work on superintelligent AGI: that AI will have a big influence over the long-term future, and more specifically that it might cause instability, lock-in or large-scale ""accidents"". He notes the drawbac"&amp;"ks of each line of argument. In particular, the ""AI is a big deal"" argument doesn't show that we have useful leverage over outcomes (compare a Victorian trying to improve the long-term effects of the industrial revolution). He claims that the next two a"&amp;"rguments have simply not been researched thoroughly enough to draw any conclusions. And while the argument from accidents has been made by Bostrom and Yudkowsky, there hasn't been sufficient elaboration or criticism of it, especially in light of the recen"&amp;"t rise of deep learning, which reframes many ideas in AI.")</f>
        <v>Ben outlines four broad arguments for prioritising work on superintelligent AGI: that AI will have a big influence over the long-term future, and more specifically that it might cause instability, lock-in or large-scale "accidents". He notes the drawbacks of each line of argument. In particular, the "AI is a big deal" argument doesn't show that we have useful leverage over outcomes (compare a Victorian trying to improve the long-term effects of the industrial revolution). He claims that the next two arguments have simply not been researched thoroughly enough to draw any conclusions. And while the argument from accidents has been made by Bostrom and Yudkowsky, there hasn't been sufficient elaboration or criticism of it, especially in light of the recent rise of deep learning, which reframes many ideas in AI.</v>
      </c>
      <c r="K181" t="str">
        <f>IFERROR(__xludf.DUMMYFUNCTION("""COMPUTED_VALUE"""),"I find this talk to be eminently reasonable throughout. It highlights a concerning lack of public high-quality engagement with the fundamental ideas in AI safety over the last few years, relative to the growth of the field as a whole (although note that i"&amp;"n the past few months this has been changing, with three excellent sequences released on the Alignment Forum, plus Drexler's technical report). This is something which motivates me to spend a fair amount of time writing about and discussing such ideas.
O"&amp;"ne nitpick: I dislike the use of ""accidents"" as an umbrella term for AIs behaving in harmful ways unintended by their creators, since it's misleading to describe deliberately adversarial behaviour as an ""accident"" (although note that this is not speci"&amp;"fic to Ben's talk, since the terminology has been in use at least since the Concrete problems paper).")</f>
        <v>I find this talk to be eminently reasonable throughout. It highlights a concerning lack of public high-quality engagement with the fundamental ideas in AI safety over the last few years, relative to the growth of the field as a whole (although note that in the past few months this has been changing, with three excellent sequences released on the Alignment Forum, plus Drexler's technical report). This is something which motivates me to spend a fair amount of time writing about and discussing such ideas.
One nitpick: I dislike the use of "accidents" as an umbrella term for AIs behaving in harmful ways unintended by their creators, since it's misleading to describe deliberately adversarial behaviour as an "accident" (although note that this is not specific to Ben's talk, since the terminology has been in use at least since the Concrete problems paper).</v>
      </c>
    </row>
    <row r="182">
      <c r="A182" s="1" t="str">
        <f>IFERROR(__xludf.DUMMYFUNCTION("""COMPUTED_VALUE"""),"AI governance")</f>
        <v>AI governance</v>
      </c>
      <c r="B182" s="1" t="str">
        <f>IFERROR(__xludf.DUMMYFUNCTION("""COMPUTED_VALUE"""),"")</f>
        <v/>
      </c>
      <c r="C182" s="2" t="str">
        <f>IFERROR(__xludf.DUMMYFUNCTION("""COMPUTED_VALUE"""),"AI Index 2018 Report")</f>
        <v>AI Index 2018 Report</v>
      </c>
      <c r="D182" s="1" t="str">
        <f>IFERROR(__xludf.DUMMYFUNCTION("""COMPUTED_VALUE"""),"Yoav Shoham, Raymond Perrault,Erik Brynjolfsson, Jack Clark, James Manyika, Juan Carlos Niebles,Terah Lyons, John Etchemendy, Barbara Grosz")</f>
        <v>Yoav Shoham, Raymond Perrault,Erik Brynjolfsson, Jack Clark, James Manyika, Juan Carlos Niebles,Terah Lyons, John Etchemendy, Barbara Grosz</v>
      </c>
      <c r="E182" s="1" t="str">
        <f>IFERROR(__xludf.DUMMYFUNCTION("""COMPUTED_VALUE"""),"AI Index website")</f>
        <v>AI Index website</v>
      </c>
      <c r="F182" s="1">
        <f>IFERROR(__xludf.DUMMYFUNCTION("""COMPUTED_VALUE"""),2018.0)</f>
        <v>2018</v>
      </c>
      <c r="G182" s="1"/>
      <c r="H182" s="2" t="str">
        <f>IFERROR(__xludf.DUMMYFUNCTION("""COMPUTED_VALUE"""),"AN #39")</f>
        <v>AN #39</v>
      </c>
      <c r="I182" s="1" t="str">
        <f>IFERROR(__xludf.DUMMYFUNCTION("""COMPUTED_VALUE"""),"Rohin")</f>
        <v>Rohin</v>
      </c>
      <c r="J182" s="1" t="str">
        <f>IFERROR(__xludf.DUMMYFUNCTION("""COMPUTED_VALUE"""),"Lots of data about AI. The report highlights how AI is global, the particular improvement in natural language understanding over the last year, and the limited gender diversity in the classroom. We also see the expected trend of huge growth in AI, both in"&amp;" terms of interest in the field as well as in performance metrics.")</f>
        <v>Lots of data about AI. The report highlights how AI is global, the particular improvement in natural language understanding over the last year, and the limited gender diversity in the classroom. We also see the expected trend of huge growth in AI, both in terms of interest in the field as well as in performance metrics.</v>
      </c>
    </row>
    <row r="183">
      <c r="A183" s="1" t="str">
        <f>IFERROR(__xludf.DUMMYFUNCTION("""COMPUTED_VALUE"""),"AI governance")</f>
        <v>AI governance</v>
      </c>
      <c r="B183" s="1" t="str">
        <f>IFERROR(__xludf.DUMMYFUNCTION("""COMPUTED_VALUE"""),"")</f>
        <v/>
      </c>
      <c r="C183" s="2" t="str">
        <f>IFERROR(__xludf.DUMMYFUNCTION("""COMPUTED_VALUE"""),"AI Now 2018 Report")</f>
        <v>AI Now 2018 Report</v>
      </c>
      <c r="D183" s="1" t="str">
        <f>IFERROR(__xludf.DUMMYFUNCTION("""COMPUTED_VALUE"""),"Meredith Whittaker, Kate Crawford, Roel Dobbe, Genevieve Fried, Elizabeth Kaziunas, Varoon Mathur, Sarah Myers West, Rashida Richardson, Jason Schultz, Oscar Schwartz")</f>
        <v>Meredith Whittaker, Kate Crawford, Roel Dobbe, Genevieve Fried, Elizabeth Kaziunas, Varoon Mathur, Sarah Myers West, Rashida Richardson, Jason Schultz, Oscar Schwartz</v>
      </c>
      <c r="E183" s="1" t="str">
        <f>IFERROR(__xludf.DUMMYFUNCTION("""COMPUTED_VALUE"""),"AI Now website")</f>
        <v>AI Now website</v>
      </c>
      <c r="F183" s="1">
        <f>IFERROR(__xludf.DUMMYFUNCTION("""COMPUTED_VALUE"""),2018.0)</f>
        <v>2018</v>
      </c>
      <c r="G183" s="1"/>
      <c r="H183" s="2" t="str">
        <f>IFERROR(__xludf.DUMMYFUNCTION("""COMPUTED_VALUE"""),"AN #39")</f>
        <v>AN #39</v>
      </c>
      <c r="I183" s="1" t="str">
        <f>IFERROR(__xludf.DUMMYFUNCTION("""COMPUTED_VALUE"""),"Rohin")</f>
        <v>Rohin</v>
      </c>
      <c r="J183" s="1" t="str">
        <f>IFERROR(__xludf.DUMMYFUNCTION("""COMPUTED_VALUE"""),"See [Import AI](https://jack-clark.net/2018/12/31/import-ai-127-why-language-ai-advancements-may-make-google-more-competitive-coco-image-captioning-systems-dont-live-up-to-the-hype-and-amazon-sees-3x-growth-in-voice-shopping-via-alexa/)")</f>
        <v>See [Import AI](https://jack-clark.net/2018/12/31/import-ai-127-why-language-ai-advancements-may-make-google-more-competitive-coco-image-captioning-systems-dont-live-up-to-the-hype-and-amazon-sees-3x-growth-in-voice-shopping-via-alexa/)</v>
      </c>
    </row>
    <row r="184">
      <c r="A184" s="1" t="str">
        <f>IFERROR(__xludf.DUMMYFUNCTION("""COMPUTED_VALUE"""),"AI governance")</f>
        <v>AI governance</v>
      </c>
      <c r="B184" s="1" t="str">
        <f>IFERROR(__xludf.DUMMYFUNCTION("""COMPUTED_VALUE"""),"")</f>
        <v/>
      </c>
      <c r="C184" s="2" t="str">
        <f>IFERROR(__xludf.DUMMYFUNCTION("""COMPUTED_VALUE"""),"MIRI 2018 Update: Our New Research Directions")</f>
        <v>MIRI 2018 Update: Our New Research Directions</v>
      </c>
      <c r="D184" s="1" t="str">
        <f>IFERROR(__xludf.DUMMYFUNCTION("""COMPUTED_VALUE"""),"Nate Soares")</f>
        <v>Nate Soares</v>
      </c>
      <c r="E184" s="1" t="str">
        <f>IFERROR(__xludf.DUMMYFUNCTION("""COMPUTED_VALUE"""),"MIRI website")</f>
        <v>MIRI website</v>
      </c>
      <c r="F184" s="1">
        <f>IFERROR(__xludf.DUMMYFUNCTION("""COMPUTED_VALUE"""),2018.0)</f>
        <v>2018</v>
      </c>
      <c r="G184" s="1"/>
      <c r="H184" s="2" t="str">
        <f>IFERROR(__xludf.DUMMYFUNCTION("""COMPUTED_VALUE"""),"AN #34")</f>
        <v>AN #34</v>
      </c>
      <c r="I184" s="1" t="str">
        <f>IFERROR(__xludf.DUMMYFUNCTION("""COMPUTED_VALUE"""),"Rohin")</f>
        <v>Rohin</v>
      </c>
      <c r="J184" s="1" t="str">
        <f>IFERROR(__xludf.DUMMYFUNCTION("""COMPUTED_VALUE"""),"This post gives a high-level overview of the new research directions that MIRI is pursuing with the goal of deconfusion, a discussion of why deconfusion is so important to them, an explanation of why MIRI is now planning to leave research unpublished by d"&amp;"efault, and a case for software engineers to join their team.")</f>
        <v>This post gives a high-level overview of the new research directions that MIRI is pursuing with the goal of deconfusion, a discussion of why deconfusion is so important to them, an explanation of why MIRI is now planning to leave research unpublished by default, and a case for software engineers to join their team.</v>
      </c>
      <c r="K184" t="str">
        <f>IFERROR(__xludf.DUMMYFUNCTION("""COMPUTED_VALUE"""),"There aren't enough details on the technical research for me to say anything useful about it. I'm broadly in support of deconfusion but am either less optimistic on the tractability of deconfusion, or more optimistic on the possibility of success with our"&amp;" current notions (probably both). Keeping research unpublished-by-default seems reasonable to me given the MIRI viewpoint for the reasons they talk about, though I haven't thought about it much. See also [Import AI](https://jack-clark.net/2018/11/26/impor"&amp;"t-ai-122-google-obtains-new-imagenet-state-of-the-art-with-gpipe-drone-learns-to-land-more-effectively-than-pd-controller-policy-and-facebook-releases-its-cherrypi-starcraft-bot/).")</f>
        <v>There aren't enough details on the technical research for me to say anything useful about it. I'm broadly in support of deconfusion but am either less optimistic on the tractability of deconfusion, or more optimistic on the possibility of success with our current notions (probably both). Keeping research unpublished-by-default seems reasonable to me given the MIRI viewpoint for the reasons they talk about, though I haven't thought about it much. See also [Import AI](https://jack-clark.net/2018/11/26/import-ai-122-google-obtains-new-imagenet-state-of-the-art-with-gpipe-drone-learns-to-land-more-effectively-than-pd-controller-policy-and-facebook-releases-its-cherrypi-starcraft-bot/).</v>
      </c>
    </row>
    <row r="185">
      <c r="A185" s="1" t="str">
        <f>IFERROR(__xludf.DUMMYFUNCTION("""COMPUTED_VALUE"""),"AI governance")</f>
        <v>AI governance</v>
      </c>
      <c r="B185" s="1" t="str">
        <f>IFERROR(__xludf.DUMMYFUNCTION("""COMPUTED_VALUE"""),"")</f>
        <v/>
      </c>
      <c r="C185" s="2" t="str">
        <f>IFERROR(__xludf.DUMMYFUNCTION("""COMPUTED_VALUE"""),"AI development incentive gradients are not uniformly terrible")</f>
        <v>AI development incentive gradients are not uniformly terrible</v>
      </c>
      <c r="D185" s="1" t="str">
        <f>IFERROR(__xludf.DUMMYFUNCTION("""COMPUTED_VALUE"""),"rk")</f>
        <v>rk</v>
      </c>
      <c r="E185" s="1" t="str">
        <f>IFERROR(__xludf.DUMMYFUNCTION("""COMPUTED_VALUE"""),"LessWrong")</f>
        <v>LessWrong</v>
      </c>
      <c r="F185" s="1">
        <f>IFERROR(__xludf.DUMMYFUNCTION("""COMPUTED_VALUE"""),2018.0)</f>
        <v>2018</v>
      </c>
      <c r="G185" s="1"/>
      <c r="H185" s="2" t="str">
        <f>IFERROR(__xludf.DUMMYFUNCTION("""COMPUTED_VALUE"""),"AN #33")</f>
        <v>AN #33</v>
      </c>
      <c r="I185" s="1" t="str">
        <f>IFERROR(__xludf.DUMMYFUNCTION("""COMPUTED_VALUE"""),"Rohin")</f>
        <v>Rohin</v>
      </c>
      <c r="J185" s="1" t="str">
        <f>IFERROR(__xludf.DUMMYFUNCTION("""COMPUTED_VALUE"""),"This post considers a model of AI development somewhat similar to the one in [Racing to the precipice](https://www.fhi.ox.ac.uk/wp-content/uploads/Racing-to-the-precipice-a-model-of-artificial-intelligence-development.pdf) paper. It notes that under this "&amp;"model, assuming perfect information, the utility curves for each player are _discontinuous_. Specifically, the models predict deterministically that the player that spent the most on something (typically AI capabilities) is the one that ""wins"" the race "&amp;"(i.e. builds AGI), and so there is a discontinuity at the point where the players are spending equal amounts of money. This results in players fighting as hard as possible to be on the right side of the discontinuity, which suggests that they will skimp o"&amp;"n safety. However, in practice, there will be some uncertainty about which player wins, even if you know exactly how much each is spending, and this removes the discontinuity. The resulting model predicts more investment in safety, since buying expected u"&amp;"tility through safety now looks better than increasing the probability of winning the race (whereas before, it was compared against changing from definitely losing the race to definitely winning the race).")</f>
        <v>This post considers a model of AI development somewhat similar to the one in [Racing to the precipice](https://www.fhi.ox.ac.uk/wp-content/uploads/Racing-to-the-precipice-a-model-of-artificial-intelligence-development.pdf) paper. It notes that under this model, assuming perfect information, the utility curves for each player are _discontinuous_. Specifically, the models predict deterministically that the player that spent the most on something (typically AI capabilities) is the one that "wins" the race (i.e. builds AGI), and so there is a discontinuity at the point where the players are spending equal amounts of money. This results in players fighting as hard as possible to be on the right side of the discontinuity, which suggests that they will skimp on safety. However, in practice, there will be some uncertainty about which player wins, even if you know exactly how much each is spending, and this removes the discontinuity. The resulting model predicts more investment in safety, since buying expected utility through safety now looks better than increasing the probability of winning the race (whereas before, it was compared against changing from definitely losing the race to definitely winning the race).</v>
      </c>
      <c r="K185" t="str">
        <f>IFERROR(__xludf.DUMMYFUNCTION("""COMPUTED_VALUE"""),"The model in [Racing to the precipice](https://www.fhi.ox.ac.uk/wp-content/uploads/Racing-to-the-precipice-a-model-of-artificial-intelligence-development.pdf) had the unintuitive conclusion that if teams have _more_ information (i.e. they know their own o"&amp;"r other’s capabilities), then we become _less_ safe, which puzzled me for a while. Their explanation is that with maximal information, the top team takes as much risk as necessary in order to guarantee that they beat the second team, which can be quite a "&amp;"lot of risk if the two teams are close. While this is true, the explanation from this post is more satisfying -- since the model has a discontinuity that rewards taking on risk, anything that removes the discontinuity and makes it more continuous will lik"&amp;"ely improve the prospects for safety, such as not having full information. I claim that in reality these discontinuities mostly don't exist, since (1) we're uncertain about who will win and (2) we will probably have a multipolar scenario where even if you"&amp;" aren't first-to-market you can still capture a lot of value. This suggests that it likely isn't a problem for teams to have more information about each other on the margin.
That said, these models are still very simplistic, and I mainly try to derive qu"&amp;"alitative conclusions from them that my intuition agrees with in hindsight.")</f>
        <v>The model in [Racing to the precipice](https://www.fhi.ox.ac.uk/wp-content/uploads/Racing-to-the-precipice-a-model-of-artificial-intelligence-development.pdf) had the unintuitive conclusion that if teams have _more_ information (i.e. they know their own or other’s capabilities), then we become _less_ safe, which puzzled me for a while. Their explanation is that with maximal information, the top team takes as much risk as necessary in order to guarantee that they beat the second team, which can be quite a lot of risk if the two teams are close. While this is true, the explanation from this post is more satisfying -- since the model has a discontinuity that rewards taking on risk, anything that removes the discontinuity and makes it more continuous will likely improve the prospects for safety, such as not having full information. I claim that in reality these discontinuities mostly don't exist, since (1) we're uncertain about who will win and (2) we will probably have a multipolar scenario where even if you aren't first-to-market you can still capture a lot of value. This suggests that it likely isn't a problem for teams to have more information about each other on the margin.
That said, these models are still very simplistic, and I mainly try to derive qualitative conclusions from them that my intuition agrees with in hindsight.</v>
      </c>
      <c r="L185" s="3" t="str">
        <f>IFERROR(__xludf.DUMMYFUNCTION("""COMPUTED_VALUE"""),"Racing to the precipice: a model of artificial intelligence development")</f>
        <v>Racing to the precipice: a model of artificial intelligence development</v>
      </c>
    </row>
    <row r="186">
      <c r="A186" s="1" t="str">
        <f>IFERROR(__xludf.DUMMYFUNCTION("""COMPUTED_VALUE"""),"AI governance")</f>
        <v>AI governance</v>
      </c>
      <c r="B186" s="1" t="str">
        <f>IFERROR(__xludf.DUMMYFUNCTION("""COMPUTED_VALUE"""),"")</f>
        <v/>
      </c>
      <c r="C186" s="2" t="str">
        <f>IFERROR(__xludf.DUMMYFUNCTION("""COMPUTED_VALUE"""),"The Vulnerable World Hypothesis")</f>
        <v>The Vulnerable World Hypothesis</v>
      </c>
      <c r="D186" s="1" t="str">
        <f>IFERROR(__xludf.DUMMYFUNCTION("""COMPUTED_VALUE"""),"Nick Bostrom")</f>
        <v>Nick Bostrom</v>
      </c>
      <c r="E186" s="1" t="str">
        <f>IFERROR(__xludf.DUMMYFUNCTION("""COMPUTED_VALUE"""),"Nick Bostrom's website")</f>
        <v>Nick Bostrom's website</v>
      </c>
      <c r="F186" s="1">
        <f>IFERROR(__xludf.DUMMYFUNCTION("""COMPUTED_VALUE"""),2018.0)</f>
        <v>2018</v>
      </c>
      <c r="G186" s="1"/>
      <c r="H186" s="2" t="str">
        <f>IFERROR(__xludf.DUMMYFUNCTION("""COMPUTED_VALUE"""),"AN #32")</f>
        <v>AN #32</v>
      </c>
      <c r="I186" s="1" t="str">
        <f>IFERROR(__xludf.DUMMYFUNCTION("""COMPUTED_VALUE"""),"Richard")</f>
        <v>Richard</v>
      </c>
      <c r="J186" s="1" t="str">
        <f>IFERROR(__xludf.DUMMYFUNCTION("""COMPUTED_VALUE"""),"Bostrom considers the possibility ""that there is some level of technology at which civilization almost certainly gets destroyed unless quite extraordinary and historically unprecedented degrees of preventive policing and/or global governance are implemen"&amp;"ted."" We were lucky, for example, that starting a nuclear chain reaction required difficult-to-obtain plutonium or uranium, instead of easily-available materials. In the latter case, our civilisation would probably have fallen apart, because it was (and "&amp;"still is) in the ""semi-anarchic default condition"": we have limited capacity for preventative policing or global governence, and people have a diverse range of motivations, many selfish and some destructive. Bostrom identifies four types of vulnerabilit"&amp;"y which vary by how easily and widely the dangerous technology can be produced, how predictable its effects are, and how strong the incentives to use it are. He also idenitifies four possible ways of stabilising the situation: restrict technological devel"&amp;"opment, influence people's motivations, establish effective preventative policing, and establish effective global governance. He argues that the latter two are more promising in this context, although they increase the risks of totalitarianism. Note that "&amp;"Bostrom doesn't take a strong stance on whether the vulnerable world hypothesis is true, although he claims that it's unjustifiable to have high credence in its falsity.")</f>
        <v>Bostrom considers the possibility "that there is some level of technology at which civilization almost certainly gets destroyed unless quite extraordinary and historically unprecedented degrees of preventive policing and/or global governance are implemented." We were lucky, for example, that starting a nuclear chain reaction required difficult-to-obtain plutonium or uranium, instead of easily-available materials. In the latter case, our civilisation would probably have fallen apart, because it was (and still is) in the "semi-anarchic default condition": we have limited capacity for preventative policing or global governence, and people have a diverse range of motivations, many selfish and some destructive. Bostrom identifies four types of vulnerability which vary by how easily and widely the dangerous technology can be produced, how predictable its effects are, and how strong the incentives to use it are. He also idenitifies four possible ways of stabilising the situation: restrict technological development, influence people's motivations, establish effective preventative policing, and establish effective global governance. He argues that the latter two are more promising in this context, although they increase the risks of totalitarianism. Note that Bostrom doesn't take a strong stance on whether the vulnerable world hypothesis is true, although he claims that it's unjustifiable to have high credence in its falsity.</v>
      </c>
      <c r="K186" t="str">
        <f>IFERROR(__xludf.DUMMYFUNCTION("""COMPUTED_VALUE"""),"This is an important paper which I hope will lead to much more analysis of these questions.")</f>
        <v>This is an important paper which I hope will lead to much more analysis of these questions.</v>
      </c>
    </row>
    <row r="187">
      <c r="A187" s="1" t="str">
        <f>IFERROR(__xludf.DUMMYFUNCTION("""COMPUTED_VALUE"""),"AI governance")</f>
        <v>AI governance</v>
      </c>
      <c r="B187" s="1" t="str">
        <f>IFERROR(__xludf.DUMMYFUNCTION("""COMPUTED_VALUE"""),"")</f>
        <v/>
      </c>
      <c r="C187" s="2" t="str">
        <f>IFERROR(__xludf.DUMMYFUNCTION("""COMPUTED_VALUE"""),"The Future of Surveillance")</f>
        <v>The Future of Surveillance</v>
      </c>
      <c r="D187" s="1" t="str">
        <f>IFERROR(__xludf.DUMMYFUNCTION("""COMPUTED_VALUE"""),"Ben Garfinkel")</f>
        <v>Ben Garfinkel</v>
      </c>
      <c r="E187" s="1" t="str">
        <f>IFERROR(__xludf.DUMMYFUNCTION("""COMPUTED_VALUE"""),"EA Global 2018")</f>
        <v>EA Global 2018</v>
      </c>
      <c r="F187" s="1">
        <f>IFERROR(__xludf.DUMMYFUNCTION("""COMPUTED_VALUE"""),2018.0)</f>
        <v>2018</v>
      </c>
      <c r="G187" s="1"/>
      <c r="H187" s="2" t="str">
        <f>IFERROR(__xludf.DUMMYFUNCTION("""COMPUTED_VALUE"""),"AN #28")</f>
        <v>AN #28</v>
      </c>
      <c r="I187" s="1" t="str">
        <f>IFERROR(__xludf.DUMMYFUNCTION("""COMPUTED_VALUE"""),"Rohin")</f>
        <v>Rohin</v>
      </c>
      <c r="J187" s="1" t="str">
        <f>IFERROR(__xludf.DUMMYFUNCTION("""COMPUTED_VALUE"""),"While we often think of there being a privacy-security tradeoff and an accountability-security tradeoff with surveillance, advances in AI and cryptography can make advances on the Pareto frontier. For example, automated systems could surveil many people b"&amp;"ut only report a few suspicious cases to humans, or they could be used to redact sensitive information (eg. by blurring faces), both of which improve privacy and security significantly compared to the status quo. Similarly, automated ML systems can be app"&amp;"lied consistently to every person, can enable collection of good statistics (eg. false positive rates), and are more interpretable than a human making a judgment call, all of which improve accountability.")</f>
        <v>While we often think of there being a privacy-security tradeoff and an accountability-security tradeoff with surveillance, advances in AI and cryptography can make advances on the Pareto frontier. For example, automated systems could surveil many people but only report a few suspicious cases to humans, or they could be used to redact sensitive information (eg. by blurring faces), both of which improve privacy and security significantly compared to the status quo. Similarly, automated ML systems can be applied consistently to every person, can enable collection of good statistics (eg. false positive rates), and are more interpretable than a human making a judgment call, all of which improve accountability.</v>
      </c>
    </row>
    <row r="188">
      <c r="A188" s="1" t="str">
        <f>IFERROR(__xludf.DUMMYFUNCTION("""COMPUTED_VALUE"""),"AI governance")</f>
        <v>AI governance</v>
      </c>
      <c r="B188" s="1" t="str">
        <f>IFERROR(__xludf.DUMMYFUNCTION("""COMPUTED_VALUE"""),"")</f>
        <v/>
      </c>
      <c r="C188" s="2" t="str">
        <f>IFERROR(__xludf.DUMMYFUNCTION("""COMPUTED_VALUE"""),"Truthful AI: Developing and governing AI that does not lie")</f>
        <v>Truthful AI: Developing and governing AI that does not lie</v>
      </c>
      <c r="D188" s="1" t="str">
        <f>IFERROR(__xludf.DUMMYFUNCTION("""COMPUTED_VALUE"""),"Owain Evans*, Owen Cotton-Barratt*, Lukas Finnveden, Adam Bales, Avital Balwit, Peter Wills, Luca Righetti, William Saunders")</f>
        <v>Owain Evans*, Owen Cotton-Barratt*, Lukas Finnveden, Adam Bales, Avital Balwit, Peter Wills, Luca Righetti, William Saunders</v>
      </c>
      <c r="E188" s="1" t="str">
        <f>IFERROR(__xludf.DUMMYFUNCTION("""COMPUTED_VALUE"""),"arXiv")</f>
        <v>arXiv</v>
      </c>
      <c r="F188" s="1">
        <f>IFERROR(__xludf.DUMMYFUNCTION("""COMPUTED_VALUE"""),2021.0)</f>
        <v>2021</v>
      </c>
      <c r="G188" s="1"/>
      <c r="H188" s="2" t="str">
        <f>IFERROR(__xludf.DUMMYFUNCTION("""COMPUTED_VALUE"""),"AN #168")</f>
        <v>AN #168</v>
      </c>
      <c r="I188" s="1" t="str">
        <f>IFERROR(__xludf.DUMMYFUNCTION("""COMPUTED_VALUE"""),"Rohin")</f>
        <v>Rohin</v>
      </c>
      <c r="J188" s="1" t="str">
        <f>IFERROR(__xludf.DUMMYFUNCTION("""COMPUTED_VALUE"""),"This paper argues that we should develop both the technical capabilities and the governance mechanisms necessary to ensure that AI systems can be made _truthful_. We will primarily think about conversational AI systems here (so not, say, AlphaFold).
Some"&amp;" key terms:
1. An AI system is **honest** if it only makes statements that it actually believes. (This requires you to have some way of ascribing beliefs to the system.) In contrast, **truthfulness** only checks if statements correspond to reality, withou"&amp;"t making any claims about the AI system’s beliefs.
2. An AI system is **broadly truthful** if it doesn’t lie, volunteers all the relevant information it knows, is well-calibrated and knows the limits of its information, etc.
3. An AI system is **narrowly "&amp;"truthful** if it avoids making **negligent suspected-falsehoods**. These are statements that can feasibly be determined by the AI system to be unacceptably likely to be false. Importantly, a narrowly truthful AI is not required to make contentful statemen"&amp;"ts, it can express uncertainty or refuse to answer.
This paper argues for narrow truthfulness as the appropriate standard. Broad truthfulness is not very precisely defined, making it challenging to coordinate on.  Honesty does not give us the guarantees "&amp;"we want: in settings in which it is advantageous to say false things, AI systems might end up being honest but **deluded**. They would honestly report their beliefs, but those beliefs might be false.
Narrow truthfulness is still a much stronger standard "&amp;"than we impose upon humans. This is desirable because (1) AI systems need not be constrained by social norms the way humans are; consequently they need stronger standards, and (2) it may be less costly to enforce that AI systems are narrowly truthful than"&amp;" to enforce that humans are narrowly truthful, so a higher standard is more feasible.
Evaluating the (narrow) truthfulness of a model is non-trivial. There are two parts: first, determining whether a given statement is unacceptably likely to be false, an"&amp;"d second, determining whether the model was negligent in uttering such a statement. The former could be done by having human processes that study a wide range of information and determine whether a given statement is unacceptably likely to be false. In ad"&amp;"dition to all of the usual concerns about the challenges of evaluating a model that might know more than you, there is also the challenge that it is not clear exactly what counts as “unacceptably likely to be false”. For example, if a model utters a false"&amp;" statement but expresses low confidence, how should that be rated? The second part, determining negligence, needs to account for the fact that the AI system might not have had all the necessary information, or that it might not have been capable enough to"&amp;" come to the correct conclusion. One way of handling this is to compare the AI system to other AI systems built in a similar fashion.
How might narrow truthfulness be useful? One nice thing it enables is **truthfulness amplification**, in which we can am"&amp;"plify properties of a model by asking a web of related questions and combining the answers appropriately. For example, if we are concerned that the AI system is deceiving us on just this question, we could ask it whether it is deceiving us, or whether an "&amp;"investigation into its statement would conclude that it was deceptive. As another example, if we are worried that the AI system is making a mistake on some question where its statement isn’t _obviously_ false, we can ask it about its evidence for its posi"&amp;"tion and how strong the evidence is (where false statements are more likely to be negligently false).
Section 3 is devoted to the potential benefits and costs if we successfully ensure that AI systems are narrowly truthful, with the conclusion that the c"&amp;"osts are small relative to the benefits and can be partially mitigated. Section 6 discusses other potential benefits and costs if we attempt to create truthfulness standards to ensure the AI systems are narrowly truthful. (For example, we might try to cre"&amp;"ate a truthfulness standard but instead create an institution that makes sure that AI systems follow a particular agenda (by only rating as true the statements that are consistent with that agenda). Section 4 talks about the governance mechanisms we might"&amp;" use to implement a truthfulness standard. Section 5 describes potential approaches for building truthful AI systems. As I mentioned in the highlighted post, these techniques are general alignment techniques that have been specialized for truthful AI.")</f>
        <v>This paper argues that we should develop both the technical capabilities and the governance mechanisms necessary to ensure that AI systems can be made _truthful_. We will primarily think about conversational AI systems here (so not, say, AlphaFold).
Some key terms:
1. An AI system is **honest** if it only makes statements that it actually believes. (This requires you to have some way of ascribing beliefs to the system.) In contrast, **truthfulness** only checks if statements correspond to reality, without making any claims about the AI system’s beliefs.
2. An AI system is **broadly truthful** if it doesn’t lie, volunteers all the relevant information it knows, is well-calibrated and knows the limits of its information, etc.
3. An AI system is **narrowly truthful** if it avoids making **negligent suspected-falsehoods**. These are statements that can feasibly be determined by the AI system to be unacceptably likely to be false. Importantly, a narrowly truthful AI is not required to make contentful statements, it can express uncertainty or refuse to answer.
This paper argues for narrow truthfulness as the appropriate standard. Broad truthfulness is not very precisely defined, making it challenging to coordinate on.  Honesty does not give us the guarantees we want: in settings in which it is advantageous to say false things, AI systems might end up being honest but **deluded**. They would honestly report their beliefs, but those beliefs might be false.
Narrow truthfulness is still a much stronger standard than we impose upon humans. This is desirable because (1) AI systems need not be constrained by social norms the way humans are; consequently they need stronger standards, and (2) it may be less costly to enforce that AI systems are narrowly truthful than to enforce that humans are narrowly truthful, so a higher standard is more feasible.
Evaluating the (narrow) truthfulness of a model is non-trivial. There are two parts: first, determining whether a given statement is unacceptably likely to be false, and second, determining whether the model was negligent in uttering such a statement. The former could be done by having human processes that study a wide range of information and determine whether a given statement is unacceptably likely to be false. In addition to all of the usual concerns about the challenges of evaluating a model that might know more than you, there is also the challenge that it is not clear exactly what counts as “unacceptably likely to be false”. For example, if a model utters a false statement but expresses low confidence, how should that be rated? The second part, determining negligence, needs to account for the fact that the AI system might not have had all the necessary information, or that it might not have been capable enough to come to the correct conclusion. One way of handling this is to compare the AI system to other AI systems built in a similar fashion.
How might narrow truthfulness be useful? One nice thing it enables is **truthfulness amplification**, in which we can amplify properties of a model by asking a web of related questions and combining the answers appropriately. For example, if we are concerned that the AI system is deceiving us on just this question, we could ask it whether it is deceiving us, or whether an investigation into its statement would conclude that it was deceptive. As another example, if we are worried that the AI system is making a mistake on some question where its statement isn’t _obviously_ false, we can ask it about its evidence for its position and how strong the evidence is (where false statements are more likely to be negligently false).
Section 3 is devoted to the potential benefits and costs if we successfully ensure that AI systems are narrowly truthful, with the conclusion that the costs are small relative to the benefits and can be partially mitigated. Section 6 discusses other potential benefits and costs if we attempt to create truthfulness standards to ensure the AI systems are narrowly truthful. (For example, we might try to create a truthfulness standard but instead create an institution that makes sure that AI systems follow a particular agenda (by only rating as true the statements that are consistent with that agenda). Section 4 talks about the governance mechanisms we might use to implement a truthfulness standard. Section 5 describes potential approaches for building truthful AI systems. As I mentioned in the highlighted post, these techniques are general alignment techniques that have been specialized for truthful AI.</v>
      </c>
    </row>
    <row r="189">
      <c r="A189" s="1" t="str">
        <f>IFERROR(__xludf.DUMMYFUNCTION("""COMPUTED_VALUE"""),"AI governance")</f>
        <v>AI governance</v>
      </c>
      <c r="B189" s="1" t="str">
        <f>IFERROR(__xludf.DUMMYFUNCTION("""COMPUTED_VALUE"""),"")</f>
        <v/>
      </c>
      <c r="C189" s="2" t="str">
        <f>IFERROR(__xludf.DUMMYFUNCTION("""COMPUTED_VALUE"""),"Decoupling deliberation from competition")</f>
        <v>Decoupling deliberation from competition</v>
      </c>
      <c r="D189" s="1" t="str">
        <f>IFERROR(__xludf.DUMMYFUNCTION("""COMPUTED_VALUE"""),"Paul Christiano")</f>
        <v>Paul Christiano</v>
      </c>
      <c r="E189" s="1" t="str">
        <f>IFERROR(__xludf.DUMMYFUNCTION("""COMPUTED_VALUE"""),"Alignment Forum")</f>
        <v>Alignment Forum</v>
      </c>
      <c r="F189" s="1">
        <f>IFERROR(__xludf.DUMMYFUNCTION("""COMPUTED_VALUE"""),2021.0)</f>
        <v>2021</v>
      </c>
      <c r="G189" s="1"/>
      <c r="H189" s="2" t="str">
        <f>IFERROR(__xludf.DUMMYFUNCTION("""COMPUTED_VALUE"""),"AN #158")</f>
        <v>AN #158</v>
      </c>
      <c r="I189" s="1" t="str">
        <f>IFERROR(__xludf.DUMMYFUNCTION("""COMPUTED_VALUE"""),"Rohin")</f>
        <v>Rohin</v>
      </c>
      <c r="J189" s="1" t="str">
        <f>IFERROR(__xludf.DUMMYFUNCTION("""COMPUTED_VALUE"""),"Under a [longtermist](https://forum.effectivealtruism.org/tag/longtermism) lens, one problem to worry about is that even after building AI systems, humans will spend more time competing with each other rather than figuring out what they want, which may th"&amp;"en lead to their values changing in an undesirable way. For example, we may have powerful persuasion technology that everyone uses to persuade people to their line of thinking; it seems bad if humanity’s values are determined by a mix of effective persuas"&amp;"ion tools, especially if persuasion significantly diverges from truth-seeking.
One solution to this is to coordinate to _pause_ competition while we deliberate on what we want. However, this seems rather hard to implement. Instead, we can at least try to"&amp;" _decouple_ competition from deliberation, by having AI systems acquire &lt;@flexible influence@&gt;(@The strategy-stealing assumption@) on our behalf (competition), and having humans separately thinking about what they want (deliberation). As long as the AI sy"&amp;"stems are competent enough to shield the humans from the competition, the results of the deliberation shouldn’t depend too much on competition, thus achieving the desired decoupling.
The post has a bunch of additional concrete details on what could go wr"&amp;"ong with such a plan that I won’t get into here.")</f>
        <v>Under a [longtermist](https://forum.effectivealtruism.org/tag/longtermism) lens, one problem to worry about is that even after building AI systems, humans will spend more time competing with each other rather than figuring out what they want, which may then lead to their values changing in an undesirable way. For example, we may have powerful persuasion technology that everyone uses to persuade people to their line of thinking; it seems bad if humanity’s values are determined by a mix of effective persuasion tools, especially if persuasion significantly diverges from truth-seeking.
One solution to this is to coordinate to _pause_ competition while we deliberate on what we want. However, this seems rather hard to implement. Instead, we can at least try to _decouple_ competition from deliberation, by having AI systems acquire &lt;@flexible influence@&gt;(@The strategy-stealing assumption@) on our behalf (competition), and having humans separately thinking about what they want (deliberation). As long as the AI systems are competent enough to shield the humans from the competition, the results of the deliberation shouldn’t depend too much on competition, thus achieving the desired decoupling.
The post has a bunch of additional concrete details on what could go wrong with such a plan that I won’t get into here.</v>
      </c>
    </row>
    <row r="190">
      <c r="A190" s="1" t="str">
        <f>IFERROR(__xludf.DUMMYFUNCTION("""COMPUTED_VALUE"""),"AI governance")</f>
        <v>AI governance</v>
      </c>
      <c r="B190" s="1" t="str">
        <f>IFERROR(__xludf.DUMMYFUNCTION("""COMPUTED_VALUE"""),"")</f>
        <v/>
      </c>
      <c r="C190" s="2" t="str">
        <f>IFERROR(__xludf.DUMMYFUNCTION("""COMPUTED_VALUE"""),"A personal take on longtermist AI governance")</f>
        <v>A personal take on longtermist AI governance</v>
      </c>
      <c r="D190" s="1" t="str">
        <f>IFERROR(__xludf.DUMMYFUNCTION("""COMPUTED_VALUE"""),"Luke Muehlhauser")</f>
        <v>Luke Muehlhauser</v>
      </c>
      <c r="E190" s="1" t="str">
        <f>IFERROR(__xludf.DUMMYFUNCTION("""COMPUTED_VALUE"""),"EA Forum")</f>
        <v>EA Forum</v>
      </c>
      <c r="F190" s="1">
        <f>IFERROR(__xludf.DUMMYFUNCTION("""COMPUTED_VALUE"""),2021.0)</f>
        <v>2021</v>
      </c>
      <c r="G190" s="1"/>
      <c r="H190" s="2" t="str">
        <f>IFERROR(__xludf.DUMMYFUNCTION("""COMPUTED_VALUE"""),"AN #157")</f>
        <v>AN #157</v>
      </c>
      <c r="I190" s="1" t="str">
        <f>IFERROR(__xludf.DUMMYFUNCTION("""COMPUTED_VALUE"""),"Rohin")</f>
        <v>Rohin</v>
      </c>
      <c r="J190" s="1" t="str">
        <f>IFERROR(__xludf.DUMMYFUNCTION("""COMPUTED_VALUE"""),"We’ve &lt;@previously seen@&gt;(@Our AI governance grantmaking so far@) that Open Philanthropy struggles to find intermediate goals in AI governance that seem robustly good to pursue from a longtermist perspective. (If you aren’t familiar with longtermism, you "&amp;"probably want to skip to the next summary.) In this personal post, the author suggests that there are three key bottlenecks driving this:
1. There are very few longtermists in the world; those that do exist often don’t have the specific interests, skills"&amp;", and experience needed for AI governance work. We could try to get others to work on relevant problems, but:
2. We don’t have the strategic clarity and forecasting ability to know which intermediate goals are important (or even net positive). Maybe we co"&amp;"uld get people to help us figure out the strategic picture? Unfortunately:
3. It's difficult to define and scope research projects that can help clarify which intermediate goals are worth pursuing when done by people who are not themselves thinking about "&amp;"the issues from a longtermist perspective.
Given these bottlenecks, the author offers the following career advice for those who hope to do work from a longtermist perspective in AI governance:
1. Career decisions should be especially influenced by the v"&amp;"alue of experimentation, learning, [aptitude development](https://forum.effectivealtruism.org/posts/bud2ssJLQ33pSemKH/my-current-impressions-on-career-choice-for-longtermists), and career capital.
2. Prioritize future impact, for example by building crede"&amp;"ntials to influence a 1-20 year “crunch time” period. (But make sure to keep studying and thinking about how to create that future impact.)
3. Work on building the field, especially with an eye to reducing bottleneck #1. (See e.g. [here](https://forum.eff"&amp;"ectivealtruism.org/posts/EEtTQkFKRwLniXkQm/open-philanthropy-is-seeking-proposals-for-outreach-projects).)
4. Try to reduce bottleneck #2 by doing research that increases strategic clarity, though note that many people have tried this and it doesn’t seem "&amp;"like the situation has improved very much.")</f>
        <v>We’ve &lt;@previously seen@&gt;(@Our AI governance grantmaking so far@) that Open Philanthropy struggles to find intermediate goals in AI governance that seem robustly good to pursue from a longtermist perspective. (If you aren’t familiar with longtermism, you probably want to skip to the next summary.) In this personal post, the author suggests that there are three key bottlenecks driving this:
1. There are very few longtermists in the world; those that do exist often don’t have the specific interests, skills, and experience needed for AI governance work. We could try to get others to work on relevant problems, but:
2. We don’t have the strategic clarity and forecasting ability to know which intermediate goals are important (or even net positive). Maybe we could get people to help us figure out the strategic picture? Unfortunately:
3. It's difficult to define and scope research projects that can help clarify which intermediate goals are worth pursuing when done by people who are not themselves thinking about the issues from a longtermist perspective.
Given these bottlenecks, the author offers the following career advice for those who hope to do work from a longtermist perspective in AI governance:
1. Career decisions should be especially influenced by the value of experimentation, learning, [aptitude development](https://forum.effectivealtruism.org/posts/bud2ssJLQ33pSemKH/my-current-impressions-on-career-choice-for-longtermists), and career capital.
2. Prioritize future impact, for example by building credentials to influence a 1-20 year “crunch time” period. (But make sure to keep studying and thinking about how to create that future impact.)
3. Work on building the field, especially with an eye to reducing bottleneck #1. (See e.g. [here](https://forum.effectivealtruism.org/posts/EEtTQkFKRwLniXkQm/open-philanthropy-is-seeking-proposals-for-outreach-projects).)
4. Try to reduce bottleneck #2 by doing research that increases strategic clarity, though note that many people have tried this and it doesn’t seem like the situation has improved very much.</v>
      </c>
    </row>
    <row r="191">
      <c r="A191" s="1" t="str">
        <f>IFERROR(__xludf.DUMMYFUNCTION("""COMPUTED_VALUE"""),"AI governance")</f>
        <v>AI governance</v>
      </c>
      <c r="B191" s="1" t="str">
        <f>IFERROR(__xludf.DUMMYFUNCTION("""COMPUTED_VALUE"""),"")</f>
        <v/>
      </c>
      <c r="C191" s="2" t="str">
        <f>IFERROR(__xludf.DUMMYFUNCTION("""COMPUTED_VALUE"""),"Corporate Governance of Artificial Intelligence in the Public Interest")</f>
        <v>Corporate Governance of Artificial Intelligence in the Public Interest</v>
      </c>
      <c r="D191" s="1" t="str">
        <f>IFERROR(__xludf.DUMMYFUNCTION("""COMPUTED_VALUE"""),"Peter Cihon, Jonas Schuett, Seth D. Baum")</f>
        <v>Peter Cihon, Jonas Schuett, Seth D. Baum</v>
      </c>
      <c r="E191" s="1" t="str">
        <f>IFERROR(__xludf.DUMMYFUNCTION("""COMPUTED_VALUE"""),"Information")</f>
        <v>Information</v>
      </c>
      <c r="F191" s="1">
        <f>IFERROR(__xludf.DUMMYFUNCTION("""COMPUTED_VALUE"""),2021.0)</f>
        <v>2021</v>
      </c>
      <c r="G191" s="1"/>
      <c r="H191" s="2" t="str">
        <f>IFERROR(__xludf.DUMMYFUNCTION("""COMPUTED_VALUE"""),"AN #156")</f>
        <v>AN #156</v>
      </c>
      <c r="I191" s="1" t="str">
        <f>IFERROR(__xludf.DUMMYFUNCTION("""COMPUTED_VALUE"""),"Rohin")</f>
        <v>Rohin</v>
      </c>
      <c r="J191" s="1" t="str">
        <f>IFERROR(__xludf.DUMMYFUNCTION("""COMPUTED_VALUE"""),"This paper is a broad overview of corporate governance of AI, where by corporate governance we mean “anything that affects how AI is governed within corporations” (a much broader category than the governance that is done by corporations about AI). The aut"&amp;"hors identify nine primary groups of actors that can influence corporate governance and give many examples of how such actors have affected AI governance in the past. The nine groups are managers, workers, investors, corporate partners and competitors, in"&amp;"dustry consortia, nonprofit organizations, the public, the media, and governments.
Since the paper is primarily a large set of examples along with pointers to other literature on the topic, I’m not going to summarize it in more detail here, though I did "&amp;"find many of the examples interesting (and would dive into them further if time was not so scarce).")</f>
        <v>This paper is a broad overview of corporate governance of AI, where by corporate governance we mean “anything that affects how AI is governed within corporations” (a much broader category than the governance that is done by corporations about AI). The authors identify nine primary groups of actors that can influence corporate governance and give many examples of how such actors have affected AI governance in the past. The nine groups are managers, workers, investors, corporate partners and competitors, industry consortia, nonprofit organizations, the public, the media, and governments.
Since the paper is primarily a large set of examples along with pointers to other literature on the topic, I’m not going to summarize it in more detail here, though I did find many of the examples interesting (and would dive into them further if time was not so scarce).</v>
      </c>
    </row>
    <row r="192">
      <c r="A192" s="1" t="str">
        <f>IFERROR(__xludf.DUMMYFUNCTION("""COMPUTED_VALUE"""),"AI governance")</f>
        <v>AI governance</v>
      </c>
      <c r="B192" s="1" t="str">
        <f>IFERROR(__xludf.DUMMYFUNCTION("""COMPUTED_VALUE"""),"")</f>
        <v/>
      </c>
      <c r="C192" s="2" t="str">
        <f>IFERROR(__xludf.DUMMYFUNCTION("""COMPUTED_VALUE"""),"Debunking the AI Arms Race Theory")</f>
        <v>Debunking the AI Arms Race Theory</v>
      </c>
      <c r="D192" s="1" t="str">
        <f>IFERROR(__xludf.DUMMYFUNCTION("""COMPUTED_VALUE"""),"Paul Scharre")</f>
        <v>Paul Scharre</v>
      </c>
      <c r="E192" s="1" t="str">
        <f>IFERROR(__xludf.DUMMYFUNCTION("""COMPUTED_VALUE"""),"Texas National Security Review")</f>
        <v>Texas National Security Review</v>
      </c>
      <c r="F192" s="1">
        <f>IFERROR(__xludf.DUMMYFUNCTION("""COMPUTED_VALUE"""),2021.0)</f>
        <v>2021</v>
      </c>
      <c r="G192" s="1"/>
      <c r="H192" s="2" t="str">
        <f>IFERROR(__xludf.DUMMYFUNCTION("""COMPUTED_VALUE"""),"AN #155")</f>
        <v>AN #155</v>
      </c>
      <c r="I192" s="1" t="str">
        <f>IFERROR(__xludf.DUMMYFUNCTION("""COMPUTED_VALUE"""),"Sudhanshu")</f>
        <v>Sudhanshu</v>
      </c>
      <c r="J192" s="1" t="str">
        <f>IFERROR(__xludf.DUMMYFUNCTION("""COMPUTED_VALUE"""),"This article, published recently in the Texas National Security Review, argues that various national trends of military spending on AI do not meet the traditional definition of an 'arms race'. However, the current situation can be termed a _security dilem"&amp;"ma_, a ""more generalized competitive dynamic between states."" The article identifies two ways in which race-style dynamics in AI competition towards the aims of national security might create new risks: (i) a need for increasingly rapid decision-making "&amp;"might leave humans with diminished control or 'out of the loop'; and (ii) the pressure to quickly improve military AI capabilities could result in sacrificing supplementary goals like robustness and reliability, leading to unsafe systems being deployed.  "&amp;"
The article offers the following strategies as panaceas to such dynamics. Competing nations should institute strong internal processes to ensure their systems are robust and secure, and that human control can be maintained. Further, nations should encou"&amp;"rage other countries to take similar steps to mitigate these risks within their own militaries. Finally, nations should cooperate in regulating the conduct of war to avoid mutual harm. It concludes after citing several sources that advocate for the US to "&amp;"adopt these strategies.")</f>
        <v>This article, published recently in the Texas National Security Review, argues that various national trends of military spending on AI do not meet the traditional definition of an 'arms race'. However, the current situation can be termed a _security dilemma_, a "more generalized competitive dynamic between states." The article identifies two ways in which race-style dynamics in AI competition towards the aims of national security might create new risks: (i) a need for increasingly rapid decision-making might leave humans with diminished control or 'out of the loop'; and (ii) the pressure to quickly improve military AI capabilities could result in sacrificing supplementary goals like robustness and reliability, leading to unsafe systems being deployed.  
The article offers the following strategies as panaceas to such dynamics. Competing nations should institute strong internal processes to ensure their systems are robust and secure, and that human control can be maintained. Further, nations should encourage other countries to take similar steps to mitigate these risks within their own militaries. Finally, nations should cooperate in regulating the conduct of war to avoid mutual harm. It concludes after citing several sources that advocate for the US to adopt these strategies.</v>
      </c>
      <c r="K192" t="str">
        <f>IFERROR(__xludf.DUMMYFUNCTION("""COMPUTED_VALUE"""),"I think the headline was chosen by the editor and not the author: the AI arms race 'debunking' is less than a fourth of the whole article, and it's not even an important beat of the piece; instead, the article is about how use of technology/AI/deep learni"&amp;"ng for military applications in multipolar geopolitics *can actually result* in arms-race-style dynamics and tangible risks.
Even so, I'm not convinced that the traditional definition of 'arms race' isn't met. The author invokes percentage _growth_ in mi"&amp;"litary spending of more than 10% over the previous year as a qualifying criterion for an arms race, but then compares this with the actual spending of 0.7% of the US military budget on AI in 2020 to make their case that there is no arms race. These two ar"&amp;"e not comparable; at the very least, we would need to know the actual spending on AI by the military across two years to see at what rate this spending changed, and whether or not it then qualifies to be an arms race.")</f>
        <v>I think the headline was chosen by the editor and not the author: the AI arms race 'debunking' is less than a fourth of the whole article, and it's not even an important beat of the piece; instead, the article is about how use of technology/AI/deep learning for military applications in multipolar geopolitics *can actually result* in arms-race-style dynamics and tangible risks.
Even so, I'm not convinced that the traditional definition of 'arms race' isn't met. The author invokes percentage _growth_ in military spending of more than 10% over the previous year as a qualifying criterion for an arms race, but then compares this with the actual spending of 0.7% of the US military budget on AI in 2020 to make their case that there is no arms race. These two are not comparable; at the very least, we would need to know the actual spending on AI by the military across two years to see at what rate this spending changed, and whether or not it then qualifies to be an arms race.</v>
      </c>
    </row>
    <row r="193">
      <c r="A193" s="1" t="str">
        <f>IFERROR(__xludf.DUMMYFUNCTION("""COMPUTED_VALUE"""),"AI governance")</f>
        <v>AI governance</v>
      </c>
      <c r="B193" s="1" t="str">
        <f>IFERROR(__xludf.DUMMYFUNCTION("""COMPUTED_VALUE"""),"")</f>
        <v/>
      </c>
      <c r="C193" s="2" t="str">
        <f>IFERROR(__xludf.DUMMYFUNCTION("""COMPUTED_VALUE"""),"Truth, Lies, and Automation: How Language Models Could Change Disinformation")</f>
        <v>Truth, Lies, and Automation: How Language Models Could Change Disinformation</v>
      </c>
      <c r="D193" s="1" t="str">
        <f>IFERROR(__xludf.DUMMYFUNCTION("""COMPUTED_VALUE"""),"Ben Buchanan, Andrew Lohn, Micah Musser, Katerina Sedova")</f>
        <v>Ben Buchanan, Andrew Lohn, Micah Musser, Katerina Sedova</v>
      </c>
      <c r="E193" s="1" t="str">
        <f>IFERROR(__xludf.DUMMYFUNCTION("""COMPUTED_VALUE"""),"CSET Website")</f>
        <v>CSET Website</v>
      </c>
      <c r="F193" s="1">
        <f>IFERROR(__xludf.DUMMYFUNCTION("""COMPUTED_VALUE"""),2021.0)</f>
        <v>2021</v>
      </c>
      <c r="G193" s="1"/>
      <c r="H193" s="2" t="str">
        <f>IFERROR(__xludf.DUMMYFUNCTION("""COMPUTED_VALUE"""),"AN #154")</f>
        <v>AN #154</v>
      </c>
      <c r="I193" s="1" t="str">
        <f>IFERROR(__xludf.DUMMYFUNCTION("""COMPUTED_VALUE"""),"Rohin")</f>
        <v>Rohin</v>
      </c>
      <c r="J193" s="1" t="str">
        <f>IFERROR(__xludf.DUMMYFUNCTION("""COMPUTED_VALUE"""),"Ever since the publication of &lt;@GPT-2@&gt;(@Better Language Models and Their Implications@), the research community has worried about the use of such language models for disinformation campaigns. Disinformation campaigns have happened before: Russia produced"&amp;" thousands of pieces of such content leading up to the 2016 US presidential election. That campaign used large numbers of human workers. Could a future campaign become significantly more effective through the use of large language models?
This report not"&amp;"es that for this threat model, it is primarily worrying if GPT-3 can be used to enable significantly _better_ results, because the monetary cost of hiring humans is not typically a bottleneck for major actors. While GPT-3 by itself is not likely to achiev"&amp;"e this, perhaps it can serve as an effective tool for humans, such that the human-machine team can get better results than either one individually.
The authors perform several tests of their own to establish a lower bound on how well human-machine teams "&amp;"can perform currently. They investigate six types of disinformation tasks and find that either GPT-3 can do them easily, or only some human effort is needed to get results that are perceived as high quality by humans, suggesting that this could be a real "&amp;"risk. Unfortunately, it is hard to tell what aspects are _actually_ important for successful disinformation, and this was not something they could ethically check, so it is hard to draw confident conclusions from the study about whether GPT-3 would be use"&amp;"ful for disinformation campaigns in practice. (Although their one study on Mechanical Turk did find that GPT-3-generated arguments on international issues like sanctions on China were found to be persuasive and led to significant changes in the proportion"&amp;" of people with the given position.)
One particularly worrying aspect is that the authors found it easier to get GPT-3 to generate extremist content because providing an extremist headline makes it easy to “locate” the appropriate tone and style; whereas"&amp;" with a more moderate headline, GPT-3 might not correctly infer the desired tone or style because the moderate headline could be consistent with lots of tones and styles.")</f>
        <v>Ever since the publication of &lt;@GPT-2@&gt;(@Better Language Models and Their Implications@), the research community has worried about the use of such language models for disinformation campaigns. Disinformation campaigns have happened before: Russia produced thousands of pieces of such content leading up to the 2016 US presidential election. That campaign used large numbers of human workers. Could a future campaign become significantly more effective through the use of large language models?
This report notes that for this threat model, it is primarily worrying if GPT-3 can be used to enable significantly _better_ results, because the monetary cost of hiring humans is not typically a bottleneck for major actors. While GPT-3 by itself is not likely to achieve this, perhaps it can serve as an effective tool for humans, such that the human-machine team can get better results than either one individually.
The authors perform several tests of their own to establish a lower bound on how well human-machine teams can perform currently. They investigate six types of disinformation tasks and find that either GPT-3 can do them easily, or only some human effort is needed to get results that are perceived as high quality by humans, suggesting that this could be a real risk. Unfortunately, it is hard to tell what aspects are _actually_ important for successful disinformation, and this was not something they could ethically check, so it is hard to draw confident conclusions from the study about whether GPT-3 would be useful for disinformation campaigns in practice. (Although their one study on Mechanical Turk did find that GPT-3-generated arguments on international issues like sanctions on China were found to be persuasive and led to significant changes in the proportion of people with the given position.)
One particularly worrying aspect is that the authors found it easier to get GPT-3 to generate extremist content because providing an extremist headline makes it easy to “locate” the appropriate tone and style; whereas with a more moderate headline, GPT-3 might not correctly infer the desired tone or style because the moderate headline could be consistent with lots of tones and styles.</v>
      </c>
      <c r="K193" t="str">
        <f>IFERROR(__xludf.DUMMYFUNCTION("""COMPUTED_VALUE"""),"The most interesting part of this report for me was the example outputs that the authors gave in the report, which showcase how GPT-3 can be used to “argue” in support or against a variety of topics, in a manner meant to be persuasive to a specific group "&amp;"of people (for example, arguing to Jews that they should vote Democratic / vote Republican / not vote).
(I put “argue” in quotation marks because the outputs hardly feel like what I would call “arguments” for a position, instead simply appealing to somet"&amp;"hing the group agrees with and stating with barely any argument / evidence that this implies the position to be argued for. However, I also have the same critique of most “arguments” that I see on Twitter -- I don’t think I could distinguish the GPT-3 gen"&amp;"erated arguments from real human tweets.)")</f>
        <v>The most interesting part of this report for me was the example outputs that the authors gave in the report, which showcase how GPT-3 can be used to “argue” in support or against a variety of topics, in a manner meant to be persuasive to a specific group of people (for example, arguing to Jews that they should vote Democratic / vote Republican / not vote).
(I put “argue” in quotation marks because the outputs hardly feel like what I would call “arguments” for a position, instead simply appealing to something the group agrees with and stating with barely any argument / evidence that this implies the position to be argued for. However, I also have the same critique of most “arguments” that I see on Twitter -- I don’t think I could distinguish the GPT-3 generated arguments from real human tweets.)</v>
      </c>
    </row>
    <row r="194">
      <c r="A194" s="1" t="str">
        <f>IFERROR(__xludf.DUMMYFUNCTION("""COMPUTED_VALUE"""),"AI governance")</f>
        <v>AI governance</v>
      </c>
      <c r="B194" s="1" t="str">
        <f>IFERROR(__xludf.DUMMYFUNCTION("""COMPUTED_VALUE"""),"")</f>
        <v/>
      </c>
      <c r="C194" s="2" t="str">
        <f>IFERROR(__xludf.DUMMYFUNCTION("""COMPUTED_VALUE"""),"International Control of Powerful Technology: Lessons from the Baruch Plan for Nuclear Weapons")</f>
        <v>International Control of Powerful Technology: Lessons from the Baruch Plan for Nuclear Weapons</v>
      </c>
      <c r="D194" s="1" t="str">
        <f>IFERROR(__xludf.DUMMYFUNCTION("""COMPUTED_VALUE"""),"Waqar Zaidi, Allan Dafoe")</f>
        <v>Waqar Zaidi, Allan Dafoe</v>
      </c>
      <c r="E194" s="1" t="str">
        <f>IFERROR(__xludf.DUMMYFUNCTION("""COMPUTED_VALUE"""),"FHI Website")</f>
        <v>FHI Website</v>
      </c>
      <c r="F194" s="1">
        <f>IFERROR(__xludf.DUMMYFUNCTION("""COMPUTED_VALUE"""),2021.0)</f>
        <v>2021</v>
      </c>
      <c r="G194" s="1"/>
      <c r="H194" s="2" t="str">
        <f>IFERROR(__xludf.DUMMYFUNCTION("""COMPUTED_VALUE"""),"AN #150")</f>
        <v>AN #150</v>
      </c>
      <c r="I194" s="1" t="str">
        <f>IFERROR(__xludf.DUMMYFUNCTION("""COMPUTED_VALUE"""),"Flo")</f>
        <v>Flo</v>
      </c>
      <c r="J194" s="1" t="str">
        <f>IFERROR(__xludf.DUMMYFUNCTION("""COMPUTED_VALUE"""),"This paper explores the analogy between early attempts at the international control of nuclear technology and the international control of today's emerging powerful technologies such as AI. While nuclear technology was perceived as very powerful, and many"&amp;" considered it an existential risk, there was also substantial uncertainty about its impacts. In addition, nuclear technology relied on rapid scientific development and engendered national competition, negotiation, and arms race dynamics. Lastly, there wa"&amp;"s a lot of policy debate about the political and ethical aspects of nuclear technology, including discussions on international governance (""international control""). 
The authors provide ten lessons from the history of nuclear control and support them w"&amp;"ith evidence from various case studies: 
 - Radical proposals might be discussed seriously or even adapted as official policy in the light of very disruptive technologies and upheavals in international politics.
 - Actors' support or opposition to interna"&amp;"tional control can be influenced by opportunism and their position might shift over time. Thus, it is particularly important to build broad coalitions.
 - In particular, schemes for international governance are sometimes supported by ""realists"" focussed"&amp;" on power politics, but such support is often fickle. 
 - Secrecy around powerful technologies play an important role and can be abused by actors controlling information flow within a country. Secrecy should only be expanded with care and policymakers nee"&amp;"d to ensure they are informed by a wide range of perspectives.
 - Public opinion has an important effect on debates about international control, and elites benefit from trying to shape it. 
 - Technical experts can influence policy to be more effective an"&amp;"d cooperative, but they need to understand the political landscape.
 - Policymaking often does not involve grand strategy; instead, it can better be described as muddling through, even in the realm of international control. 
 - International control is di"&amp;"fficult, and it is unclear whether strategic obstacles can be circumvented. 
 - International cooperation can require countries to take substantial risk. It is important for international cooperation advocates to understand these risks and point out avenu"&amp;"es for mitigation.
 - Even maximally destructive solutions like preventive strikes can get political traction.
However, there are also important differences between nuclear technology and AI or other emerging technologies that have to be kept in mind: Fi"&amp;"rst, AI involves less secrecy and relies on the private sector more strongly. In addition,  AI is already used around the world, and its use is harder to detect, such that proliferation might be harder to prevent. Lastly, the dangers of AI are less obviou"&amp;"s, accidents might be harder to manage, and the strategic advantage from advanced AI might not plateau, as it has for nuclear weapons once second-strike capabilities were achieved. More broadly, the historical context regarding nuclear technology was infl"&amp;"uenced by WW2, the visceral examples of Hiroshima and Nagasaki, as well as a less globalized world with stronger zero-sum dynamics between superpowers. ")</f>
        <v>This paper explores the analogy between early attempts at the international control of nuclear technology and the international control of today's emerging powerful technologies such as AI. While nuclear technology was perceived as very powerful, and many considered it an existential risk, there was also substantial uncertainty about its impacts. In addition, nuclear technology relied on rapid scientific development and engendered national competition, negotiation, and arms race dynamics. Lastly, there was a lot of policy debate about the political and ethical aspects of nuclear technology, including discussions on international governance ("international control"). 
The authors provide ten lessons from the history of nuclear control and support them with evidence from various case studies: 
 - Radical proposals might be discussed seriously or even adapted as official policy in the light of very disruptive technologies and upheavals in international politics.
 - Actors' support or opposition to international control can be influenced by opportunism and their position might shift over time. Thus, it is particularly important to build broad coalitions.
 - In particular, schemes for international governance are sometimes supported by "realists" focussed on power politics, but such support is often fickle. 
 - Secrecy around powerful technologies play an important role and can be abused by actors controlling information flow within a country. Secrecy should only be expanded with care and policymakers need to ensure they are informed by a wide range of perspectives.
 - Public opinion has an important effect on debates about international control, and elites benefit from trying to shape it. 
 - Technical experts can influence policy to be more effective and cooperative, but they need to understand the political landscape.
 - Policymaking often does not involve grand strategy; instead, it can better be described as muddling through, even in the realm of international control. 
 - International control is difficult, and it is unclear whether strategic obstacles can be circumvented. 
 - International cooperation can require countries to take substantial risk. It is important for international cooperation advocates to understand these risks and point out avenues for mitigation.
 - Even maximally destructive solutions like preventive strikes can get political traction.
However, there are also important differences between nuclear technology and AI or other emerging technologies that have to be kept in mind: First, AI involves less secrecy and relies on the private sector more strongly. In addition,  AI is already used around the world, and its use is harder to detect, such that proliferation might be harder to prevent. Lastly, the dangers of AI are less obvious, accidents might be harder to manage, and the strategic advantage from advanced AI might not plateau, as it has for nuclear weapons once second-strike capabilities were achieved. More broadly, the historical context regarding nuclear technology was influenced by WW2, the visceral examples of Hiroshima and Nagasaki, as well as a less globalized world with stronger zero-sum dynamics between superpowers. </v>
      </c>
      <c r="K194" t="str">
        <f>IFERROR(__xludf.DUMMYFUNCTION("""COMPUTED_VALUE"""),"I enjoyed reading this paper and the case studies provided ample context and details to further flesh out the lessons. While the paper might be a bit broad and not entirely AI-specific, I do recommend reading it if you are interested in international coop"&amp;"eration around AI.")</f>
        <v>I enjoyed reading this paper and the case studies provided ample context and details to further flesh out the lessons. While the paper might be a bit broad and not entirely AI-specific, I do recommend reading it if you are interested in international cooperation around AI.</v>
      </c>
    </row>
    <row r="195">
      <c r="A195" s="1" t="str">
        <f>IFERROR(__xludf.DUMMYFUNCTION("""COMPUTED_VALUE"""),"AI governance")</f>
        <v>AI governance</v>
      </c>
      <c r="B195" s="1" t="str">
        <f>IFERROR(__xludf.DUMMYFUNCTION("""COMPUTED_VALUE"""),"")</f>
        <v/>
      </c>
      <c r="C195" s="2" t="str">
        <f>IFERROR(__xludf.DUMMYFUNCTION("""COMPUTED_VALUE"""),"NSCAI Final Report")</f>
        <v>NSCAI Final Report</v>
      </c>
      <c r="D195" s="1" t="str">
        <f>IFERROR(__xludf.DUMMYFUNCTION("""COMPUTED_VALUE"""),"Eric Schmidt, Robert Work, Safra Catz, Eric Horvitz, Steve Chien, Andrew Jassy, Mignon Clyburn, Gilman Louie, Chris Darby, William Mark, Kenneth Ford, Jason Matheny, José-Marie Griffiths, Katharina McFarland, Andrew Moore")</f>
        <v>Eric Schmidt, Robert Work, Safra Catz, Eric Horvitz, Steve Chien, Andrew Jassy, Mignon Clyburn, Gilman Louie, Chris Darby, William Mark, Kenneth Ford, Jason Matheny, José-Marie Griffiths, Katharina McFarland, Andrew Moore</v>
      </c>
      <c r="E195" s="1" t="str">
        <f>IFERROR(__xludf.DUMMYFUNCTION("""COMPUTED_VALUE"""),"National Security Commission on Artificial Intelligence")</f>
        <v>National Security Commission on Artificial Intelligence</v>
      </c>
      <c r="F195" s="1">
        <f>IFERROR(__xludf.DUMMYFUNCTION("""COMPUTED_VALUE"""),2021.0)</f>
        <v>2021</v>
      </c>
      <c r="G195" s="1"/>
      <c r="H195" s="2" t="str">
        <f>IFERROR(__xludf.DUMMYFUNCTION("""COMPUTED_VALUE"""),"AN #141")</f>
        <v>AN #141</v>
      </c>
      <c r="I195" s="1" t="str">
        <f>IFERROR(__xludf.DUMMYFUNCTION("""COMPUTED_VALUE"""),"Rohin")</f>
        <v>Rohin</v>
      </c>
      <c r="J195" s="1" t="str">
        <f>IFERROR(__xludf.DUMMYFUNCTION("""COMPUTED_VALUE"""),"In the US, the National Security Commission on AI released their report to Congress. The [full pdf](https://www.nscai.gov/wp-content/uploads/2021/03/Full-Report-Digital-1.pdf) is over 750 pages long, so I have not read it myself, and instead I’m adding in"&amp;" some commentary from others. In their [newsletter](https://cset.georgetown.edu/newsletters/), CSET says that highlights include:
- A warning that the U.S. military could be at a competitive disadvantage within the next decade if it does not accelerate i"&amp;"ts AI adoption. The report recommends laying the foundation for widespread AI integration by 2025, comprising a DOD-wide digital ecosystem, a technically literate workforce, and more efficient business practices aided by AI.
- A recommendation that the Wh"&amp;"ite House establish a new “Technology Competitiveness Council,” led by the vice president, to develop a comprehensive technology strategy and oversee its implementation.
- A recommendation that the U.S. military explore using autonomous weapons systems, p"&amp;"rovided their use is authorized by human operators.
- A proposal to establish a new Digital Service Academy and a civilian National Reserve to cultivate domestic AI talent.
- A call to provide $35 billion in federal investment and incentives for domestic "&amp;"semiconductor manufacturing.
- A recommendation to double non-defense AI R&amp;D funding annually until it reaches $32 billion per year, and to triple the number of National AI Research Institutes.
- A call for reformed export controls, coordinated with allie"&amp;"s, on key technologies such as high-end semiconductor manufacturing equipment.
- A recommendation that Congress pass a second National Defense Education Act and reform the U.S. immigration system to attract and retain AI students and workers from abroad.
"&amp;"
While none of the report’s recommendations are legally binding, it has [reportedly been well-received by key members of both parties](https://apnews.com/article/ai-panel-urges-us-boost-tech-skills-95b210543d4a42bd6cd5347a46cb74d6).
Matthew van der Merwe"&amp;" also summarizes the recommendations in [Import AI](https://jack-clark.net/2021/03/08/import-ai-239-china-trains-a-massive-10b-model-vicarious-does-pickplace-the-gchq-publishes-some-of-its-thoughts-on-ai/); this has a lot of overlap with the CSET summary "&amp;"so I won't copy it here.
Jeff Ding adds in [ChinAI #134](https://chinai.substack.com/p/chinai-134-weaponized-interdependence):
[I]f you make it past the bluster in the beginning — or take it for what it is: obligatory marketing to cater to a DC audience "&amp;"hooked on a narrow vision of national security — there’s some smart moderate policy ideas in the report (e.g. chapter 7 on establishing justified confidence in AI systems).
In email correspondence, Jon Rodriguez adds some commentary on the safety implica"&amp;"tions:
1. The report acknowledges the potential danger of AGI, and specifically calls for value alignment research to take place (pg. 36). To my knowledge, this is one of the first times a leading world government has called for value alignment.
2. The r"&amp;"eport makes a clear statement that the US prohibits AI from authorizing the launch of nuclear weapons (pg. 98).
3. The report calls for dialogues with China and Russia to ensure that military decisions made by military AI at ""machine speed"" does not lea"&amp;"d to out-of-control conflict escalation which humans would not want (pg. 97).")</f>
        <v>In the US, the National Security Commission on AI released their report to Congress. The [full pdf](https://www.nscai.gov/wp-content/uploads/2021/03/Full-Report-Digital-1.pdf) is over 750 pages long, so I have not read it myself, and instead I’m adding in some commentary from others. In their [newsletter](https://cset.georgetown.edu/newsletters/), CSET says that highlights include:
- A warning that the U.S. military could be at a competitive disadvantage within the next decade if it does not accelerate its AI adoption. The report recommends laying the foundation for widespread AI integration by 2025, comprising a DOD-wide digital ecosystem, a technically literate workforce, and more efficient business practices aided by AI.
- A recommendation that the White House establish a new “Technology Competitiveness Council,” led by the vice president, to develop a comprehensive technology strategy and oversee its implementation.
- A recommendation that the U.S. military explore using autonomous weapons systems, provided their use is authorized by human operators.
- A proposal to establish a new Digital Service Academy and a civilian National Reserve to cultivate domestic AI talent.
- A call to provide $35 billion in federal investment and incentives for domestic semiconductor manufacturing.
- A recommendation to double non-defense AI R&amp;D funding annually until it reaches $32 billion per year, and to triple the number of National AI Research Institutes.
- A call for reformed export controls, coordinated with allies, on key technologies such as high-end semiconductor manufacturing equipment.
- A recommendation that Congress pass a second National Defense Education Act and reform the U.S. immigration system to attract and retain AI students and workers from abroad.
While none of the report’s recommendations are legally binding, it has [reportedly been well-received by key members of both parties](https://apnews.com/article/ai-panel-urges-us-boost-tech-skills-95b210543d4a42bd6cd5347a46cb74d6).
Matthew van der Merwe also summarizes the recommendations in [Import AI](https://jack-clark.net/2021/03/08/import-ai-239-china-trains-a-massive-10b-model-vicarious-does-pickplace-the-gchq-publishes-some-of-its-thoughts-on-ai/); this has a lot of overlap with the CSET summary so I won't copy it here.
Jeff Ding adds in [ChinAI #134](https://chinai.substack.com/p/chinai-134-weaponized-interdependence):
[I]f you make it past the bluster in the beginning — or take it for what it is: obligatory marketing to cater to a DC audience hooked on a narrow vision of national security — there’s some smart moderate policy ideas in the report (e.g. chapter 7 on establishing justified confidence in AI systems).
In email correspondence, Jon Rodriguez adds some commentary on the safety implications:
1. The report acknowledges the potential danger of AGI, and specifically calls for value alignment research to take place (pg. 36). To my knowledge, this is one of the first times a leading world government has called for value alignment.
2. The report makes a clear statement that the US prohibits AI from authorizing the launch of nuclear weapons (pg. 98).
3. The report calls for dialogues with China and Russia to ensure that military decisions made by military AI at "machine speed" does not lead to out-of-control conflict escalation which humans would not want (pg. 97).</v>
      </c>
    </row>
    <row r="196">
      <c r="A196" s="1" t="str">
        <f>IFERROR(__xludf.DUMMYFUNCTION("""COMPUTED_VALUE"""),"AI governance")</f>
        <v>AI governance</v>
      </c>
      <c r="B196" s="1" t="str">
        <f>IFERROR(__xludf.DUMMYFUNCTION("""COMPUTED_VALUE"""),"")</f>
        <v/>
      </c>
      <c r="C196" s="2" t="str">
        <f>IFERROR(__xludf.DUMMYFUNCTION("""COMPUTED_VALUE"""),"Why those who care about catastrophic and existential risk should care about autonomous weapons")</f>
        <v>Why those who care about catastrophic and existential risk should care about autonomous weapons</v>
      </c>
      <c r="D196" s="1" t="str">
        <f>IFERROR(__xludf.DUMMYFUNCTION("""COMPUTED_VALUE"""),"Anthony Aguirre")</f>
        <v>Anthony Aguirre</v>
      </c>
      <c r="E196" s="1" t="str">
        <f>IFERROR(__xludf.DUMMYFUNCTION("""COMPUTED_VALUE"""),"EA Forum")</f>
        <v>EA Forum</v>
      </c>
      <c r="F196" s="1">
        <f>IFERROR(__xludf.DUMMYFUNCTION("""COMPUTED_VALUE"""),2020.0)</f>
        <v>2020</v>
      </c>
      <c r="G196" s="1"/>
      <c r="H196" s="2" t="str">
        <f>IFERROR(__xludf.DUMMYFUNCTION("""COMPUTED_VALUE"""),"AN #132")</f>
        <v>AN #132</v>
      </c>
      <c r="I196" s="1" t="str">
        <f>IFERROR(__xludf.DUMMYFUNCTION("""COMPUTED_VALUE"""),"Nicholas")</f>
        <v>Nicholas</v>
      </c>
      <c r="J196" s="1" t="str">
        <f>IFERROR(__xludf.DUMMYFUNCTION("""COMPUTED_VALUE"""),"This post argues for a focus on autonomous weapons systems (AWs) for three main reasons:
**AWs Provide a Trial Run for AGI governance**. Governance of AWs shares many properties with AGI safety. Preventing an AW arms race would require international coop"&amp;"eration that would provide a chance to understand and improve AI governance institutions. As with any AI system, AWs have the potential to be *effective* without necessarily being aligned with human values, and accidents could quickly lead to deadly conse"&amp;"quences. Public opinion and the vast majority of AI researchers oppose AW arms races, so there is an opportunity for global coordination on this issue. 
**Some AWs can directly cause catastrophic risk**. Cheap drones could potentially be created at scale"&amp;" that are easy to transport and hard to detect. This could enable an individual to kill many people without the need to convince many others that it is justified. They can discriminate targets better than other WMDs and cause less environmental damage. Th"&amp;"is has the potential to make war less harmful, but also makes it easier to justify.
**AWs increase the likelihood and severity of conflict** by providing better tools for terrorists and assassins, lowering the threshold for violence between and within st"&amp;"ates, upsetting the relative power balance of current militaries, and increasing the likelihood of accidental escalation. In particular, AWs that are being used to counter other AWs might intentionally be made hard to understand and predict, and AWs may r"&amp;"eact to each other at timescales that are too quick for humans to intervene or de-escalate. 
An international agreement governing autonomous weapons could help to alleviate the above concerns. In particular, some classes of weapons could be banned, and o"&amp;"thers could be tracked and subjected to regulations. This would hopefully lead us to an equilibrium where offensive AWs are prohibited, but defended against in a stable way.")</f>
        <v>This post argues for a focus on autonomous weapons systems (AWs) for three main reasons:
**AWs Provide a Trial Run for AGI governance**. Governance of AWs shares many properties with AGI safety. Preventing an AW arms race would require international cooperation that would provide a chance to understand and improve AI governance institutions. As with any AI system, AWs have the potential to be *effective* without necessarily being aligned with human values, and accidents could quickly lead to deadly consequences. Public opinion and the vast majority of AI researchers oppose AW arms races, so there is an opportunity for global coordination on this issue. 
**Some AWs can directly cause catastrophic risk**. Cheap drones could potentially be created at scale that are easy to transport and hard to detect. This could enable an individual to kill many people without the need to convince many others that it is justified. They can discriminate targets better than other WMDs and cause less environmental damage. This has the potential to make war less harmful, but also makes it easier to justify.
**AWs increase the likelihood and severity of conflict** by providing better tools for terrorists and assassins, lowering the threshold for violence between and within states, upsetting the relative power balance of current militaries, and increasing the likelihood of accidental escalation. In particular, AWs that are being used to counter other AWs might intentionally be made hard to understand and predict, and AWs may react to each other at timescales that are too quick for humans to intervene or de-escalate. 
An international agreement governing autonomous weapons could help to alleviate the above concerns. In particular, some classes of weapons could be banned, and others could be tracked and subjected to regulations. This would hopefully lead us to an equilibrium where offensive AWs are prohibited, but defended against in a stable way.</v>
      </c>
      <c r="K196" t="str">
        <f>IFERROR(__xludf.DUMMYFUNCTION("""COMPUTED_VALUE"""),"I agree completely with the first two points. Much of technical safety work has been based around solving currently existing analogs of the alignment problem. Governance does seem to have less of these, so autonomous weapon governance could provide a grea"&amp;"t opportunity to test and build credibility for AI governance structures. The ability for autonomous weapons to cause catastrophic risk seems hard to argue against. With powerful enough AI, even accidents can pose catastrophic risk, but I would expect mil"&amp;"itary use to only increase those.
For the third point, I agree with the reasons provided, but I think there are also ways in which AWs may reduce the likelihood and severity of war. For instance, currently soldiers bear most of the risk in wars, whereas "&amp;"decision-makers are often protected. Targeted AW attacks may increase the relative risk for those making decisions and thus disincentivize them from declaring war. An equilibrium of AW mutually assured destruction might also be attained if we can find rel"&amp;"iable ways to attribute AW attacks and selectively retaliate. I’d be interested to see a more extensive analysis of how these and other factors trade off as I am unsure of the net effect.
The piece that gives me the most doubt that this is an area for th"&amp;"e x-risk community to focus on is tractability. An international agreement runs the risk of weakening the states that sign on without slowing the rate of AW development in countries that don’t. Getting all actors to sign on seems intractable to me. As an "&amp;"analogy, nuclear weapons proliferation has been a challenge and nuclear weapons development is much more complex and visible than development of AWs.
**Rohin's opinion:** I particularly liked this piece because it actually made the case for work on auton"&amp;"omous weapons -- I do not see such work as obviously good (see for example [this post](https://forum.effectivealtruism.org/posts/vdqBn65Qaw77MpqXz/on-ai-weapons) that I liked, for the perspective against banning autonomous weapons). I still feel pretty un"&amp;"certain overall, but I think this post meaningfully moved the debate forward.")</f>
        <v>I agree completely with the first two points. Much of technical safety work has been based around solving currently existing analogs of the alignment problem. Governance does seem to have less of these, so autonomous weapon governance could provide a great opportunity to test and build credibility for AI governance structures. The ability for autonomous weapons to cause catastrophic risk seems hard to argue against. With powerful enough AI, even accidents can pose catastrophic risk, but I would expect military use to only increase those.
For the third point, I agree with the reasons provided, but I think there are also ways in which AWs may reduce the likelihood and severity of war. For instance, currently soldiers bear most of the risk in wars, whereas decision-makers are often protected. Targeted AW attacks may increase the relative risk for those making decisions and thus disincentivize them from declaring war. An equilibrium of AW mutually assured destruction might also be attained if we can find reliable ways to attribute AW attacks and selectively retaliate. I’d be interested to see a more extensive analysis of how these and other factors trade off as I am unsure of the net effect.
The piece that gives me the most doubt that this is an area for the x-risk community to focus on is tractability. An international agreement runs the risk of weakening the states that sign on without slowing the rate of AW development in countries that don’t. Getting all actors to sign on seems intractable to me. As an analogy, nuclear weapons proliferation has been a challenge and nuclear weapons development is much more complex and visible than development of AWs.
**Rohin's opinion:** I particularly liked this piece because it actually made the case for work on autonomous weapons -- I do not see such work as obviously good (see for example [this post](https://forum.effectivealtruism.org/posts/vdqBn65Qaw77MpqXz/on-ai-weapons) that I liked, for the perspective against banning autonomous weapons). I still feel pretty uncertain overall, but I think this post meaningfully moved the debate forward.</v>
      </c>
    </row>
    <row r="197">
      <c r="A197" s="1" t="str">
        <f>IFERROR(__xludf.DUMMYFUNCTION("""COMPUTED_VALUE"""),"AI governance")</f>
        <v>AI governance</v>
      </c>
      <c r="B197" s="1" t="str">
        <f>IFERROR(__xludf.DUMMYFUNCTION("""COMPUTED_VALUE"""),"")</f>
        <v/>
      </c>
      <c r="C197" s="2" t="str">
        <f>IFERROR(__xludf.DUMMYFUNCTION("""COMPUTED_VALUE"""),"Society-in-the-loop: programming the algorithmic social contract")</f>
        <v>Society-in-the-loop: programming the algorithmic social contract</v>
      </c>
      <c r="D197" s="1" t="str">
        <f>IFERROR(__xludf.DUMMYFUNCTION("""COMPUTED_VALUE"""),"Iyad Rahwan")</f>
        <v>Iyad Rahwan</v>
      </c>
      <c r="E197" s="1"/>
      <c r="F197" s="1">
        <f>IFERROR(__xludf.DUMMYFUNCTION("""COMPUTED_VALUE"""),2018.0)</f>
        <v>2018</v>
      </c>
      <c r="G197" s="1"/>
      <c r="H197" s="2" t="str">
        <f>IFERROR(__xludf.DUMMYFUNCTION("""COMPUTED_VALUE"""),"AN #131")</f>
        <v>AN #131</v>
      </c>
      <c r="I197" s="1" t="str">
        <f>IFERROR(__xludf.DUMMYFUNCTION("""COMPUTED_VALUE"""),"Rohin")</f>
        <v>Rohin</v>
      </c>
      <c r="J197" s="1" t="str">
        <f>IFERROR(__xludf.DUMMYFUNCTION("""COMPUTED_VALUE"""),"Earlier in this newsletter we saw arguments that we should not build AI systems that are maximizing “humanity’s aggregated preferences”. Then how else are we supposed to build AI systems that work well for _society as a whole_, rather than an individual h"&amp;"uman? When the goal of the system is uncontested (e.g. “don’t crash”), we can use human-in-the-loop (HITL) algorithms where the human provides oversight; this paper proposes that for contested goals (e.g. “be fair”) we should put society in the loop (SITL"&amp;"), through _algorithmic social contracts_.
What is a social contract? A group of stakeholders with competing interests have a (non-algorithmic) social contract when they “agree” to allow use of force or social pressure to enforce some norm that guards pe"&amp;"ople’s rights and punishes violators. For example, we have a social contract against murder, which legitimates the use of force by the government in order to punish violators.
In an algorithmic social contract, the norms by which the AI system operates, "&amp;"and the goals which it pursues, are determined through typical social contracts amongst the group of stakeholders that care about the AI system’s impacts. Notably, these goals and norms can change over time, as the stakeholders see what the AI system does"&amp;". Of course, this all happens on relatively long timescales; more immediate oversight and control of the AI system would have to be done by specific humans who are acting as _delegates_ of the group of stakeholders.
The paper then goes into many open cha"&amp;"llenges for creating such algorithmic social contracts: How does society figure out what goals the AI system should pursue? How do we deal with externalities and tradeoffs? How can these fuzzy values be translated into constraints on the AI system? It pro"&amp;"vides an overview of some approaches to these problems.")</f>
        <v>Earlier in this newsletter we saw arguments that we should not build AI systems that are maximizing “humanity’s aggregated preferences”. Then how else are we supposed to build AI systems that work well for _society as a whole_, rather than an individual human? When the goal of the system is uncontested (e.g. “don’t crash”), we can use human-in-the-loop (HITL) algorithms where the human provides oversight; this paper proposes that for contested goals (e.g. “be fair”) we should put society in the loop (SITL), through _algorithmic social contracts_.
What is a social contract? A group of stakeholders with competing interests have a (non-algorithmic) social contract when they “agree” to allow use of force or social pressure to enforce some norm that guards people’s rights and punishes violators. For example, we have a social contract against murder, which legitimates the use of force by the government in order to punish violators.
In an algorithmic social contract, the norms by which the AI system operates, and the goals which it pursues, are determined through typical social contracts amongst the group of stakeholders that care about the AI system’s impacts. Notably, these goals and norms can change over time, as the stakeholders see what the AI system does. Of course, this all happens on relatively long timescales; more immediate oversight and control of the AI system would have to be done by specific humans who are acting as _delegates_ of the group of stakeholders.
The paper then goes into many open challenges for creating such algorithmic social contracts: How does society figure out what goals the AI system should pursue? How do we deal with externalities and tradeoffs? How can these fuzzy values be translated into constraints on the AI system? It provides an overview of some approaches to these problems.</v>
      </c>
      <c r="K197" t="str">
        <f>IFERROR(__xludf.DUMMYFUNCTION("""COMPUTED_VALUE"""),"I really like the notion of an algorithmic social contract: it much better captures my expectation of how AI systems will be integrated into society. With this vocabulary, I would put technical AI alignment research squarely in the last category, of how w"&amp;"e translate fuzzy values that society agrees on into constraints on the AI system’s behavior.")</f>
        <v>I really like the notion of an algorithmic social contract: it much better captures my expectation of how AI systems will be integrated into society. With this vocabulary, I would put technical AI alignment research squarely in the last category, of how we translate fuzzy values that society agrees on into constraints on the AI system’s behavior.</v>
      </c>
    </row>
    <row r="198">
      <c r="A198" s="1" t="str">
        <f>IFERROR(__xludf.DUMMYFUNCTION("""COMPUTED_VALUE"""),"AI governance")</f>
        <v>AI governance</v>
      </c>
      <c r="B198" s="1" t="str">
        <f>IFERROR(__xludf.DUMMYFUNCTION("""COMPUTED_VALUE"""),"")</f>
        <v/>
      </c>
      <c r="C198" s="2" t="str">
        <f>IFERROR(__xludf.DUMMYFUNCTION("""COMPUTED_VALUE"""),"The Grey Hoodie Project: Big Tobacco, Big Tech, and the threat on academic integrity")</f>
        <v>The Grey Hoodie Project: Big Tobacco, Big Tech, and the threat on academic integrity</v>
      </c>
      <c r="D198" s="1" t="str">
        <f>IFERROR(__xludf.DUMMYFUNCTION("""COMPUTED_VALUE"""),"Mohamed Abdalla, Moustafa Abdalla")</f>
        <v>Mohamed Abdalla, Moustafa Abdalla</v>
      </c>
      <c r="E198" s="1" t="str">
        <f>IFERROR(__xludf.DUMMYFUNCTION("""COMPUTED_VALUE"""),"arXiv")</f>
        <v>arXiv</v>
      </c>
      <c r="F198" s="1">
        <f>IFERROR(__xludf.DUMMYFUNCTION("""COMPUTED_VALUE"""),2020.0)</f>
        <v>2020</v>
      </c>
      <c r="G198" s="1"/>
      <c r="H198" s="2" t="str">
        <f>IFERROR(__xludf.DUMMYFUNCTION("""COMPUTED_VALUE"""),"AN #126")</f>
        <v>AN #126</v>
      </c>
      <c r="I198" s="1" t="str">
        <f>IFERROR(__xludf.DUMMYFUNCTION("""COMPUTED_VALUE"""),"Rohin")</f>
        <v>Rohin</v>
      </c>
      <c r="J198" s="1" t="str">
        <f>IFERROR(__xludf.DUMMYFUNCTION("""COMPUTED_VALUE"""),"Big tech companies fund a lot of academic research, including on AI ethics. This paper points out that we would not trust research on smoking that was funded by tobacco companies: why should AI ethics research be any different? Enough information has now "&amp;"surfaced (through litigation) for us to see that Big Tobacco’s actions were clearly unacceptable, but it took years for this to be realized. The same thing could be happening again with Big Tech.
The paper identifies four goals that drive investment into"&amp;" academia by big industries, and argues that these are consistent with the actions of Big Tobacco and Big Tech. First, funding academic research allows companies to present themselves as socially responsible. For example, some researchers have argued that"&amp;" academic or non-profit institutions like the ACLU and MIT do not have any effective power in the Partnership on AI and their membership ends up serving a legitimating function for the companies in the partnership.
Second, companies can influence the eve"&amp;"nts and decisions made by universities. Top conferences in ML receive large sponsorships from companies, and many of the workshops have such sponsorships as well, including ones about AI ethics.
Third, companies can influence the research conducted by in"&amp;"dividual scientists. The authors studied funding of professors at four top universities, and found that of the cases where they could determine funding, over 52% had been funded by Big Tech, and the number rose to 58% when restricting to those who had pub"&amp;"lished in ethics or fairness. There need not be any explicit pressure for this to be an issue: the implicit threat of loss of funding can be enough to prevent some types of research.
Fourth, companies can discover academics who can be leveraged in other "&amp;"situations. For example, tobacco companies explicitly searched for academics who would testify in favor of the companies at legislative hearings. In Big Tech, there are similar suggestive stories: for example, in one case a professor who had been funded i"&amp;"ndirectly by Google criticized antitrust scrutiny of Google. They then joined the FTC, and shortly after the FTC dropped their antitrust suit against Google.
The paper concludes with some ideas on how the current situation could be improved.")</f>
        <v>Big tech companies fund a lot of academic research, including on AI ethics. This paper points out that we would not trust research on smoking that was funded by tobacco companies: why should AI ethics research be any different? Enough information has now surfaced (through litigation) for us to see that Big Tobacco’s actions were clearly unacceptable, but it took years for this to be realized. The same thing could be happening again with Big Tech.
The paper identifies four goals that drive investment into academia by big industries, and argues that these are consistent with the actions of Big Tobacco and Big Tech. First, funding academic research allows companies to present themselves as socially responsible. For example, some researchers have argued that academic or non-profit institutions like the ACLU and MIT do not have any effective power in the Partnership on AI and their membership ends up serving a legitimating function for the companies in the partnership.
Second, companies can influence the events and decisions made by universities. Top conferences in ML receive large sponsorships from companies, and many of the workshops have such sponsorships as well, including ones about AI ethics.
Third, companies can influence the research conducted by individual scientists. The authors studied funding of professors at four top universities, and found that of the cases where they could determine funding, over 52% had been funded by Big Tech, and the number rose to 58% when restricting to those who had published in ethics or fairness. There need not be any explicit pressure for this to be an issue: the implicit threat of loss of funding can be enough to prevent some types of research.
Fourth, companies can discover academics who can be leveraged in other situations. For example, tobacco companies explicitly searched for academics who would testify in favor of the companies at legislative hearings. In Big Tech, there are similar suggestive stories: for example, in one case a professor who had been funded indirectly by Google criticized antitrust scrutiny of Google. They then joined the FTC, and shortly after the FTC dropped their antitrust suit against Google.
The paper concludes with some ideas on how the current situation could be improved.</v>
      </c>
      <c r="K198" t="str">
        <f>IFERROR(__xludf.DUMMYFUNCTION("""COMPUTED_VALUE"""),"I’d love to write an opinion on this. Unfortunately, regardless of which “side” of the issue I come down on, if I explained it publicly in this newsletter, I would worry that a journalist would adversarially quote me in a way that I would dislike. (Consid"&amp;"er: ""Employee confirms DeepMind's efforts to whitewash AI ethics efforts"" or ""This researcher's fervent defense of Big Tech shows how Google brainwashes its employees"".) So I’m not going to say anything here. And just for the record: DeepMind did not "&amp;"tell me not to write an opinion here.
(Am I being too paranoid? Probably, but I've heard of too many horror stories to take the chance. I'm already worrying that someone will quote even this and talk about how Big Tech indoctrinates its employees against"&amp;" virtuous journalists who expose its evils.)
For the sake of transparency about how I make these decisions, if there were only one “side” of the issue that I wouldn’t be willing to express publicly, I would not write an opinion. Also, I doubt that this p"&amp;"olicy would ever trigger for a technical paper.")</f>
        <v>I’d love to write an opinion on this. Unfortunately, regardless of which “side” of the issue I come down on, if I explained it publicly in this newsletter, I would worry that a journalist would adversarially quote me in a way that I would dislike. (Consider: "Employee confirms DeepMind's efforts to whitewash AI ethics efforts" or "This researcher's fervent defense of Big Tech shows how Google brainwashes its employees".) So I’m not going to say anything here. And just for the record: DeepMind did not tell me not to write an opinion here.
(Am I being too paranoid? Probably, but I've heard of too many horror stories to take the chance. I'm already worrying that someone will quote even this and talk about how Big Tech indoctrinates its employees against virtuous journalists who expose its evils.)
For the sake of transparency about how I make these decisions, if there were only one “side” of the issue that I wouldn’t be willing to express publicly, I would not write an opinion. Also, I doubt that this policy would ever trigger for a technical paper.</v>
      </c>
      <c r="M198" s="3" t="str">
        <f>IFERROR(__xludf.DUMMYFUNCTION("""COMPUTED_VALUE"""),"FLI Podcast")</f>
        <v>FLI Podcast</v>
      </c>
    </row>
    <row r="199">
      <c r="A199" s="1" t="str">
        <f>IFERROR(__xludf.DUMMYFUNCTION("""COMPUTED_VALUE"""),"AI governance")</f>
        <v>AI governance</v>
      </c>
      <c r="B199" s="1" t="str">
        <f>IFERROR(__xludf.DUMMYFUNCTION("""COMPUTED_VALUE"""),"")</f>
        <v/>
      </c>
      <c r="C199" s="2" t="str">
        <f>IFERROR(__xludf.DUMMYFUNCTION("""COMPUTED_VALUE"""),"AI Benefits")</f>
        <v>AI Benefits</v>
      </c>
      <c r="D199" s="1" t="str">
        <f>IFERROR(__xludf.DUMMYFUNCTION("""COMPUTED_VALUE"""),"Cullen O'Keefe")</f>
        <v>Cullen O'Keefe</v>
      </c>
      <c r="E199" s="1" t="str">
        <f>IFERROR(__xludf.DUMMYFUNCTION("""COMPUTED_VALUE"""),"Author's Website")</f>
        <v>Author's Website</v>
      </c>
      <c r="F199" s="1">
        <f>IFERROR(__xludf.DUMMYFUNCTION("""COMPUTED_VALUE"""),2020.0)</f>
        <v>2020</v>
      </c>
      <c r="G199" s="1"/>
      <c r="H199" s="2" t="str">
        <f>IFERROR(__xludf.DUMMYFUNCTION("""COMPUTED_VALUE"""),"AN #110")</f>
        <v>AN #110</v>
      </c>
      <c r="I199" s="1" t="str">
        <f>IFERROR(__xludf.DUMMYFUNCTION("""COMPUTED_VALUE"""),"Rohin")</f>
        <v>Rohin</v>
      </c>
      <c r="J199" s="1" t="str">
        <f>IFERROR(__xludf.DUMMYFUNCTION("""COMPUTED_VALUE"""),"This sequence of posts investigates _AI Benefits_: how a benefactor can leverage advanced AI systems to benefit humanity. It focuses on what can be done by a single benefactor, outside of what we might think of as the “norm” -- in particular, the sequence"&amp;" ignores benefits that would be provided by default market incentives. This is relevant to OpenAI (where the author works) given their focus on ensuring AI is beneficial to humanity.
Note that AI Benefits is distinct from AI alignment. Sometimes AI align"&amp;"ment is defined broadly enough to encompass AI Benefits, but often it is not, e.g. if the notion of being “aligned” depends on an AI system being aligned with some principal, that would not be AI Benefits, since AI Benefits are meant to accrue to all of h"&amp;"umanity. While it is about maximizing well-being by default, it should also have secondary goals of equality, autonomy, democratization, and epistemic modesty.
The obvious approach to AI Benefits is the _direct_ approach: figuring out how to apply advanc"&amp;"ed AI to directly generate benefits for humanity, e.g. by producing electricity more efficiently to mitigate climate change. However, it is important to also consider the indirect approach of making money using AI, and then donating the surplus to a diffe"&amp;"rent organization that can better produce benefits.
Given the massive number of potential ways to benefit humanity and our uncertainty about their efficacy, it is important to have a portfolio approach to AI Benefits, rather than scaling up a single inte"&amp;"rvention. In addition, since any given intervention will probably primarily benefit some subset of humanity, a portfolio approach should help lead to more equal distribution of benefits.
There are many outstanding questions on how AI Benefits should be d"&amp;"one in practice. Should the benefactor pursue a direct or indirect approach? To what extent should they explore potential approaches for generating benefits, relative to exploiting approaches that we know work? Should they generate benefits now, or invest"&amp;" in the ability to generate benefits later? Should they focus on global (supranational) approaches, or allocate resources to each nation that can be used in a manner specialized to their citizens?
There are many questions on the governance side as well. "&amp;"We will presumably want some Benefits Group involving external experts to help distribute benefits optimally. When should such a group get democratic input? How do we evaluate such a group to ensure they are actually benefiting humanity optimally? To what"&amp;" extent will we also need internal governance within the group and benefactor, and how can this be done?")</f>
        <v>This sequence of posts investigates _AI Benefits_: how a benefactor can leverage advanced AI systems to benefit humanity. It focuses on what can be done by a single benefactor, outside of what we might think of as the “norm” -- in particular, the sequence ignores benefits that would be provided by default market incentives. This is relevant to OpenAI (where the author works) given their focus on ensuring AI is beneficial to humanity.
Note that AI Benefits is distinct from AI alignment. Sometimes AI alignment is defined broadly enough to encompass AI Benefits, but often it is not, e.g. if the notion of being “aligned” depends on an AI system being aligned with some principal, that would not be AI Benefits, since AI Benefits are meant to accrue to all of humanity. While it is about maximizing well-being by default, it should also have secondary goals of equality, autonomy, democratization, and epistemic modesty.
The obvious approach to AI Benefits is the _direct_ approach: figuring out how to apply advanced AI to directly generate benefits for humanity, e.g. by producing electricity more efficiently to mitigate climate change. However, it is important to also consider the indirect approach of making money using AI, and then donating the surplus to a different organization that can better produce benefits.
Given the massive number of potential ways to benefit humanity and our uncertainty about their efficacy, it is important to have a portfolio approach to AI Benefits, rather than scaling up a single intervention. In addition, since any given intervention will probably primarily benefit some subset of humanity, a portfolio approach should help lead to more equal distribution of benefits.
There are many outstanding questions on how AI Benefits should be done in practice. Should the benefactor pursue a direct or indirect approach? To what extent should they explore potential approaches for generating benefits, relative to exploiting approaches that we know work? Should they generate benefits now, or invest in the ability to generate benefits later? Should they focus on global (supranational) approaches, or allocate resources to each nation that can be used in a manner specialized to their citizens?
There are many questions on the governance side as well. We will presumably want some Benefits Group involving external experts to help distribute benefits optimally. When should such a group get democratic input? How do we evaluate such a group to ensure they are actually benefiting humanity optimally? To what extent will we also need internal governance within the group and benefactor, and how can this be done?</v>
      </c>
      <c r="K199" t="str">
        <f>IFERROR(__xludf.DUMMYFUNCTION("""COMPUTED_VALUE"""),"AI Benefits is effectively asking how we can answer the question of how to do the most good in the future, and as such many of the considerations also come up in effective altruism, especially at the current high level of abstraction. Nonetheless, there a"&amp;"re differences in the situation, which will matter: for example, the effective altruism community does not currently need to plan for the situation where they control a majority of the world’s resources; a sufficiently ambitious and optimistic AI company "&amp;"may need to. Such a situation vastly increases the importance of e.g. democratic input, portfolio approaches, and information value. I’m glad that these questions are being tackled now and look forward to seeing more details in the future.")</f>
        <v>AI Benefits is effectively asking how we can answer the question of how to do the most good in the future, and as such many of the considerations also come up in effective altruism, especially at the current high level of abstraction. Nonetheless, there are differences in the situation, which will matter: for example, the effective altruism community does not currently need to plan for the situation where they control a majority of the world’s resources; a sufficiently ambitious and optimistic AI company may need to. Such a situation vastly increases the importance of e.g. democratic input, portfolio approaches, and information value. I’m glad that these questions are being tackled now and look forward to seeing more details in the future.</v>
      </c>
    </row>
    <row r="200">
      <c r="A200" s="1" t="str">
        <f>IFERROR(__xludf.DUMMYFUNCTION("""COMPUTED_VALUE"""),"AI governance")</f>
        <v>AI governance</v>
      </c>
      <c r="B200" s="1" t="str">
        <f>IFERROR(__xludf.DUMMYFUNCTION("""COMPUTED_VALUE"""),"")</f>
        <v/>
      </c>
      <c r="C200" s="2" t="str">
        <f>IFERROR(__xludf.DUMMYFUNCTION("""COMPUTED_VALUE"""),"Machine Learning and Artificial Intelligence: how do we make sure technology serves the open society?")</f>
        <v>Machine Learning and Artificial Intelligence: how do we make sure technology serves the open society?</v>
      </c>
      <c r="D200" s="1"/>
      <c r="E200" s="1" t="str">
        <f>IFERROR(__xludf.DUMMYFUNCTION("""COMPUTED_VALUE"""),"N/A")</f>
        <v>N/A</v>
      </c>
      <c r="F200" s="1">
        <f>IFERROR(__xludf.DUMMYFUNCTION("""COMPUTED_VALUE"""),2018.0)</f>
        <v>2018</v>
      </c>
      <c r="G200" s="1"/>
      <c r="H200" s="2" t="str">
        <f>IFERROR(__xludf.DUMMYFUNCTION("""COMPUTED_VALUE"""),"Recon #5")</f>
        <v>Recon #5</v>
      </c>
      <c r="I200" s="1" t="str">
        <f>IFERROR(__xludf.DUMMYFUNCTION("""COMPUTED_VALUE"""),"Rohin")</f>
        <v>Rohin</v>
      </c>
      <c r="J200" s="1" t="str">
        <f>IFERROR(__xludf.DUMMYFUNCTION("""COMPUTED_VALUE"""),"A report from a workshop held in the UK in December 2017, where a diverse group of people (""omputer scientists, entrepreneurs, business leaders, politicians, journalists, researchers and a pastor"") talked about the ""impact of AI on societies, governmen"&amp;"ts and the relations between states, and between states and companies"". I'm glad to see more thought being put into AI policy, and especially what the effects of AI may be on world stability.")</f>
        <v>A report from a workshop held in the UK in December 2017, where a diverse group of people ("omputer scientists, entrepreneurs, business leaders, politicians, journalists, researchers and a pastor") talked about the "impact of AI on societies, governments and the relations between states, and between states and companies". I'm glad to see more thought being put into AI policy, and especially what the effects of AI may be on world stability.</v>
      </c>
      <c r="K200" t="str">
        <f>IFERROR(__xludf.DUMMYFUNCTION("""COMPUTED_VALUE"""),"As we might expect, the report raises more questions than answers. If you think a lot about this space, it is worth reading -- it proposes a classification of problems that's different from ones I've seen before -- but I really only expect it to be useful"&amp;" to people actively doing research in this space.")</f>
        <v>As we might expect, the report raises more questions than answers. If you think a lot about this space, it is worth reading -- it proposes a classification of problems that's different from ones I've seen before -- but I really only expect it to be useful to people actively doing research in this space.</v>
      </c>
    </row>
    <row r="201">
      <c r="A201" s="1" t="str">
        <f>IFERROR(__xludf.DUMMYFUNCTION("""COMPUTED_VALUE"""),"AI governance")</f>
        <v>AI governance</v>
      </c>
      <c r="B201" s="1" t="str">
        <f>IFERROR(__xludf.DUMMYFUNCTION("""COMPUTED_VALUE"""),"")</f>
        <v/>
      </c>
      <c r="C201" s="2" t="str">
        <f>IFERROR(__xludf.DUMMYFUNCTION("""COMPUTED_VALUE"""),"Deciphering China's AI Dream")</f>
        <v>Deciphering China's AI Dream</v>
      </c>
      <c r="D201" s="1" t="str">
        <f>IFERROR(__xludf.DUMMYFUNCTION("""COMPUTED_VALUE"""),"Jeffrey Ding")</f>
        <v>Jeffrey Ding</v>
      </c>
      <c r="E201" s="1" t="str">
        <f>IFERROR(__xludf.DUMMYFUNCTION("""COMPUTED_VALUE"""),"N/A")</f>
        <v>N/A</v>
      </c>
      <c r="F201" s="1">
        <f>IFERROR(__xludf.DUMMYFUNCTION("""COMPUTED_VALUE"""),2018.0)</f>
        <v>2018</v>
      </c>
      <c r="G201" s="1"/>
      <c r="H201" s="2" t="str">
        <f>IFERROR(__xludf.DUMMYFUNCTION("""COMPUTED_VALUE"""),"Recon #5")</f>
        <v>Recon #5</v>
      </c>
      <c r="I201" s="1" t="str">
        <f>IFERROR(__xludf.DUMMYFUNCTION("""COMPUTED_VALUE"""),"Rohin")</f>
        <v>Rohin</v>
      </c>
      <c r="J201" s="1" t="str">
        <f>IFERROR(__xludf.DUMMYFUNCTION("""COMPUTED_VALUE"""),"")</f>
        <v/>
      </c>
      <c r="K201" t="str">
        <f>IFERROR(__xludf.DUMMYFUNCTION("""COMPUTED_VALUE"""),"")</f>
        <v/>
      </c>
    </row>
    <row r="202">
      <c r="A202" s="1" t="str">
        <f>IFERROR(__xludf.DUMMYFUNCTION("""COMPUTED_VALUE"""),"AI governance")</f>
        <v>AI governance</v>
      </c>
      <c r="B202" s="1" t="str">
        <f>IFERROR(__xludf.DUMMYFUNCTION("""COMPUTED_VALUE"""),"")</f>
        <v/>
      </c>
      <c r="C202" s="2" t="str">
        <f>IFERROR(__xludf.DUMMYFUNCTION("""COMPUTED_VALUE"""),"Commoditisation of AI, digital forgery and the end of trust: how we can fix it")</f>
        <v>Commoditisation of AI, digital forgery and the end of trust: how we can fix it</v>
      </c>
      <c r="D202" s="1" t="str">
        <f>IFERROR(__xludf.DUMMYFUNCTION("""COMPUTED_VALUE"""),"Giorgio Patrini, Simone Lini, Hamish Ivey-Law and Morten Dahl.")</f>
        <v>Giorgio Patrini, Simone Lini, Hamish Ivey-Law and Morten Dahl.</v>
      </c>
      <c r="E202" s="1" t="str">
        <f>IFERROR(__xludf.DUMMYFUNCTION("""COMPUTED_VALUE"""),"N/A")</f>
        <v>N/A</v>
      </c>
      <c r="F202" s="1">
        <f>IFERROR(__xludf.DUMMYFUNCTION("""COMPUTED_VALUE"""),2018.0)</f>
        <v>2018</v>
      </c>
      <c r="G202" s="1"/>
      <c r="H202" s="2" t="str">
        <f>IFERROR(__xludf.DUMMYFUNCTION("""COMPUTED_VALUE"""),"Recon #5")</f>
        <v>Recon #5</v>
      </c>
      <c r="I202" s="1" t="str">
        <f>IFERROR(__xludf.DUMMYFUNCTION("""COMPUTED_VALUE"""),"Rohin")</f>
        <v>Rohin</v>
      </c>
      <c r="J202" s="1" t="str">
        <f>IFERROR(__xludf.DUMMYFUNCTION("""COMPUTED_VALUE"""),"This blog post talks about the many issues that could arise as digital forgery of audio and video gets better, and also talks about potential solutions and their pitfalls, such as digital signatures, and training ML models that can distinguish between rea"&amp;"l and fake media. He even has a simple but well-done experiment that looks at the ability of an ML model to see whether or not a face swap has happened.")</f>
        <v>This blog post talks about the many issues that could arise as digital forgery of audio and video gets better, and also talks about potential solutions and their pitfalls, such as digital signatures, and training ML models that can distinguish between real and fake media. He even has a simple but well-done experiment that looks at the ability of an ML model to see whether or not a face swap has happened.</v>
      </c>
      <c r="K202" t="str">
        <f>IFERROR(__xludf.DUMMYFUNCTION("""COMPUTED_VALUE"""),"If you haven't thought about digital forgery and its implications before, I strongly recommend it; otherwise I'd recommend you only read the section titled ""A weekend experiment.""")</f>
        <v>If you haven't thought about digital forgery and its implications before, I strongly recommend it; otherwise I'd recommend you only read the section titled "A weekend experiment."</v>
      </c>
      <c r="M202" s="3" t="str">
        <f>IFERROR(__xludf.DUMMYFUNCTION("""COMPUTED_VALUE"""),"The Malicious Use of Artificial Intelligence: Forecasting, Prevention, and Mitigation")</f>
        <v>The Malicious Use of Artificial Intelligence: Forecasting, Prevention, and Mitigation</v>
      </c>
    </row>
    <row r="203">
      <c r="A203" s="1" t="str">
        <f>IFERROR(__xludf.DUMMYFUNCTION("""COMPUTED_VALUE"""),"AI governance")</f>
        <v>AI governance</v>
      </c>
      <c r="B203" s="1" t="str">
        <f>IFERROR(__xludf.DUMMYFUNCTION("""COMPUTED_VALUE"""),"")</f>
        <v/>
      </c>
      <c r="C203" s="2" t="str">
        <f>IFERROR(__xludf.DUMMYFUNCTION("""COMPUTED_VALUE"""),"‘Skynet’ Revisited: The Dangerous Allure of Nuclear Command Automation")</f>
        <v>‘Skynet’ Revisited: The Dangerous Allure of Nuclear Command Automation</v>
      </c>
      <c r="D203" s="1" t="str">
        <f>IFERROR(__xludf.DUMMYFUNCTION("""COMPUTED_VALUE"""),"Michael T. Klare")</f>
        <v>Michael T. Klare</v>
      </c>
      <c r="E203" s="1" t="str">
        <f>IFERROR(__xludf.DUMMYFUNCTION("""COMPUTED_VALUE"""),"Arms Control Today")</f>
        <v>Arms Control Today</v>
      </c>
      <c r="F203" s="1">
        <f>IFERROR(__xludf.DUMMYFUNCTION("""COMPUTED_VALUE"""),2020.0)</f>
        <v>2020</v>
      </c>
      <c r="G203" s="1" t="str">
        <f>IFERROR(__xludf.DUMMYFUNCTION("""COMPUTED_VALUE"""),"Jon Rodriguez")</f>
        <v>Jon Rodriguez</v>
      </c>
      <c r="H203" s="2" t="str">
        <f>IFERROR(__xludf.DUMMYFUNCTION("""COMPUTED_VALUE"""),"AN #96")</f>
        <v>AN #96</v>
      </c>
      <c r="I203" s="1" t="str">
        <f>IFERROR(__xludf.DUMMYFUNCTION("""COMPUTED_VALUE"""),"Rohin")</f>
        <v>Rohin</v>
      </c>
      <c r="J203" s="1" t="str">
        <f>IFERROR(__xludf.DUMMYFUNCTION("""COMPUTED_VALUE"""),"While I won't summarize this article in full here, I found it useful to see how some academics are thinking about the risks of automation in the military, as well as to get a picture of what current automation efforts actually look like. One quote I found"&amp;" particularly interesting:
“You will find no stronger proponent of integration of AI capabilities writ large into the Department of Defense,” said Lieutenant General Jack Shanahan, director of the Joint Artificial Intelligence Center (JAIC), at a Septemb"&amp;"er 2019 conference at Georgetown University, “but there is one area where I pause, and it has to do with nuclear command and control.” Referring to [an] article’s assertion that an automated U.S. nuclear launch ability is needed, he said, “I read that. An"&amp;"d my immediate answer is, ‘No. We do not.’”")</f>
        <v>While I won't summarize this article in full here, I found it useful to see how some academics are thinking about the risks of automation in the military, as well as to get a picture of what current automation efforts actually look like. One quote I found particularly interesting:
“You will find no stronger proponent of integration of AI capabilities writ large into the Department of Defense,” said Lieutenant General Jack Shanahan, director of the Joint Artificial Intelligence Center (JAIC), at a September 2019 conference at Georgetown University, “but there is one area where I pause, and it has to do with nuclear command and control.” Referring to [an] article’s assertion that an automated U.S. nuclear launch ability is needed, he said, “I read that. And my immediate answer is, ‘No. We do not.’”</v>
      </c>
    </row>
    <row r="204">
      <c r="A204" s="1" t="str">
        <f>IFERROR(__xludf.DUMMYFUNCTION("""COMPUTED_VALUE"""),"AI governance")</f>
        <v>AI governance</v>
      </c>
      <c r="B204" s="1" t="str">
        <f>IFERROR(__xludf.DUMMYFUNCTION("""COMPUTED_VALUE"""),"")</f>
        <v/>
      </c>
      <c r="C204" s="2" t="str">
        <f>IFERROR(__xludf.DUMMYFUNCTION("""COMPUTED_VALUE"""),"Activism by the AI Community: Analysing Recent Achievements and Future Prospects")</f>
        <v>Activism by the AI Community: Analysing Recent Achievements and Future Prospects</v>
      </c>
      <c r="D204" s="1" t="str">
        <f>IFERROR(__xludf.DUMMYFUNCTION("""COMPUTED_VALUE"""),"Haydn Belfield")</f>
        <v>Haydn Belfield</v>
      </c>
      <c r="E204" s="1" t="str">
        <f>IFERROR(__xludf.DUMMYFUNCTION("""COMPUTED_VALUE"""),"CSER Website")</f>
        <v>CSER Website</v>
      </c>
      <c r="F204" s="1">
        <f>IFERROR(__xludf.DUMMYFUNCTION("""COMPUTED_VALUE"""),2020.0)</f>
        <v>2020</v>
      </c>
      <c r="G204" s="1"/>
      <c r="H204" s="2" t="str">
        <f>IFERROR(__xludf.DUMMYFUNCTION("""COMPUTED_VALUE"""),"AN #90")</f>
        <v>AN #90</v>
      </c>
      <c r="I204" s="1" t="str">
        <f>IFERROR(__xludf.DUMMYFUNCTION("""COMPUTED_VALUE"""),"Rohin")</f>
        <v>Rohin</v>
      </c>
      <c r="J204" s="1" t="str">
        <f>IFERROR(__xludf.DUMMYFUNCTION("""COMPUTED_VALUE"""),"The AI community has been surprisingly effective at activism: it has led to discussions of a ban on lethal autonomous weapons systems (LAWS), created several initiatives on safety and ethics, and has won several victories through organizing (e.g. Project "&amp;"Maven). What explains this success, and should we expect it to continue in the future? This paper looks at this through two lenses.
First, the AI community can be considered an _epistemic community_: a network of knowledge-based experts with coherent bel"&amp;"iefs and values on a relevant topic. This seems particularly relevant for LAWS: the AI community clearly has relevant expertise to contribute, and policymakers are looking for good technical input. From this perspective, the main threats to future success"&amp;" are that the issues (such as LAWS) become less novel, that the area may become politicized, and that the community beliefs may become less cohesive.
Second, the AI community can be modeled as organized labor (akin to unions): since there is high demand "&amp;"for AI researchers, and their output is particularly important for company products, and the companies are more vulnerable to public pressure, AI researchers wield a lot of soft power when they are united. The main threat to this success is the growing po"&amp;"ol of talent that will soon be available (given the emphasis on training experts in AI today), which will reduce the supply-demand imbalance, and may reduce how commited the AI community as a whole is to collective action.
Overall, it seems that the AI c"&amp;"ommunity has had good success at activism so far, but it is unclear whether it will continue in the future.")</f>
        <v>The AI community has been surprisingly effective at activism: it has led to discussions of a ban on lethal autonomous weapons systems (LAWS), created several initiatives on safety and ethics, and has won several victories through organizing (e.g. Project Maven). What explains this success, and should we expect it to continue in the future? This paper looks at this through two lenses.
First, the AI community can be considered an _epistemic community_: a network of knowledge-based experts with coherent beliefs and values on a relevant topic. This seems particularly relevant for LAWS: the AI community clearly has relevant expertise to contribute, and policymakers are looking for good technical input. From this perspective, the main threats to future success are that the issues (such as LAWS) become less novel, that the area may become politicized, and that the community beliefs may become less cohesive.
Second, the AI community can be modeled as organized labor (akin to unions): since there is high demand for AI researchers, and their output is particularly important for company products, and the companies are more vulnerable to public pressure, AI researchers wield a lot of soft power when they are united. The main threat to this success is the growing pool of talent that will soon be available (given the emphasis on training experts in AI today), which will reduce the supply-demand imbalance, and may reduce how commited the AI community as a whole is to collective action.
Overall, it seems that the AI community has had good success at activism so far, but it is unclear whether it will continue in the future.</v>
      </c>
      <c r="K204" t="str">
        <f>IFERROR(__xludf.DUMMYFUNCTION("""COMPUTED_VALUE"""),"I think the ability of the AI community to cause things to happen via activism is quite important: it seems much more likely that if AI x-risk concerns are serious, we will be able to convince the AI community of them, rather than say the government, or c"&amp;"ompany executives. This mechanism of action seems much more like the ""epistemic community"" model used in this paper: we would be using our position as experts on AI to convince decision makers to take appropriate precautions with sufficiently powerful A"&amp;"I systems. Applying the discussion from the paper to this case, we get the perhaps unsurprising conclusion that it is primarily important that we build consensus amongst AI researchers about how risky any particular system is.")</f>
        <v>I think the ability of the AI community to cause things to happen via activism is quite important: it seems much more likely that if AI x-risk concerns are serious, we will be able to convince the AI community of them, rather than say the government, or company executives. This mechanism of action seems much more like the "epistemic community" model used in this paper: we would be using our position as experts on AI to convince decision makers to take appropriate precautions with sufficiently powerful AI systems. Applying the discussion from the paper to this case, we get the perhaps unsurprising conclusion that it is primarily important that we build consensus amongst AI researchers about how risky any particular system is.</v>
      </c>
    </row>
    <row r="205">
      <c r="A205" s="1" t="str">
        <f>IFERROR(__xludf.DUMMYFUNCTION("""COMPUTED_VALUE"""),"AI governance")</f>
        <v>AI governance</v>
      </c>
      <c r="B205" s="1" t="str">
        <f>IFERROR(__xludf.DUMMYFUNCTION("""COMPUTED_VALUE"""),"")</f>
        <v/>
      </c>
      <c r="C205" s="2" t="str">
        <f>IFERROR(__xludf.DUMMYFUNCTION("""COMPUTED_VALUE"""),"Beyond Near- and Long-Term: Towards a Clearer Account of Research Priorities in AI Ethics and Society")</f>
        <v>Beyond Near- and Long-Term: Towards a Clearer Account of Research Priorities in AI Ethics and Society</v>
      </c>
      <c r="D205" s="1" t="str">
        <f>IFERROR(__xludf.DUMMYFUNCTION("""COMPUTED_VALUE"""),"Carina Prunkl and Jess Whittlestone")</f>
        <v>Carina Prunkl and Jess Whittlestone</v>
      </c>
      <c r="E205" s="1" t="str">
        <f>IFERROR(__xludf.DUMMYFUNCTION("""COMPUTED_VALUE"""),"CSER Website")</f>
        <v>CSER Website</v>
      </c>
      <c r="F205" s="1">
        <f>IFERROR(__xludf.DUMMYFUNCTION("""COMPUTED_VALUE"""),2020.0)</f>
        <v>2020</v>
      </c>
      <c r="G205" s="1"/>
      <c r="H205" s="2" t="str">
        <f>IFERROR(__xludf.DUMMYFUNCTION("""COMPUTED_VALUE"""),"AN #90")</f>
        <v>AN #90</v>
      </c>
      <c r="I205" s="1" t="str">
        <f>IFERROR(__xludf.DUMMYFUNCTION("""COMPUTED_VALUE"""),"Rohin")</f>
        <v>Rohin</v>
      </c>
      <c r="J205" s="1" t="str">
        <f>IFERROR(__xludf.DUMMYFUNCTION("""COMPUTED_VALUE"""),"This paper argues that the existing near-term / long-term distinction conflates four different axes on which research could differ: the capability level of AI systems (current pattern-matching systems vs. future intelligent systems), the impacts of AI sys"&amp;"tems (impacts that are being felt now like fairness vs. ones that will be felt in the future like x-risks), certainty (things that will definitely be problems vs. risks that are more speculative) and extremity (whether to prioritize particularly extreme r"&amp;"isks). While there are certainly correlations across these axes, they are not the same thing, and discourse would be significantly improved by disambiguating the axes. For example, both authors of the paper see their work as considering the medium-to-long"&amp;"-term impacts of near-to-medium-term AI capabilities.")</f>
        <v>This paper argues that the existing near-term / long-term distinction conflates four different axes on which research could differ: the capability level of AI systems (current pattern-matching systems vs. future intelligent systems), the impacts of AI systems (impacts that are being felt now like fairness vs. ones that will be felt in the future like x-risks), certainty (things that will definitely be problems vs. risks that are more speculative) and extremity (whether to prioritize particularly extreme risks). While there are certainly correlations across these axes, they are not the same thing, and discourse would be significantly improved by disambiguating the axes. For example, both authors of the paper see their work as considering the medium-to-long-term impacts of near-to-medium-term AI capabilities.</v>
      </c>
      <c r="K205" t="str">
        <f>IFERROR(__xludf.DUMMYFUNCTION("""COMPUTED_VALUE"""),"I definitely agree that near-term and long-term often seem to mean many different things, and I certainly support efforts to be more precise in our language.
While we're talking about near-term and long-term, I'll add in my own gripe: ""long-term"" impli"&amp;"es that the effects will be felt only in the far future, even though many people focused on such effects are doing so because there's a significant probability of such effects being felt in only a few decades.")</f>
        <v>I definitely agree that near-term and long-term often seem to mean many different things, and I certainly support efforts to be more precise in our language.
While we're talking about near-term and long-term, I'll add in my own gripe: "long-term" implies that the effects will be felt only in the far future, even though many people focused on such effects are doing so because there's a significant probability of such effects being felt in only a few decades.</v>
      </c>
    </row>
    <row r="206">
      <c r="A206" s="1" t="str">
        <f>IFERROR(__xludf.DUMMYFUNCTION("""COMPUTED_VALUE"""),"AI governance")</f>
        <v>AI governance</v>
      </c>
      <c r="B206" s="1" t="str">
        <f>IFERROR(__xludf.DUMMYFUNCTION("""COMPUTED_VALUE"""),"")</f>
        <v/>
      </c>
      <c r="C206" s="2" t="str">
        <f>IFERROR(__xludf.DUMMYFUNCTION("""COMPUTED_VALUE"""),"How a Pentagon Contract Became an Identity Crisis for Google")</f>
        <v>How a Pentagon Contract Became an Identity Crisis for Google</v>
      </c>
      <c r="D206" s="1" t="str">
        <f>IFERROR(__xludf.DUMMYFUNCTION("""COMPUTED_VALUE"""),"Scott Shane, Cade Metz and Daisuke Wakabayashi")</f>
        <v>Scott Shane, Cade Metz and Daisuke Wakabayashi</v>
      </c>
      <c r="E206" s="1" t="str">
        <f>IFERROR(__xludf.DUMMYFUNCTION("""COMPUTED_VALUE"""),"New York Times")</f>
        <v>New York Times</v>
      </c>
      <c r="F206" s="1">
        <f>IFERROR(__xludf.DUMMYFUNCTION("""COMPUTED_VALUE"""),2018.0)</f>
        <v>2018</v>
      </c>
      <c r="G206" s="1"/>
      <c r="H206" s="2" t="str">
        <f>IFERROR(__xludf.DUMMYFUNCTION("""COMPUTED_VALUE"""),"AN #9")</f>
        <v>AN #9</v>
      </c>
      <c r="I206" s="1" t="str">
        <f>IFERROR(__xludf.DUMMYFUNCTION("""COMPUTED_VALUE"""),"Rohin")</f>
        <v>Rohin</v>
      </c>
      <c r="J206" s="1" t="str">
        <f>IFERROR(__xludf.DUMMYFUNCTION("""COMPUTED_VALUE"""),"After Google accepted a share of the contract for the Maven program run by the Defense Department, Google has been internally fractured, with many employees strongly opposing the use of AI for military applications.")</f>
        <v>After Google accepted a share of the contract for the Maven program run by the Defense Department, Google has been internally fractured, with many employees strongly opposing the use of AI for military applications.</v>
      </c>
      <c r="K206" t="str">
        <f>IFERROR(__xludf.DUMMYFUNCTION("""COMPUTED_VALUE"""),"Stories like this make me optimistic that we can actually coordinate AI researchers to take appropriate safety precautions when developing advanced AI systems, even if the economic incentives point in the other direction (and I'm not sure they do).")</f>
        <v>Stories like this make me optimistic that we can actually coordinate AI researchers to take appropriate safety precautions when developing advanced AI systems, even if the economic incentives point in the other direction (and I'm not sure they do).</v>
      </c>
    </row>
    <row r="207">
      <c r="A207" s="1" t="str">
        <f>IFERROR(__xludf.DUMMYFUNCTION("""COMPUTED_VALUE"""),"AI governance")</f>
        <v>AI governance</v>
      </c>
      <c r="B207" s="1" t="str">
        <f>IFERROR(__xludf.DUMMYFUNCTION("""COMPUTED_VALUE"""),"")</f>
        <v/>
      </c>
      <c r="C207" s="2" t="str">
        <f>IFERROR(__xludf.DUMMYFUNCTION("""COMPUTED_VALUE"""),"AI Alignment Podcast: On the Long-term Importance of Current AI Policy")</f>
        <v>AI Alignment Podcast: On the Long-term Importance of Current AI Policy</v>
      </c>
      <c r="D207" s="1" t="str">
        <f>IFERROR(__xludf.DUMMYFUNCTION("""COMPUTED_VALUE"""),"Lucas Perry, Nicolas Moës and Jared Brown")</f>
        <v>Lucas Perry, Nicolas Moës and Jared Brown</v>
      </c>
      <c r="E207" s="1" t="str">
        <f>IFERROR(__xludf.DUMMYFUNCTION("""COMPUTED_VALUE"""),"FLI Website")</f>
        <v>FLI Website</v>
      </c>
      <c r="F207" s="1">
        <f>IFERROR(__xludf.DUMMYFUNCTION("""COMPUTED_VALUE"""),2020.0)</f>
        <v>2020</v>
      </c>
      <c r="G207" s="1"/>
      <c r="H207" s="2" t="str">
        <f>IFERROR(__xludf.DUMMYFUNCTION("""COMPUTED_VALUE"""),"AN #89")</f>
        <v>AN #89</v>
      </c>
      <c r="I207" s="1" t="str">
        <f>IFERROR(__xludf.DUMMYFUNCTION("""COMPUTED_VALUE"""),"Rohin")</f>
        <v>Rohin</v>
      </c>
      <c r="J207" s="1" t="str">
        <f>IFERROR(__xludf.DUMMYFUNCTION("""COMPUTED_VALUE"""),"While this podcast focuses both on the details of current policy as well as the long-term impact of engaging in policy today, I'm mostly interested in the latter, and so will simply quote Lucas's summary of points for that part:
1) Experience gained on s"&amp;"hort-term AI policy issues is important to be considered a relevant advisor on long-term AI policy issues coming up in the future.
2) There are very few people that care about AGI safety currently in government, politics or in policy communities.
3) There"&amp;" are opportunities to influence current AI policy decisions in order to provide a fertile ground for future policy decisions or, better but rarer, to be directly shaping AGI safety policy today through evergreen texts. Future policy that is implemented is"&amp;" path dependent on current policy that we implement today. What we do now is precedent setting.
4) There are opportunities today to develop a skillset useful for other policy issues and causes.
5) Little resource is being spent on this avenue for impact, "&amp;"so the current return on investment is quite good.")</f>
        <v>While this podcast focuses both on the details of current policy as well as the long-term impact of engaging in policy today, I'm mostly interested in the latter, and so will simply quote Lucas's summary of points for that part:
1) Experience gained on short-term AI policy issues is important to be considered a relevant advisor on long-term AI policy issues coming up in the future.
2) There are very few people that care about AGI safety currently in government, politics or in policy communities.
3) There are opportunities to influence current AI policy decisions in order to provide a fertile ground for future policy decisions or, better but rarer, to be directly shaping AGI safety policy today through evergreen texts. Future policy that is implemented is path dependent on current policy that we implement today. What we do now is precedent setting.
4) There are opportunities today to develop a skillset useful for other policy issues and causes.
5) Little resource is being spent on this avenue for impact, so the current return on investment is quite good.</v>
      </c>
      <c r="K207" t="str">
        <f>IFERROR(__xludf.DUMMYFUNCTION("""COMPUTED_VALUE"""),"I think quite a lot about points 1 and 3, which I think also apply to technical safety research, not just policy. For our research to have an impact, it is necessary that either the research or its authors have enough credibility to actually influence dec"&amp;"ision-makers. In addition, the problems we will face in the future could depend on technical work done today: for example, if we were convinced that (say) AIs trained via evolution are too risky, we could push for AI to be developed in other ways now.")</f>
        <v>I think quite a lot about points 1 and 3, which I think also apply to technical safety research, not just policy. For our research to have an impact, it is necessary that either the research or its authors have enough credibility to actually influence decision-makers. In addition, the problems we will face in the future could depend on technical work done today: for example, if we were convinced that (say) AIs trained via evolution are too risky, we could push for AI to be developed in other ways now.</v>
      </c>
    </row>
    <row r="208">
      <c r="A208" s="1" t="str">
        <f>IFERROR(__xludf.DUMMYFUNCTION("""COMPUTED_VALUE"""),"AI governance")</f>
        <v>AI governance</v>
      </c>
      <c r="B208" s="1" t="str">
        <f>IFERROR(__xludf.DUMMYFUNCTION("""COMPUTED_VALUE"""),"")</f>
        <v/>
      </c>
      <c r="C208" s="2" t="str">
        <f>IFERROR(__xludf.DUMMYFUNCTION("""COMPUTED_VALUE"""),"FLI Podcast: Distributing the Benefits of AI via the Windfall Clause")</f>
        <v>FLI Podcast: Distributing the Benefits of AI via the Windfall Clause</v>
      </c>
      <c r="D208" s="1" t="str">
        <f>IFERROR(__xludf.DUMMYFUNCTION("""COMPUTED_VALUE"""),"Lucas Perry and Cullen O’Keefe")</f>
        <v>Lucas Perry and Cullen O’Keefe</v>
      </c>
      <c r="E208" s="1" t="str">
        <f>IFERROR(__xludf.DUMMYFUNCTION("""COMPUTED_VALUE"""),"FLI Website")</f>
        <v>FLI Website</v>
      </c>
      <c r="F208" s="1">
        <f>IFERROR(__xludf.DUMMYFUNCTION("""COMPUTED_VALUE"""),2020.0)</f>
        <v>2020</v>
      </c>
      <c r="G208" s="1"/>
      <c r="H208" s="2" t="str">
        <f>IFERROR(__xludf.DUMMYFUNCTION("""COMPUTED_VALUE"""),"AN #89")</f>
        <v>AN #89</v>
      </c>
      <c r="I208" s="1" t="str">
        <f>IFERROR(__xludf.DUMMYFUNCTION("""COMPUTED_VALUE"""),"Rohin")</f>
        <v>Rohin</v>
      </c>
      <c r="J208" s="1" t="str">
        <f>IFERROR(__xludf.DUMMYFUNCTION("""COMPUTED_VALUE"""),"[Last week](https://mailchi.mp/9d279b575b1a/an-88-how-the-principal-agent-literature-relates-to-ai-risk), we had a brief summary of the [Windfall Clause](https://www.fhi.ox.ac.uk/windfallclause/) paper. This podcast goes into more depth about the potentia"&amp;"l benefits and objections to this clause: it's in some sense a more accessible and conversational elaboration of many of the points made in the paper.")</f>
        <v>[Last week](https://mailchi.mp/9d279b575b1a/an-88-how-the-principal-agent-literature-relates-to-ai-risk), we had a brief summary of the [Windfall Clause](https://www.fhi.ox.ac.uk/windfallclause/) paper. This podcast goes into more depth about the potential benefits and objections to this clause: it's in some sense a more accessible and conversational elaboration of many of the points made in the paper.</v>
      </c>
    </row>
    <row r="209">
      <c r="A209" s="1" t="str">
        <f>IFERROR(__xludf.DUMMYFUNCTION("""COMPUTED_VALUE"""),"AI governance")</f>
        <v>AI governance</v>
      </c>
      <c r="B209" s="1" t="str">
        <f>IFERROR(__xludf.DUMMYFUNCTION("""COMPUTED_VALUE"""),"")</f>
        <v/>
      </c>
      <c r="C209" s="2" t="str">
        <f>IFERROR(__xludf.DUMMYFUNCTION("""COMPUTED_VALUE"""),"Who owns artificial intelligence? A preliminary analysis of corporate intellectual property strategies and why they matter")</f>
        <v>Who owns artificial intelligence? A preliminary analysis of corporate intellectual property strategies and why they matter</v>
      </c>
      <c r="D209" s="1" t="str">
        <f>IFERROR(__xludf.DUMMYFUNCTION("""COMPUTED_VALUE"""),"Nathan Calvin, Jade Leung")</f>
        <v>Nathan Calvin, Jade Leung</v>
      </c>
      <c r="E209" s="1" t="str">
        <f>IFERROR(__xludf.DUMMYFUNCTION("""COMPUTED_VALUE"""),"FHI Website")</f>
        <v>FHI Website</v>
      </c>
      <c r="F209" s="1">
        <f>IFERROR(__xludf.DUMMYFUNCTION("""COMPUTED_VALUE"""),2020.0)</f>
        <v>2020</v>
      </c>
      <c r="G209" s="1"/>
      <c r="H209" s="2" t="str">
        <f>IFERROR(__xludf.DUMMYFUNCTION("""COMPUTED_VALUE"""),"AN #88")</f>
        <v>AN #88</v>
      </c>
      <c r="I209" s="1" t="str">
        <f>IFERROR(__xludf.DUMMYFUNCTION("""COMPUTED_VALUE"""),"Rohin")</f>
        <v>Rohin</v>
      </c>
      <c r="J209" s="1" t="str">
        <f>IFERROR(__xludf.DUMMYFUNCTION("""COMPUTED_VALUE"""),"This paper analyzes intellectual property (IP) considerations as they relate to AI. They identify two main incentives for companies: first, to publish AI research openly in order to attract top talent, and second, holding enough patents that they can cred"&amp;"ibly threaten to sue other companies for patent infringement. This second criterion lets companies stay in a mutually-assured-destruction (MAD) scenario, where if any one company litigates for patent infringement, they will quickly be met with a countersu"&amp;"it, and so the (fragile) equilibrium is to avoid litigation. They also identify two incentives for governments: first, to provide patents as a financial incentive for innovation in order to incentivize research, and second, to allow their own national sec"&amp;"urity apparatus to use state of the art research while keeping it secret from perceived rivals.
Based on this analysis, they propose three scenarios that could unfold in the future. First, the status quo continues, in which companies keep acquiring paten"&amp;"ts in order to maintain the MAD equilibrium. Second, the equilibrium breaks, with one company litigating that then causes all the other companies to also litigate. This could result in most research becoming secret, in order to ensure that other companies"&amp;" can't ""steal"" the work and get a patent first. Similarly, contributions to open-source research might decrease, as it would be particularly easy to use such contributions as evidence of patent infringement. Third, more ""patent pools"" get created, in "&amp;"which multiple companies pool their patents together, to reduce the risk of litigation. Such patent pools could also be used to enforce other principles: with a sufficiently large patent pool, it could be the case that in order to remain competitive actor"&amp;"s must license from the patent pool, and such licensing agreements could enforce specific ethical principles (although it would have to be careful to avoid violating antitrust law).")</f>
        <v>This paper analyzes intellectual property (IP) considerations as they relate to AI. They identify two main incentives for companies: first, to publish AI research openly in order to attract top talent, and second, holding enough patents that they can credibly threaten to sue other companies for patent infringement. This second criterion lets companies stay in a mutually-assured-destruction (MAD) scenario, where if any one company litigates for patent infringement, they will quickly be met with a countersuit, and so the (fragile) equilibrium is to avoid litigation. They also identify two incentives for governments: first, to provide patents as a financial incentive for innovation in order to incentivize research, and second, to allow their own national security apparatus to use state of the art research while keeping it secret from perceived rivals.
Based on this analysis, they propose three scenarios that could unfold in the future. First, the status quo continues, in which companies keep acquiring patents in order to maintain the MAD equilibrium. Second, the equilibrium breaks, with one company litigating that then causes all the other companies to also litigate. This could result in most research becoming secret, in order to ensure that other companies can't "steal" the work and get a patent first. Similarly, contributions to open-source research might decrease, as it would be particularly easy to use such contributions as evidence of patent infringement. Third, more "patent pools" get created, in which multiple companies pool their patents together, to reduce the risk of litigation. Such patent pools could also be used to enforce other principles: with a sufficiently large patent pool, it could be the case that in order to remain competitive actors must license from the patent pool, and such licensing agreements could enforce specific ethical principles (although it would have to be careful to avoid violating antitrust law).</v>
      </c>
      <c r="K209" t="str">
        <f>IFERROR(__xludf.DUMMYFUNCTION("""COMPUTED_VALUE"""),"I enjoyed this paper; it seems good to have a better picture of the potential future of openness in AI research, for the reasons given in [Strategic Implications of Openness in AI Development](https://www.nickbostrom.com/papers/openness.pdf). You could al"&amp;"so imagine patent pools as a vehicle for safety, as they are one possible way by which companies can cooperate to ensure a shared commitment to safety (along the lines of &lt;@OpenAI's charter@&gt;(@OpenAI Charter@)): they could tie competitiveness (which requi"&amp;"res use of the research protected by the patent pool) to safety (the conditions involved in licensing the research in the patent pool).")</f>
        <v>I enjoyed this paper; it seems good to have a better picture of the potential future of openness in AI research, for the reasons given in [Strategic Implications of Openness in AI Development](https://www.nickbostrom.com/papers/openness.pdf). You could also imagine patent pools as a vehicle for safety, as they are one possible way by which companies can cooperate to ensure a shared commitment to safety (along the lines of &lt;@OpenAI's charter@&gt;(@OpenAI Charter@)): they could tie competitiveness (which requires use of the research protected by the patent pool) to safety (the conditions involved in licensing the research in the patent pool).</v>
      </c>
    </row>
    <row r="210">
      <c r="A210" s="1" t="str">
        <f>IFERROR(__xludf.DUMMYFUNCTION("""COMPUTED_VALUE"""),"AI governance")</f>
        <v>AI governance</v>
      </c>
      <c r="B210" s="1" t="str">
        <f>IFERROR(__xludf.DUMMYFUNCTION("""COMPUTED_VALUE"""),"")</f>
        <v/>
      </c>
      <c r="C210" s="2" t="str">
        <f>IFERROR(__xludf.DUMMYFUNCTION("""COMPUTED_VALUE"""),"Social and Governance Implications of Improved Data Efficiency")</f>
        <v>Social and Governance Implications of Improved Data Efficiency</v>
      </c>
      <c r="D210" s="1" t="str">
        <f>IFERROR(__xludf.DUMMYFUNCTION("""COMPUTED_VALUE"""),"Aaron D. Tucker, Markus Anderljung, Allan Dafoe")</f>
        <v>Aaron D. Tucker, Markus Anderljung, Allan Dafoe</v>
      </c>
      <c r="E210" s="1" t="str">
        <f>IFERROR(__xludf.DUMMYFUNCTION("""COMPUTED_VALUE"""),"arXiv")</f>
        <v>arXiv</v>
      </c>
      <c r="F210" s="1">
        <f>IFERROR(__xludf.DUMMYFUNCTION("""COMPUTED_VALUE"""),2020.0)</f>
        <v>2020</v>
      </c>
      <c r="G210" s="1"/>
      <c r="H210" s="2" t="str">
        <f>IFERROR(__xludf.DUMMYFUNCTION("""COMPUTED_VALUE"""),"AN #88")</f>
        <v>AN #88</v>
      </c>
      <c r="I210" s="1" t="str">
        <f>IFERROR(__xludf.DUMMYFUNCTION("""COMPUTED_VALUE"""),"Rohin")</f>
        <v>Rohin</v>
      </c>
      <c r="J210" s="1" t="str">
        <f>IFERROR(__xludf.DUMMYFUNCTION("""COMPUTED_VALUE"""),"Few-shot learning, meta learning, transfer learning, active learning: there's a lot of types of learning that are aiming to improve the data efficiency of ML techniques. What happens if we succeed? This paper propose two effects: an _access effect_, by wh"&amp;"ich smaller actors can start using ML capabilities with their smaller amounts of data, and a _performance effect_, by which existing actors see improvements in the performance of their AI systems (since their existing data goes further than it used to). I"&amp;"t then analyzes some societal implications of these effects.
By making it easier to reach a given performance with limited data, we will gain access to new applications where data is limited (e.g. machine translation of ancient languages), and for existi"&amp;"ng applications, more actors will be able to use ML capabilities (this also includes bad actors, who can more easily pursue malicious applications). However, it is not clear how this will affect the competitive advantage of large AI firms: while more acto"&amp;"rs can access a given level of performance, which might suggest more competition, the large AI firms also gain performance, which could reverse the effect. For example, improved data efficiency makes no difference in a pure winner-take-all situation, and "&amp;"_advantages_ the large firms in cases where the last few miles of performance lead to large gains in utility (e.g. self-driving cars).
The paper also makes two comments on the impacts for AI safety: that algorithms based on human oversight will become mo"&amp;"re competitive (as it will be more reasonable to collect expensive human data), and that distributional shift problems may become worse (since if you train on smaller amounts of data, you are less likely to see ""rare"" inputs).")</f>
        <v>Few-shot learning, meta learning, transfer learning, active learning: there's a lot of types of learning that are aiming to improve the data efficiency of ML techniques. What happens if we succeed? This paper propose two effects: an _access effect_, by which smaller actors can start using ML capabilities with their smaller amounts of data, and a _performance effect_, by which existing actors see improvements in the performance of their AI systems (since their existing data goes further than it used to). It then analyzes some societal implications of these effects.
By making it easier to reach a given performance with limited data, we will gain access to new applications where data is limited (e.g. machine translation of ancient languages), and for existing applications, more actors will be able to use ML capabilities (this also includes bad actors, who can more easily pursue malicious applications). However, it is not clear how this will affect the competitive advantage of large AI firms: while more actors can access a given level of performance, which might suggest more competition, the large AI firms also gain performance, which could reverse the effect. For example, improved data efficiency makes no difference in a pure winner-take-all situation, and _advantages_ the large firms in cases where the last few miles of performance lead to large gains in utility (e.g. self-driving cars).
The paper also makes two comments on the impacts for AI safety: that algorithms based on human oversight will become more competitive (as it will be more reasonable to collect expensive human data), and that distributional shift problems may become worse (since if you train on smaller amounts of data, you are less likely to see "rare" inputs).</v>
      </c>
      <c r="K210" t="str">
        <f>IFERROR(__xludf.DUMMYFUNCTION("""COMPUTED_VALUE"""),"While data efficiency is often motivated in AI by the promise of applications where data is limited, I am actually more excited about the thresholding effects mentioned in the paper, in which as you get the last little bit of performance left to get, the "&amp;"ML systems become robust enough to enable applications to be built on top of them (in the way that computer vision is (hopefully) robust enough that self-driving cars can be built on top of CV models). It seems quite likely to me that data efficiency and "&amp;"large data collection efforts together will tend to mean that the newest ML applications will happen in large firms rather than startups due to these thresholding effects. See also [Value of the Long Tail](https://www.lesswrong.com/posts/Nbcs5Fe2cxQuzje4K"&amp;"/value-of-the-long-tail).
I disagree with the point about distributional shift. I often think of ML as a search for a function that does the right thing on the training data. We start with a very large set of functions, and then as we get more training d"&amp;"ata, we can rule out more and more of the functions. The problem of distribution shift is that even after this, there's a large set of functions left over, and the ML model implements an arbitrary one of them, rather than the one we wanted; while this fun"&amp;"ction behaves as we want on the training set, it may not do so on the test set.
""Increased data efficiency"" means that we have some way of ruling out functions a priori that doesn't require access to data, or we get better at figuring out which functio"&amp;"ns should be ruled out by the data. Suppose for concreteness that our original ML algorithm gets 90% performance with 1,000 samples, and 95% with 10,000 samples, and our efficient ML algorithm that e.g. incorporates causality gets 95% performance with 1,0"&amp;"00 samples. Then the question we now have is ""do the 9000 extra samples eliminate more bad functions than the assumption of causality, given that they both end up with 95% performance?"" My guess would be that the ""assumption of causality"" does a bette"&amp;"r job of eliminating bad functions, because it will probably generalize outside of the training set, whereas the 9000 extra samples won't. (This doesn't depend on the fact that it is ""causality"" per se, just that it is a human-generated intuition.) So t"&amp;"his suggests that the efficient ML algorithm would be _more_ robust than the original one.")</f>
        <v>While data efficiency is often motivated in AI by the promise of applications where data is limited, I am actually more excited about the thresholding effects mentioned in the paper, in which as you get the last little bit of performance left to get, the ML systems become robust enough to enable applications to be built on top of them (in the way that computer vision is (hopefully) robust enough that self-driving cars can be built on top of CV models). It seems quite likely to me that data efficiency and large data collection efforts together will tend to mean that the newest ML applications will happen in large firms rather than startups due to these thresholding effects. See also [Value of the Long Tail](https://www.lesswrong.com/posts/Nbcs5Fe2cxQuzje4K/value-of-the-long-tail).
I disagree with the point about distributional shift. I often think of ML as a search for a function that does the right thing on the training data. We start with a very large set of functions, and then as we get more training data, we can rule out more and more of the functions. The problem of distribution shift is that even after this, there's a large set of functions left over, and the ML model implements an arbitrary one of them, rather than the one we wanted; while this function behaves as we want on the training set, it may not do so on the test set.
"Increased data efficiency" means that we have some way of ruling out functions a priori that doesn't require access to data, or we get better at figuring out which functions should be ruled out by the data. Suppose for concreteness that our original ML algorithm gets 90% performance with 1,000 samples, and 95% with 10,000 samples, and our efficient ML algorithm that e.g. incorporates causality gets 95% performance with 1,000 samples. Then the question we now have is "do the 9000 extra samples eliminate more bad functions than the assumption of causality, given that they both end up with 95% performance?" My guess would be that the "assumption of causality" does a better job of eliminating bad functions, because it will probably generalize outside of the training set, whereas the 9000 extra samples won't. (This doesn't depend on the fact that it is "causality" per se, just that it is a human-generated intuition.) So this suggests that the efficient ML algorithm would be _more_ robust than the original one.</v>
      </c>
    </row>
    <row r="211">
      <c r="A211" s="1" t="str">
        <f>IFERROR(__xludf.DUMMYFUNCTION("""COMPUTED_VALUE"""),"AI governance")</f>
        <v>AI governance</v>
      </c>
      <c r="B211" s="1" t="str">
        <f>IFERROR(__xludf.DUMMYFUNCTION("""COMPUTED_VALUE"""),"")</f>
        <v/>
      </c>
      <c r="C211" s="2" t="str">
        <f>IFERROR(__xludf.DUMMYFUNCTION("""COMPUTED_VALUE"""),"Should Artificial Intelligence Governance be Centralised? Design Lessons from History")</f>
        <v>Should Artificial Intelligence Governance be Centralised? Design Lessons from History</v>
      </c>
      <c r="D211" s="1" t="str">
        <f>IFERROR(__xludf.DUMMYFUNCTION("""COMPUTED_VALUE"""),"Peter Cihon, Matthijs Maas, and Luke Kemp")</f>
        <v>Peter Cihon, Matthijs Maas, and Luke Kemp</v>
      </c>
      <c r="E211" s="1" t="str">
        <f>IFERROR(__xludf.DUMMYFUNCTION("""COMPUTED_VALUE"""),"FHI Website")</f>
        <v>FHI Website</v>
      </c>
      <c r="F211" s="1">
        <f>IFERROR(__xludf.DUMMYFUNCTION("""COMPUTED_VALUE"""),2020.0)</f>
        <v>2020</v>
      </c>
      <c r="G211" s="1"/>
      <c r="H211" s="2" t="str">
        <f>IFERROR(__xludf.DUMMYFUNCTION("""COMPUTED_VALUE"""),"AN #88")</f>
        <v>AN #88</v>
      </c>
      <c r="I211" s="1" t="str">
        <f>IFERROR(__xludf.DUMMYFUNCTION("""COMPUTED_VALUE"""),"Rohin")</f>
        <v>Rohin</v>
      </c>
      <c r="J211" s="1" t="str">
        <f>IFERROR(__xludf.DUMMYFUNCTION("""COMPUTED_VALUE"""),"This paper tackles the question of whether or not AI governance should be centralized. In favor of centralized governance, we see that a centralized institution can have major political power, and can be more efficient by avoiding duplication of work and "&amp;"making it easier for actors to comply. However, a centralized institution often requires a large amount of time to create, and even afterwards, it tends to be slow-moving and so may not be able to respond to new situations easily. It also leads to a singl"&amp;"e point of failure (e.g. via regulatory capture). It also may be forced to have a relatively light touch in order to ensure buy-in from all the relevant actors. With a decentralized system, you can get _forum shopping_ in which actors select the governanc"&amp;"e mechanisms they like best, which can lead to a quicker progress on time-sensitive issues, but can also lead to weakened agreements, so it is not clear whether this is on net a good effect.
The paper then applies this framework to high-level machine int"&amp;"elligence (HLMI), a particular operationalization of powerful AI, and concludes that centralization is particularly promising for HLMI governance.")</f>
        <v>This paper tackles the question of whether or not AI governance should be centralized. In favor of centralized governance, we see that a centralized institution can have major political power, and can be more efficient by avoiding duplication of work and making it easier for actors to comply. However, a centralized institution often requires a large amount of time to create, and even afterwards, it tends to be slow-moving and so may not be able to respond to new situations easily. It also leads to a single point of failure (e.g. via regulatory capture). It also may be forced to have a relatively light touch in order to ensure buy-in from all the relevant actors. With a decentralized system, you can get _forum shopping_ in which actors select the governance mechanisms they like best, which can lead to a quicker progress on time-sensitive issues, but can also lead to weakened agreements, so it is not clear whether this is on net a good effect.
The paper then applies this framework to high-level machine intelligence (HLMI), a particular operationalization of powerful AI, and concludes that centralization is particularly promising for HLMI governance.</v>
      </c>
    </row>
    <row r="212">
      <c r="A212" s="1" t="str">
        <f>IFERROR(__xludf.DUMMYFUNCTION("""COMPUTED_VALUE"""),"AI governance")</f>
        <v>AI governance</v>
      </c>
      <c r="B212" s="1" t="str">
        <f>IFERROR(__xludf.DUMMYFUNCTION("""COMPUTED_VALUE"""),"")</f>
        <v/>
      </c>
      <c r="C212" s="2" t="str">
        <f>IFERROR(__xludf.DUMMYFUNCTION("""COMPUTED_VALUE"""),"Lessons for Artificial Intelligence from Other Global Risks")</f>
        <v>Lessons for Artificial Intelligence from Other Global Risks</v>
      </c>
      <c r="D212" s="1" t="str">
        <f>IFERROR(__xludf.DUMMYFUNCTION("""COMPUTED_VALUE"""),"Seth D. Baum, Robert de Neufville, Anthony M. Barrett, Gary Ackerman")</f>
        <v>Seth D. Baum, Robert de Neufville, Anthony M. Barrett, Gary Ackerman</v>
      </c>
      <c r="E212" s="1" t="str">
        <f>IFERROR(__xludf.DUMMYFUNCTION("""COMPUTED_VALUE"""),"GCRI Website")</f>
        <v>GCRI Website</v>
      </c>
      <c r="F212" s="1">
        <f>IFERROR(__xludf.DUMMYFUNCTION("""COMPUTED_VALUE"""),2019.0)</f>
        <v>2019</v>
      </c>
      <c r="G212" s="1"/>
      <c r="H212" s="2" t="str">
        <f>IFERROR(__xludf.DUMMYFUNCTION("""COMPUTED_VALUE"""),"AN #88")</f>
        <v>AN #88</v>
      </c>
      <c r="I212" s="1" t="str">
        <f>IFERROR(__xludf.DUMMYFUNCTION("""COMPUTED_VALUE"""),"Rohin")</f>
        <v>Rohin</v>
      </c>
      <c r="J212" s="1" t="str">
        <f>IFERROR(__xludf.DUMMYFUNCTION("""COMPUTED_VALUE"""),"This paper looks at other areas of risk (biorisk, nuclear weapons, global warming, and asteroid collision) and applies lessons from these areas to AI risk. I'd recommend reading the paper: the stories for each area are interesting but hard to summarize he"&amp;"re.")</f>
        <v>This paper looks at other areas of risk (biorisk, nuclear weapons, global warming, and asteroid collision) and applies lessons from these areas to AI risk. I'd recommend reading the paper: the stories for each area are interesting but hard to summarize here.</v>
      </c>
    </row>
    <row r="213">
      <c r="A213" s="1" t="str">
        <f>IFERROR(__xludf.DUMMYFUNCTION("""COMPUTED_VALUE"""),"AI governance")</f>
        <v>AI governance</v>
      </c>
      <c r="B213" s="1" t="str">
        <f>IFERROR(__xludf.DUMMYFUNCTION("""COMPUTED_VALUE"""),"")</f>
        <v/>
      </c>
      <c r="C213" s="2" t="str">
        <f>IFERROR(__xludf.DUMMYFUNCTION("""COMPUTED_VALUE"""),"France, China, and the EU All Have an AI Strategy. Shouldn’t the US?")</f>
        <v>France, China, and the EU All Have an AI Strategy. Shouldn’t the US?</v>
      </c>
      <c r="D213" s="1" t="str">
        <f>IFERROR(__xludf.DUMMYFUNCTION("""COMPUTED_VALUE"""),"John K. Delaney")</f>
        <v>John K. Delaney</v>
      </c>
      <c r="E213" s="1" t="str">
        <f>IFERROR(__xludf.DUMMYFUNCTION("""COMPUTED_VALUE"""),"Wired")</f>
        <v>Wired</v>
      </c>
      <c r="F213" s="1">
        <f>IFERROR(__xludf.DUMMYFUNCTION("""COMPUTED_VALUE"""),2018.0)</f>
        <v>2018</v>
      </c>
      <c r="G213" s="1"/>
      <c r="H213" s="2" t="str">
        <f>IFERROR(__xludf.DUMMYFUNCTION("""COMPUTED_VALUE"""),"AN #8")</f>
        <v>AN #8</v>
      </c>
      <c r="I213" s="1" t="str">
        <f>IFERROR(__xludf.DUMMYFUNCTION("""COMPUTED_VALUE"""),"Rohin")</f>
        <v>Rohin</v>
      </c>
      <c r="J213" s="1" t="str">
        <f>IFERROR(__xludf.DUMMYFUNCTION("""COMPUTED_VALUE"""),"See [Import AI](https://jack-clark.net/2018/05/22/import-ai-95-learning-to-predict-and-avoid-internet-arguments-with-deep-learning-white-house-announces-select-committee-on-ai-and-bmw-trains-cars-to-safely-change-lanes/)")</f>
        <v>See [Import AI](https://jack-clark.net/2018/05/22/import-ai-95-learning-to-predict-and-avoid-internet-arguments-with-deep-learning-white-house-announces-select-committee-on-ai-and-bmw-trains-cars-to-safely-change-lanes/)</v>
      </c>
      <c r="M213" s="3" t="str">
        <f>IFERROR(__xludf.DUMMYFUNCTION("""COMPUTED_VALUE"""),"FUTURE of AI Act")</f>
        <v>FUTURE of AI Act</v>
      </c>
    </row>
    <row r="214">
      <c r="A214" s="1" t="str">
        <f>IFERROR(__xludf.DUMMYFUNCTION("""COMPUTED_VALUE"""),"AI governance")</f>
        <v>AI governance</v>
      </c>
      <c r="B214" s="1" t="str">
        <f>IFERROR(__xludf.DUMMYFUNCTION("""COMPUTED_VALUE"""),"")</f>
        <v/>
      </c>
      <c r="C214" s="2" t="str">
        <f>IFERROR(__xludf.DUMMYFUNCTION("""COMPUTED_VALUE"""),"2018 White House Summit on Artificial Intelligence for American Industry")</f>
        <v>2018 White House Summit on Artificial Intelligence for American Industry</v>
      </c>
      <c r="D214" s="1" t="str">
        <f>IFERROR(__xludf.DUMMYFUNCTION("""COMPUTED_VALUE"""),"White House OSTP")</f>
        <v>White House OSTP</v>
      </c>
      <c r="E214" s="1"/>
      <c r="F214" s="1">
        <f>IFERROR(__xludf.DUMMYFUNCTION("""COMPUTED_VALUE"""),2018.0)</f>
        <v>2018</v>
      </c>
      <c r="G214" s="1"/>
      <c r="H214" s="2" t="str">
        <f>IFERROR(__xludf.DUMMYFUNCTION("""COMPUTED_VALUE"""),"AN #8")</f>
        <v>AN #8</v>
      </c>
      <c r="I214" s="1" t="str">
        <f>IFERROR(__xludf.DUMMYFUNCTION("""COMPUTED_VALUE"""),"Rohin")</f>
        <v>Rohin</v>
      </c>
      <c r="J214" s="1" t="str">
        <f>IFERROR(__xludf.DUMMYFUNCTION("""COMPUTED_VALUE"""),"See [Import AI](https://jack-clark.net/2018/05/22/import-ai-95-learning-to-predict-and-avoid-internet-arguments-with-deep-learning-white-house-announces-select-committee-on-ai-and-bmw-trains-cars-to-safely-change-lanes/)")</f>
        <v>See [Import AI](https://jack-clark.net/2018/05/22/import-ai-95-learning-to-predict-and-avoid-internet-arguments-with-deep-learning-white-house-announces-select-committee-on-ai-and-bmw-trains-cars-to-safely-change-lanes/)</v>
      </c>
    </row>
    <row r="215">
      <c r="A215" s="1" t="str">
        <f>IFERROR(__xludf.DUMMYFUNCTION("""COMPUTED_VALUE"""),"AI governance")</f>
        <v>AI governance</v>
      </c>
      <c r="B215" s="1" t="str">
        <f>IFERROR(__xludf.DUMMYFUNCTION("""COMPUTED_VALUE"""),"")</f>
        <v/>
      </c>
      <c r="C215" s="2" t="str">
        <f>IFERROR(__xludf.DUMMYFUNCTION("""COMPUTED_VALUE"""),"AI Alignment Podcast: Machine Ethics and AI Governance")</f>
        <v>AI Alignment Podcast: Machine Ethics and AI Governance</v>
      </c>
      <c r="D215" s="1" t="str">
        <f>IFERROR(__xludf.DUMMYFUNCTION("""COMPUTED_VALUE"""),"Lucas Perry and Wendell Wallach")</f>
        <v>Lucas Perry and Wendell Wallach</v>
      </c>
      <c r="E215" s="1" t="str">
        <f>IFERROR(__xludf.DUMMYFUNCTION("""COMPUTED_VALUE"""),"FLI Website")</f>
        <v>FLI Website</v>
      </c>
      <c r="F215" s="1">
        <f>IFERROR(__xludf.DUMMYFUNCTION("""COMPUTED_VALUE"""),2019.0)</f>
        <v>2019</v>
      </c>
      <c r="G215" s="1"/>
      <c r="H215" s="2" t="str">
        <f>IFERROR(__xludf.DUMMYFUNCTION("""COMPUTED_VALUE"""),"AN #75")</f>
        <v>AN #75</v>
      </c>
      <c r="I215" s="1" t="str">
        <f>IFERROR(__xludf.DUMMYFUNCTION("""COMPUTED_VALUE"""),"Rohin")</f>
        <v>Rohin</v>
      </c>
      <c r="J215" s="1" t="str">
        <f>IFERROR(__xludf.DUMMYFUNCTION("""COMPUTED_VALUE"""),"Machine ethics has aimed to figure out how to embed ethical reasoning in automated systems of today. In contrast, AI alignment starts from an assumption of intelligence, and then asks how to make the system behave well. Wendell expects that we will have t"&amp;"o go through stages of development where we figure out how to embed moral reasoning in less intelligent systems before we can solve AI alignment.
Generally in governance, there's a problem that technologies are easy to regulate early on, but that's when "&amp;"we don't know what regulations would be good. Governance has become harder now, because it has become very crowded: there are more than 53 lists of principles for artificial intelligence and lots of proposed regulations and laws. One potential mitigation "&amp;"would be **governance coordinating committees**: a sort of issues manager that keeps track of a field, maps the issues and gaps, and figures out how they could be addressed.
In the intermediate term, the worry is that AI systems are giving increasing pow"&amp;"er to those who want to manipulate human behavior. In addition, job loss is a real issue. One possibility is that we could tax corporations relative to how many workers they laid off and how many jobs they created.
Thinking about AGI, governments should "&amp;"probably not be involved now (besides perhaps funding some of the research), since we have so little clarity on what the problem is and what needs to be done. We do need people monitoring risks, but there’s a pretty robust existing community doing this, s"&amp;"o government doesn't need to be involved.")</f>
        <v>Machine ethics has aimed to figure out how to embed ethical reasoning in automated systems of today. In contrast, AI alignment starts from an assumption of intelligence, and then asks how to make the system behave well. Wendell expects that we will have to go through stages of development where we figure out how to embed moral reasoning in less intelligent systems before we can solve AI alignment.
Generally in governance, there's a problem that technologies are easy to regulate early on, but that's when we don't know what regulations would be good. Governance has become harder now, because it has become very crowded: there are more than 53 lists of principles for artificial intelligence and lots of proposed regulations and laws. One potential mitigation would be **governance coordinating committees**: a sort of issues manager that keeps track of a field, maps the issues and gaps, and figures out how they could be addressed.
In the intermediate term, the worry is that AI systems are giving increasing power to those who want to manipulate human behavior. In addition, job loss is a real issue. One possibility is that we could tax corporations relative to how many workers they laid off and how many jobs they created.
Thinking about AGI, governments should probably not be involved now (besides perhaps funding some of the research), since we have so little clarity on what the problem is and what needs to be done. We do need people monitoring risks, but there’s a pretty robust existing community doing this, so government doesn't need to be involved.</v>
      </c>
      <c r="K215" t="str">
        <f>IFERROR(__xludf.DUMMYFUNCTION("""COMPUTED_VALUE"""),"I disagree with Wendell that current machine ethics will be necessary for AI alignment -- that might be the case, but it seems like things change significantly once our AI systems are smart enough to actually understand our moral systems, so that we no lo"&amp;"nger need to design special procedures to embed ethical reasoning in the AI system.
It does seem useful to have coordination on governance, along the lines of governance coordinating committees; it seems a lot better if there's only one or two groups tha"&amp;"t we need to convince of the importance of an issue, rather than 53 (!!).")</f>
        <v>I disagree with Wendell that current machine ethics will be necessary for AI alignment -- that might be the case, but it seems like things change significantly once our AI systems are smart enough to actually understand our moral systems, so that we no longer need to design special procedures to embed ethical reasoning in the AI system.
It does seem useful to have coordination on governance, along the lines of governance coordinating committees; it seems a lot better if there's only one or two groups that we need to convince of the importance of an issue, rather than 53 (!!).</v>
      </c>
    </row>
    <row r="216">
      <c r="A216" s="1" t="str">
        <f>IFERROR(__xludf.DUMMYFUNCTION("""COMPUTED_VALUE"""),"AI governance")</f>
        <v>AI governance</v>
      </c>
      <c r="B216" s="1" t="str">
        <f>IFERROR(__xludf.DUMMYFUNCTION("""COMPUTED_VALUE"""),"")</f>
        <v/>
      </c>
      <c r="C216" s="2" t="str">
        <f>IFERROR(__xludf.DUMMYFUNCTION("""COMPUTED_VALUE"""),"AI policy careers in the EU")</f>
        <v>AI policy careers in the EU</v>
      </c>
      <c r="D216" s="1" t="str">
        <f>IFERROR(__xludf.DUMMYFUNCTION("""COMPUTED_VALUE"""),"Lauro Langosco")</f>
        <v>Lauro Langosco</v>
      </c>
      <c r="E216" s="1" t="str">
        <f>IFERROR(__xludf.DUMMYFUNCTION("""COMPUTED_VALUE"""),"EA Forum")</f>
        <v>EA Forum</v>
      </c>
      <c r="F216" s="1">
        <f>IFERROR(__xludf.DUMMYFUNCTION("""COMPUTED_VALUE"""),2019.0)</f>
        <v>2019</v>
      </c>
      <c r="G216" s="1"/>
      <c r="H216" s="2" t="str">
        <f>IFERROR(__xludf.DUMMYFUNCTION("""COMPUTED_VALUE"""),"AN #74")</f>
        <v>AN #74</v>
      </c>
      <c r="I216" s="1"/>
      <c r="J216" s="1"/>
    </row>
    <row r="217">
      <c r="A217" s="1" t="str">
        <f>IFERROR(__xludf.DUMMYFUNCTION("""COMPUTED_VALUE"""),"AI governance")</f>
        <v>AI governance</v>
      </c>
      <c r="B217" s="1" t="str">
        <f>IFERROR(__xludf.DUMMYFUNCTION("""COMPUTED_VALUE"""),"")</f>
        <v/>
      </c>
      <c r="C217" s="2" t="str">
        <f>IFERROR(__xludf.DUMMYFUNCTION("""COMPUTED_VALUE"""),"GPT-2: 1.5B Release")</f>
        <v>GPT-2: 1.5B Release</v>
      </c>
      <c r="D217" s="1" t="str">
        <f>IFERROR(__xludf.DUMMYFUNCTION("""COMPUTED_VALUE"""),"Irene Solaiman, Jack Clark, Miles Brundage")</f>
        <v>Irene Solaiman, Jack Clark, Miles Brundage</v>
      </c>
      <c r="E217" s="1" t="str">
        <f>IFERROR(__xludf.DUMMYFUNCTION("""COMPUTED_VALUE"""),"OpenAI Blog")</f>
        <v>OpenAI Blog</v>
      </c>
      <c r="F217" s="1">
        <f>IFERROR(__xludf.DUMMYFUNCTION("""COMPUTED_VALUE"""),2019.0)</f>
        <v>2019</v>
      </c>
      <c r="G217" s="1"/>
      <c r="H217" s="2" t="str">
        <f>IFERROR(__xludf.DUMMYFUNCTION("""COMPUTED_VALUE"""),"AN #73")</f>
        <v>AN #73</v>
      </c>
      <c r="I217" s="1" t="str">
        <f>IFERROR(__xludf.DUMMYFUNCTION("""COMPUTED_VALUE"""),"Rohin")</f>
        <v>Rohin</v>
      </c>
      <c r="J217" s="1" t="str">
        <f>IFERROR(__xludf.DUMMYFUNCTION("""COMPUTED_VALUE"""),"Along with the release of the last and biggest GPT-2 model, OpenAI explains their findings with their research in the time period that the staged release bought them. While GPT-2 can produce reasonably convincing outputs that are hard to detect and can be"&amp;" finetuned for e.g. generation of synthetic propaganda, so far they have not seen any evidence of actual misuse.")</f>
        <v>Along with the release of the last and biggest GPT-2 model, OpenAI explains their findings with their research in the time period that the staged release bought them. While GPT-2 can produce reasonably convincing outputs that are hard to detect and can be finetuned for e.g. generation of synthetic propaganda, so far they have not seen any evidence of actual misuse.</v>
      </c>
      <c r="K217" t="str">
        <f>IFERROR(__xludf.DUMMYFUNCTION("""COMPUTED_VALUE"""),"While it is consistent to believe that OpenAI was just generating hype since GPT-2 was predictably not going to have major misuse applications, and this has now been borne out, I'm primarily glad that we started thinking about publication norms _before_ w"&amp;"e had dangerous models, and it seems plausible to me that OpenAI was also thinking along these lines.")</f>
        <v>While it is consistent to believe that OpenAI was just generating hype since GPT-2 was predictably not going to have major misuse applications, and this has now been borne out, I'm primarily glad that we started thinking about publication norms _before_ we had dangerous models, and it seems plausible to me that OpenAI was also thinking along these lines.</v>
      </c>
    </row>
    <row r="218">
      <c r="A218" s="1" t="str">
        <f>IFERROR(__xludf.DUMMYFUNCTION("""COMPUTED_VALUE"""),"AI governance")</f>
        <v>AI governance</v>
      </c>
      <c r="B218" s="1" t="str">
        <f>IFERROR(__xludf.DUMMYFUNCTION("""COMPUTED_VALUE"""),"")</f>
        <v/>
      </c>
      <c r="C218" s="2" t="str">
        <f>IFERROR(__xludf.DUMMYFUNCTION("""COMPUTED_VALUE"""),"Special Report: AI Policy and China – Realities of State-Led Development")</f>
        <v>Special Report: AI Policy and China – Realities of State-Led Development</v>
      </c>
      <c r="D218" s="1"/>
      <c r="E218" s="1" t="str">
        <f>IFERROR(__xludf.DUMMYFUNCTION("""COMPUTED_VALUE"""),"New America")</f>
        <v>New America</v>
      </c>
      <c r="F218" s="1">
        <f>IFERROR(__xludf.DUMMYFUNCTION("""COMPUTED_VALUE"""),2019.0)</f>
        <v>2019</v>
      </c>
      <c r="G218" s="1"/>
      <c r="H218" s="2" t="str">
        <f>IFERROR(__xludf.DUMMYFUNCTION("""COMPUTED_VALUE"""),"AN #72")</f>
        <v>AN #72</v>
      </c>
      <c r="I218" s="1"/>
      <c r="J218" s="1"/>
    </row>
    <row r="219">
      <c r="A219" s="1" t="str">
        <f>IFERROR(__xludf.DUMMYFUNCTION("""COMPUTED_VALUE"""),"AI governance")</f>
        <v>AI governance</v>
      </c>
      <c r="B219" s="1" t="str">
        <f>IFERROR(__xludf.DUMMYFUNCTION("""COMPUTED_VALUE"""),"")</f>
        <v/>
      </c>
      <c r="C219" s="2" t="str">
        <f>IFERROR(__xludf.DUMMYFUNCTION("""COMPUTED_VALUE"""),"Policy Researcher")</f>
        <v>Policy Researcher</v>
      </c>
      <c r="D219" s="1" t="str">
        <f>IFERROR(__xludf.DUMMYFUNCTION("""COMPUTED_VALUE"""),"OpenAI")</f>
        <v>OpenAI</v>
      </c>
      <c r="E219" s="1" t="str">
        <f>IFERROR(__xludf.DUMMYFUNCTION("""COMPUTED_VALUE"""),"Lever")</f>
        <v>Lever</v>
      </c>
      <c r="F219" s="1">
        <f>IFERROR(__xludf.DUMMYFUNCTION("""COMPUTED_VALUE"""),2018.0)</f>
        <v>2018</v>
      </c>
      <c r="G219" s="1"/>
      <c r="H219" s="2" t="str">
        <f>IFERROR(__xludf.DUMMYFUNCTION("""COMPUTED_VALUE"""),"AN #7")</f>
        <v>AN #7</v>
      </c>
      <c r="I219" s="1" t="str">
        <f>IFERROR(__xludf.DUMMYFUNCTION("""COMPUTED_VALUE"""),"Rohin")</f>
        <v>Rohin</v>
      </c>
      <c r="J219" s="1" t="str">
        <f>IFERROR(__xludf.DUMMYFUNCTION("""COMPUTED_VALUE"""),"There is a job opportunity at OpenAI as a policy researcher, which does not seem to have any formal requirements.")</f>
        <v>There is a job opportunity at OpenAI as a policy researcher, which does not seem to have any formal requirements.</v>
      </c>
      <c r="K219" t="str">
        <f>IFERROR(__xludf.DUMMYFUNCTION("""COMPUTED_VALUE"""),"It seems like a lot of the best policy work is happening at OpenAI (see for example the [OpenAI charter](https://blog.openai.com/openai-charter/)), I strongly encourage people to apply!")</f>
        <v>It seems like a lot of the best policy work is happening at OpenAI (see for example the [OpenAI charter](https://blog.openai.com/openai-charter/)), I strongly encourage people to apply!</v>
      </c>
    </row>
    <row r="220">
      <c r="A220" s="1" t="str">
        <f>IFERROR(__xludf.DUMMYFUNCTION("""COMPUTED_VALUE"""),"AI governance")</f>
        <v>AI governance</v>
      </c>
      <c r="B220" s="1" t="str">
        <f>IFERROR(__xludf.DUMMYFUNCTION("""COMPUTED_VALUE"""),"")</f>
        <v/>
      </c>
      <c r="C220" s="2" t="str">
        <f>IFERROR(__xludf.DUMMYFUNCTION("""COMPUTED_VALUE"""),"FLI Podcast: Beyond the Arms Race Narrative: AI and China")</f>
        <v>FLI Podcast: Beyond the Arms Race Narrative: AI and China</v>
      </c>
      <c r="D220" s="1" t="str">
        <f>IFERROR(__xludf.DUMMYFUNCTION("""COMPUTED_VALUE"""),"Ariel Conn, Helen Toner and Elsa Kania")</f>
        <v>Ariel Conn, Helen Toner and Elsa Kania</v>
      </c>
      <c r="E220" s="1" t="str">
        <f>IFERROR(__xludf.DUMMYFUNCTION("""COMPUTED_VALUE"""),"FLI Website")</f>
        <v>FLI Website</v>
      </c>
      <c r="F220" s="1">
        <f>IFERROR(__xludf.DUMMYFUNCTION("""COMPUTED_VALUE"""),2019.0)</f>
        <v>2019</v>
      </c>
      <c r="G220" s="1"/>
      <c r="H220" s="2" t="str">
        <f>IFERROR(__xludf.DUMMYFUNCTION("""COMPUTED_VALUE"""),"AN #63")</f>
        <v>AN #63</v>
      </c>
      <c r="I220" s="1"/>
      <c r="J220" s="1"/>
    </row>
    <row r="221">
      <c r="A221" t="str">
        <f>IFERROR(__xludf.DUMMYFUNCTION("""COMPUTED_VALUE"""),"AI governance")</f>
        <v>AI governance</v>
      </c>
      <c r="B221" t="str">
        <f>IFERROR(__xludf.DUMMYFUNCTION("""COMPUTED_VALUE"""),"")</f>
        <v/>
      </c>
      <c r="C221" s="3" t="str">
        <f>IFERROR(__xludf.DUMMYFUNCTION("""COMPUTED_VALUE"""),"Information security careers for GCR reduction")</f>
        <v>Information security careers for GCR reduction</v>
      </c>
      <c r="D221" t="str">
        <f>IFERROR(__xludf.DUMMYFUNCTION("""COMPUTED_VALUE"""),"Claire Zabel and Luke Muehlhauser")</f>
        <v>Claire Zabel and Luke Muehlhauser</v>
      </c>
      <c r="E221" t="str">
        <f>IFERROR(__xludf.DUMMYFUNCTION("""COMPUTED_VALUE"""),"EA Forum")</f>
        <v>EA Forum</v>
      </c>
      <c r="F221">
        <f>IFERROR(__xludf.DUMMYFUNCTION("""COMPUTED_VALUE"""),2019.0)</f>
        <v>2019</v>
      </c>
      <c r="H221" s="3" t="str">
        <f>IFERROR(__xludf.DUMMYFUNCTION("""COMPUTED_VALUE"""),"AN #61")</f>
        <v>AN #61</v>
      </c>
      <c r="I221" t="str">
        <f>IFERROR(__xludf.DUMMYFUNCTION("""COMPUTED_VALUE"""),"Rohin")</f>
        <v>Rohin</v>
      </c>
      <c r="J221" t="str">
        <f>IFERROR(__xludf.DUMMYFUNCTION("""COMPUTED_VALUE"""),"This post suggests that information security could be a good career path for people looking to reduce global catastrophic risks (GCRs). For AI in particular, such experts could help mitigate attacks by malicious or incautious actors to steal AI-related in"&amp;"tellectual property. It also reduces the risk of destabilizing AI technology races. Separately, such experts could think about the potentially transformative impact of AI on cyber offense and defense, develop or advise on credible commitment techniques (s"&amp;"ee eg. &lt;@model governance@&gt;(@Scaling shared model governance via model splitting@)), or apply the [security mindset](https://intelligence.org/2013/07/31/ai-risk-and-the-security-mindset/) more broadly.")</f>
        <v>This post suggests that information security could be a good career path for people looking to reduce global catastrophic risks (GCRs). For AI in particular, such experts could help mitigate attacks by malicious or incautious actors to steal AI-related intellectual property. It also reduces the risk of destabilizing AI technology races. Separately, such experts could think about the potentially transformative impact of AI on cyber offense and defense, develop or advise on credible commitment techniques (see eg. &lt;@model governance@&gt;(@Scaling shared model governance via model splitting@)), or apply the [security mindset](https://intelligence.org/2013/07/31/ai-risk-and-the-security-mindset/) more broadly.</v>
      </c>
    </row>
    <row r="222">
      <c r="A222" t="str">
        <f>IFERROR(__xludf.DUMMYFUNCTION("""COMPUTED_VALUE"""),"AI governance")</f>
        <v>AI governance</v>
      </c>
      <c r="B222" t="str">
        <f>IFERROR(__xludf.DUMMYFUNCTION("""COMPUTED_VALUE"""),"")</f>
        <v/>
      </c>
      <c r="C222" s="3" t="str">
        <f>IFERROR(__xludf.DUMMYFUNCTION("""COMPUTED_VALUE"""),"Where are people thinking and talking about global coordination for AI safety?")</f>
        <v>Where are people thinking and talking about global coordination for AI safety?</v>
      </c>
      <c r="D222" t="str">
        <f>IFERROR(__xludf.DUMMYFUNCTION("""COMPUTED_VALUE"""),"Wei Dai")</f>
        <v>Wei Dai</v>
      </c>
      <c r="E222" t="str">
        <f>IFERROR(__xludf.DUMMYFUNCTION("""COMPUTED_VALUE"""),"LessWrong")</f>
        <v>LessWrong</v>
      </c>
      <c r="F222">
        <f>IFERROR(__xludf.DUMMYFUNCTION("""COMPUTED_VALUE"""),2019.0)</f>
        <v>2019</v>
      </c>
      <c r="H222" s="3" t="str">
        <f>IFERROR(__xludf.DUMMYFUNCTION("""COMPUTED_VALUE"""),"AN #59")</f>
        <v>AN #59</v>
      </c>
    </row>
    <row r="223">
      <c r="A223" t="str">
        <f>IFERROR(__xludf.DUMMYFUNCTION("""COMPUTED_VALUE"""),"AI governance")</f>
        <v>AI governance</v>
      </c>
      <c r="B223" t="str">
        <f>IFERROR(__xludf.DUMMYFUNCTION("""COMPUTED_VALUE"""),"")</f>
        <v/>
      </c>
      <c r="C223" s="3" t="str">
        <f>IFERROR(__xludf.DUMMYFUNCTION("""COMPUTED_VALUE"""),"Grover: A State-of-the-Art Defense against Neural Fake News")</f>
        <v>Grover: A State-of-the-Art Defense against Neural Fake News</v>
      </c>
      <c r="D223" t="str">
        <f>IFERROR(__xludf.DUMMYFUNCTION("""COMPUTED_VALUE"""),"Rowan Zellers, Ari Holtzman, Hannah Rashkin, Yonatan Bisk, Ali Farhadi, Franziska Roesner, Yejin Choi")</f>
        <v>Rowan Zellers, Ari Holtzman, Hannah Rashkin, Yonatan Bisk, Ali Farhadi, Franziska Roesner, Yejin Choi</v>
      </c>
      <c r="E223" t="str">
        <f>IFERROR(__xludf.DUMMYFUNCTION("""COMPUTED_VALUE"""),"arXiv")</f>
        <v>arXiv</v>
      </c>
      <c r="F223">
        <f>IFERROR(__xludf.DUMMYFUNCTION("""COMPUTED_VALUE"""),2019.0)</f>
        <v>2019</v>
      </c>
      <c r="H223" s="3" t="str">
        <f>IFERROR(__xludf.DUMMYFUNCTION("""COMPUTED_VALUE"""),"AN #58")</f>
        <v>AN #58</v>
      </c>
      <c r="I223" t="str">
        <f>IFERROR(__xludf.DUMMYFUNCTION("""COMPUTED_VALUE"""),"Rohin")</f>
        <v>Rohin</v>
      </c>
      <c r="J223" t="str">
        <f>IFERROR(__xludf.DUMMYFUNCTION("""COMPUTED_VALUE"""),"Could we use ML to detect fake news generated by other ML models? This paper suggests that models that are used to generate fake news will also be able to be used to _detect_ that same fake news. In particular, they train a GAN-like language model on news"&amp;" articles, that they dub GROVER, and show that the generated articles are _better_ propaganda than those generated by humans, but they can at least be detected by GROVER itself.
Notably, they do plan to release their models, so that other researchers can"&amp;" also work on the problem of detecting fake news. They are following a similar release strategy as with &lt;@GPT-2@&gt;(@Better Language Models and Their Implications@): they are making the 117M and 345M parameter models public, and releasing their 1.5B paramet"&amp;"er model to researchers who sign a release form.")</f>
        <v>Could we use ML to detect fake news generated by other ML models? This paper suggests that models that are used to generate fake news will also be able to be used to _detect_ that same fake news. In particular, they train a GAN-like language model on news articles, that they dub GROVER, and show that the generated articles are _better_ propaganda than those generated by humans, but they can at least be detected by GROVER itself.
Notably, they do plan to release their models, so that other researchers can also work on the problem of detecting fake news. They are following a similar release strategy as with &lt;@GPT-2@&gt;(@Better Language Models and Their Implications@): they are making the 117M and 345M parameter models public, and releasing their 1.5B parameter model to researchers who sign a release form.</v>
      </c>
      <c r="K223" t="str">
        <f>IFERROR(__xludf.DUMMYFUNCTION("""COMPUTED_VALUE"""),"It's interesting to see that this group went with a very similar release strategy, and I wish they had written more about why they chose to do what they did. I do like that they are on the face of it ""cooperating"" with OpenAI, but eventually we need nor"&amp;"ms for _how_ to make publication decisions, rather than always following the precedent set by someone prior. Though I suppose there could be a bit more risk with their models -- while they are the same size as the released GPT-2 models, they are better tu"&amp;"ned for generating propaganda than GPT-2 is.")</f>
        <v>It's interesting to see that this group went with a very similar release strategy, and I wish they had written more about why they chose to do what they did. I do like that they are on the face of it "cooperating" with OpenAI, but eventually we need norms for _how_ to make publication decisions, rather than always following the precedent set by someone prior. Though I suppose there could be a bit more risk with their models -- while they are the same size as the released GPT-2 models, they are better tuned for generating propaganda than GPT-2 is.</v>
      </c>
      <c r="M223" s="3" t="str">
        <f>IFERROR(__xludf.DUMMYFUNCTION("""COMPUTED_VALUE"""),"Defending Against Neural Fake News")</f>
        <v>Defending Against Neural Fake News</v>
      </c>
    </row>
    <row r="224">
      <c r="A224" t="str">
        <f>IFERROR(__xludf.DUMMYFUNCTION("""COMPUTED_VALUE"""),"AI governance")</f>
        <v>AI governance</v>
      </c>
      <c r="B224" t="str">
        <f>IFERROR(__xludf.DUMMYFUNCTION("""COMPUTED_VALUE"""),"")</f>
        <v/>
      </c>
      <c r="C224" s="3" t="str">
        <f>IFERROR(__xludf.DUMMYFUNCTION("""COMPUTED_VALUE"""),"Google’s brand-new AI ethics board is already falling apart")</f>
        <v>Google’s brand-new AI ethics board is already falling apart</v>
      </c>
      <c r="D224" t="str">
        <f>IFERROR(__xludf.DUMMYFUNCTION("""COMPUTED_VALUE"""),"Kelsey Piper")</f>
        <v>Kelsey Piper</v>
      </c>
      <c r="E224" t="str">
        <f>IFERROR(__xludf.DUMMYFUNCTION("""COMPUTED_VALUE"""),"Vox")</f>
        <v>Vox</v>
      </c>
      <c r="F224">
        <f>IFERROR(__xludf.DUMMYFUNCTION("""COMPUTED_VALUE"""),2019.0)</f>
        <v>2019</v>
      </c>
      <c r="H224" s="3" t="str">
        <f>IFERROR(__xludf.DUMMYFUNCTION("""COMPUTED_VALUE"""),"AN #55")</f>
        <v>AN #55</v>
      </c>
      <c r="I224" t="str">
        <f>IFERROR(__xludf.DUMMYFUNCTION("""COMPUTED_VALUE"""),"Rohin")</f>
        <v>Rohin</v>
      </c>
      <c r="J224" t="str">
        <f>IFERROR(__xludf.DUMMYFUNCTION("""COMPUTED_VALUE"""),"Google [announced](https://www.blog.google/technology/ai/external-advisory-council-help-advance-responsible-development-ai/) an ethical advisory council, that quickly became controversial, and was then [cancelled](https://www.vox.com/future-perfect/2019/4"&amp;"/4/18295933/google-cancels-ai-ethics-board). The author makes the point that the council was not well-placed to actually advise on ethics -- it would only meet four times a year, and could only give recommendations. This committee, and others at Facebook "&amp;"and Microsoft, seem to be more about PR and less about AI ethics. Instead, an AI ethics council should include both insiders and outsiders, should be able to make formal, specific, detailed recommendations, and would publicly announce whether the recommen"&amp;"dations were followed. **Key quote:** ""The brouhaha has convinced me that Google needs an AI ethics board quite badly — but not the kind it seems to want to try to build.""
In a [tweetstorm](https://twitter.com/KelseyTuoc/status/1113544870625308673), th"&amp;"e author holds OpenAI up as a large organization that is at least *trying* to engage deeply with AI ethics, as evidenced by their safety and policy team, their &lt;@charter@&gt;(@OpenAI Charter@), and &lt;@GPT-2@&gt;(@Better Language Models and Their Implications@). "&amp;"They make public, contentful statements that are weird, controversial and seem bad from a PR perspective. The arguments they make and hear about AI ethics and policy lead to real decisions with consequences.")</f>
        <v>Google [announced](https://www.blog.google/technology/ai/external-advisory-council-help-advance-responsible-development-ai/) an ethical advisory council, that quickly became controversial, and was then [cancelled](https://www.vox.com/future-perfect/2019/4/4/18295933/google-cancels-ai-ethics-board). The author makes the point that the council was not well-placed to actually advise on ethics -- it would only meet four times a year, and could only give recommendations. This committee, and others at Facebook and Microsoft, seem to be more about PR and less about AI ethics. Instead, an AI ethics council should include both insiders and outsiders, should be able to make formal, specific, detailed recommendations, and would publicly announce whether the recommendations were followed. **Key quote:** "The brouhaha has convinced me that Google needs an AI ethics board quite badly — but not the kind it seems to want to try to build."
In a [tweetstorm](https://twitter.com/KelseyTuoc/status/1113544870625308673), the author holds OpenAI up as a large organization that is at least *trying* to engage deeply with AI ethics, as evidenced by their safety and policy team, their &lt;@charter@&gt;(@OpenAI Charter@), and &lt;@GPT-2@&gt;(@Better Language Models and Their Implications@). They make public, contentful statements that are weird, controversial and seem bad from a PR perspective. The arguments they make and hear about AI ethics and policy lead to real decisions with consequences.</v>
      </c>
      <c r="K224" t="str">
        <f>IFERROR(__xludf.DUMMYFUNCTION("""COMPUTED_VALUE"""),"I broadly agree with this article -- I can't imagine how a council that meets four times a year could properly provide advice on Google's AI projects. I'm not sure if the solution is more powerful and intensive ethics councils whose primary power is publi"&amp;"c accountability. I expect that making good decisions about AI ethics requires either a technical background, or a long, detailed conversation with a person with that background, neither of which are possible with the public. This could mean that an ethic"&amp;"s board could struggle to raise a legitimate issue, or that they could cause outrage about an issue that is upon closer examination not an issue at all. I would feel better about a board with some more formal power, such as the ability to create investiga"&amp;"tions that could lead to fines, the ability to sue Google, specific whistleblowing affordances, etc. (I have no idea how feasible any of those suggestions are, even assuming Google was okay with them.)
On the tweetstorm about OpenAI, I'm not sure if I've"&amp;" said it before in this newsletter, but I generally trust OpenAI to be trying to do the right thing, and this is one of the reasons for that. Of course, I also know and trust many people who work there.")</f>
        <v>I broadly agree with this article -- I can't imagine how a council that meets four times a year could properly provide advice on Google's AI projects. I'm not sure if the solution is more powerful and intensive ethics councils whose primary power is public accountability. I expect that making good decisions about AI ethics requires either a technical background, or a long, detailed conversation with a person with that background, neither of which are possible with the public. This could mean that an ethics board could struggle to raise a legitimate issue, or that they could cause outrage about an issue that is upon closer examination not an issue at all. I would feel better about a board with some more formal power, such as the ability to create investigations that could lead to fines, the ability to sue Google, specific whistleblowing affordances, etc. (I have no idea how feasible any of those suggestions are, even assuming Google was okay with them.)
On the tweetstorm about OpenAI, I'm not sure if I've said it before in this newsletter, but I generally trust OpenAI to be trying to do the right thing, and this is one of the reasons for that. Of course, I also know and trust many people who work there.</v>
      </c>
    </row>
    <row r="225">
      <c r="A225" t="str">
        <f>IFERROR(__xludf.DUMMYFUNCTION("""COMPUTED_VALUE"""),"AI governance")</f>
        <v>AI governance</v>
      </c>
      <c r="B225" t="str">
        <f>IFERROR(__xludf.DUMMYFUNCTION("""COMPUTED_VALUE"""),"")</f>
        <v/>
      </c>
      <c r="C225" s="3" t="str">
        <f>IFERROR(__xludf.DUMMYFUNCTION("""COMPUTED_VALUE"""),"Rationally Speaking #231 - Helen Toner on ""Misconceptions about China and artificial intelligence""")</f>
        <v>Rationally Speaking #231 - Helen Toner on "Misconceptions about China and artificial intelligence"</v>
      </c>
      <c r="D225" t="str">
        <f>IFERROR(__xludf.DUMMYFUNCTION("""COMPUTED_VALUE"""),"Julia Galef and Helen Toner")</f>
        <v>Julia Galef and Helen Toner</v>
      </c>
      <c r="E225" t="str">
        <f>IFERROR(__xludf.DUMMYFUNCTION("""COMPUTED_VALUE"""),"Rationally Speaking")</f>
        <v>Rationally Speaking</v>
      </c>
      <c r="F225">
        <f>IFERROR(__xludf.DUMMYFUNCTION("""COMPUTED_VALUE"""),2019.0)</f>
        <v>2019</v>
      </c>
      <c r="H225" s="3" t="str">
        <f>IFERROR(__xludf.DUMMYFUNCTION("""COMPUTED_VALUE"""),"AN #55")</f>
        <v>AN #55</v>
      </c>
      <c r="I225" t="str">
        <f>IFERROR(__xludf.DUMMYFUNCTION("""COMPUTED_VALUE"""),"Rohin")</f>
        <v>Rohin</v>
      </c>
      <c r="J225" t="str">
        <f>IFERROR(__xludf.DUMMYFUNCTION("""COMPUTED_VALUE"""),"In this podcast Helen talks about AI policy, China, and the Center for Security and Emerging Technology, where she is the director of strategy. Some of her opinions that stood out to me:
    - While Baidu is a huge tech company and is the main search eng"&amp;"ine, it's a bit misleading to call it the Google of China, since it doesn't have the same diversity of products that Google does.
    - While the social credit score story seems overblown, the reporting on the Uighur situation seems to be basically accura"&amp;"te.
    - Based on a very small sample of AI researchers in China, it seems like Chinese researchers are less interested in thinking about the real-world effects of the technology they're building, relative to Western researchers.
    - Since people in go"&amp;"vernment have so little time to think about so many issues, they have simple versions of important ideas. For example, it's easy to conclude that China must have an intrinsic advantage at data since they have more people and fewer privacy controls. Howeve"&amp;"r, there's a lot of nuance: for example, the entire Internet is in English, which seems like a big advantage for the US.
    - The incentives in China can be quite different: in at least one case, a professor's salary depended on the number of papers publ"&amp;"ished.
    - A particularly interesting question: ""how does it help the US geopolitically if an American company is developing powerful AI?""")</f>
        <v>In this podcast Helen talks about AI policy, China, and the Center for Security and Emerging Technology, where she is the director of strategy. Some of her opinions that stood out to me:
    - While Baidu is a huge tech company and is the main search engine, it's a bit misleading to call it the Google of China, since it doesn't have the same diversity of products that Google does.
    - While the social credit score story seems overblown, the reporting on the Uighur situation seems to be basically accurate.
    - Based on a very small sample of AI researchers in China, it seems like Chinese researchers are less interested in thinking about the real-world effects of the technology they're building, relative to Western researchers.
    - Since people in government have so little time to think about so many issues, they have simple versions of important ideas. For example, it's easy to conclude that China must have an intrinsic advantage at data since they have more people and fewer privacy controls. However, there's a lot of nuance: for example, the entire Internet is in English, which seems like a big advantage for the US.
    - The incentives in China can be quite different: in at least one case, a professor's salary depended on the number of papers published.
    - A particularly interesting question: "how does it help the US geopolitically if an American company is developing powerful AI?"</v>
      </c>
    </row>
    <row r="226">
      <c r="A226" t="str">
        <f>IFERROR(__xludf.DUMMYFUNCTION("""COMPUTED_VALUE"""),"AI governance")</f>
        <v>AI governance</v>
      </c>
      <c r="B226" t="str">
        <f>IFERROR(__xludf.DUMMYFUNCTION("""COMPUTED_VALUE"""),"")</f>
        <v/>
      </c>
      <c r="C226" s="3" t="str">
        <f>IFERROR(__xludf.DUMMYFUNCTION("""COMPUTED_VALUE"""),"FLI Podcast: Why Ban Lethal Autonomous Weapons?")</f>
        <v>FLI Podcast: Why Ban Lethal Autonomous Weapons?</v>
      </c>
      <c r="D226" t="str">
        <f>IFERROR(__xludf.DUMMYFUNCTION("""COMPUTED_VALUE"""),"Ariel Conn, Emilia Javorsky, Bonnie Docherty, Ray Acheson, and Rasha Abdul Rahim")</f>
        <v>Ariel Conn, Emilia Javorsky, Bonnie Docherty, Ray Acheson, and Rasha Abdul Rahim</v>
      </c>
      <c r="E226" t="str">
        <f>IFERROR(__xludf.DUMMYFUNCTION("""COMPUTED_VALUE"""),"FLI Website")</f>
        <v>FLI Website</v>
      </c>
      <c r="F226">
        <f>IFERROR(__xludf.DUMMYFUNCTION("""COMPUTED_VALUE"""),2019.0)</f>
        <v>2019</v>
      </c>
      <c r="H226" s="3" t="str">
        <f>IFERROR(__xludf.DUMMYFUNCTION("""COMPUTED_VALUE"""),"AN #54")</f>
        <v>AN #54</v>
      </c>
    </row>
    <row r="227">
      <c r="A227" t="str">
        <f>IFERROR(__xludf.DUMMYFUNCTION("""COMPUTED_VALUE"""),"AI governance")</f>
        <v>AI governance</v>
      </c>
      <c r="B227" t="str">
        <f>IFERROR(__xludf.DUMMYFUNCTION("""COMPUTED_VALUE"""),"")</f>
        <v/>
      </c>
      <c r="C227" s="3" t="str">
        <f>IFERROR(__xludf.DUMMYFUNCTION("""COMPUTED_VALUE"""),"A Survey of the EU's AI Ecosystem")</f>
        <v>A Survey of the EU's AI Ecosystem</v>
      </c>
      <c r="D227" t="str">
        <f>IFERROR(__xludf.DUMMYFUNCTION("""COMPUTED_VALUE"""),"Charlotte Stix")</f>
        <v>Charlotte Stix</v>
      </c>
      <c r="E227" t="str">
        <f>IFERROR(__xludf.DUMMYFUNCTION("""COMPUTED_VALUE"""),"Charlotte Stix's Website")</f>
        <v>Charlotte Stix's Website</v>
      </c>
      <c r="F227">
        <f>IFERROR(__xludf.DUMMYFUNCTION("""COMPUTED_VALUE"""),2019.0)</f>
        <v>2019</v>
      </c>
      <c r="H227" s="3" t="str">
        <f>IFERROR(__xludf.DUMMYFUNCTION("""COMPUTED_VALUE"""),"AN #50")</f>
        <v>AN #50</v>
      </c>
      <c r="I227" t="str">
        <f>IFERROR(__xludf.DUMMYFUNCTION("""COMPUTED_VALUE"""),"Rohin")</f>
        <v>Rohin</v>
      </c>
      <c r="J227" t="str">
        <f>IFERROR(__xludf.DUMMYFUNCTION("""COMPUTED_VALUE"""),"This report analyzes the European AI ecosystem. The key advantage that Europe has is a strong focus on ethical AI, as opposed to the US and China that are more focused on capabilities research. However, Europe does face a significant challenge in staying "&amp;"competitive with AI, as it lacks both startup/VC funding as well as talented researchers (who are often going to other countries). While there are initiatives meant to help with this problem, it is too early to tell whether they will have an impact. The r"&amp;"eport also recommends having large multinational projects, along the lines of CERN and the Human Brain Project. See also [Import AI](https://jack-clark.net/2019/03/25/making-better-healthcare-ai-systems-via-audio-de-identification-teaching-drones-to-help-"&amp;"humans-fight-fires-and-why-language-models-could-be-smarter-than-you-think/).")</f>
        <v>This report analyzes the European AI ecosystem. The key advantage that Europe has is a strong focus on ethical AI, as opposed to the US and China that are more focused on capabilities research. However, Europe does face a significant challenge in staying competitive with AI, as it lacks both startup/VC funding as well as talented researchers (who are often going to other countries). While there are initiatives meant to help with this problem, it is too early to tell whether they will have an impact. The report also recommends having large multinational projects, along the lines of CERN and the Human Brain Project. See also [Import AI](https://jack-clark.net/2019/03/25/making-better-healthcare-ai-systems-via-audio-de-identification-teaching-drones-to-help-humans-fight-fires-and-why-language-models-could-be-smarter-than-you-think/).</v>
      </c>
    </row>
    <row r="228">
      <c r="A228" t="str">
        <f>IFERROR(__xludf.DUMMYFUNCTION("""COMPUTED_VALUE"""),"AI governance")</f>
        <v>AI governance</v>
      </c>
      <c r="B228" t="str">
        <f>IFERROR(__xludf.DUMMYFUNCTION("""COMPUTED_VALUE"""),"")</f>
        <v/>
      </c>
      <c r="C228" s="3" t="str">
        <f>IFERROR(__xludf.DUMMYFUNCTION("""COMPUTED_VALUE"""),"Humans Who Are Not Concentrating Are Not General Intelligences")</f>
        <v>Humans Who Are Not Concentrating Are Not General Intelligences</v>
      </c>
      <c r="D228" t="str">
        <f>IFERROR(__xludf.DUMMYFUNCTION("""COMPUTED_VALUE"""),"Sarah Constantin")</f>
        <v>Sarah Constantin</v>
      </c>
      <c r="E228" t="str">
        <f>IFERROR(__xludf.DUMMYFUNCTION("""COMPUTED_VALUE"""),"LessWrong")</f>
        <v>LessWrong</v>
      </c>
      <c r="F228">
        <f>IFERROR(__xludf.DUMMYFUNCTION("""COMPUTED_VALUE"""),2019.0)</f>
        <v>2019</v>
      </c>
      <c r="H228" s="3" t="str">
        <f>IFERROR(__xludf.DUMMYFUNCTION("""COMPUTED_VALUE"""),"AN #47")</f>
        <v>AN #47</v>
      </c>
      <c r="I228" t="str">
        <f>IFERROR(__xludf.DUMMYFUNCTION("""COMPUTED_VALUE"""),"Rohin")</f>
        <v>Rohin</v>
      </c>
      <c r="J228" t="str">
        <f>IFERROR(__xludf.DUMMYFUNCTION("""COMPUTED_VALUE"""),"This post argues that humans who skim the stories produced by [GPT-2](https://blog.openai.com/better-language-models/) ([AN #46](https://mailchi.mp/c48f996a5db5/alignment-newsletter-46)) would not be able to tell that they were generated by a machine, bec"&amp;"ause while skimming we are not able to notice the obvious logical inconsistencies in its writing. Key quote: ""OpenAI HAS achieved the ability to pass the Turing test against humans on autopilot"". This suggests that fake news, social manipulation, etc. w"&amp;"ill become much easier. However, it might also force people to learn the skill of detecting the difference between humans and bots, which could let them learn to tell when they are actively focusing on something and are ""actually learning"" as opposed to"&amp;" skimming for ""low order correlations"".")</f>
        <v>This post argues that humans who skim the stories produced by [GPT-2](https://blog.openai.com/better-language-models/) ([AN #46](https://mailchi.mp/c48f996a5db5/alignment-newsletter-46)) would not be able to tell that they were generated by a machine, because while skimming we are not able to notice the obvious logical inconsistencies in its writing. Key quote: "OpenAI HAS achieved the ability to pass the Turing test against humans on autopilot". This suggests that fake news, social manipulation, etc. will become much easier. However, it might also force people to learn the skill of detecting the difference between humans and bots, which could let them learn to tell when they are actively focusing on something and are "actually learning" as opposed to skimming for "low order correlations".</v>
      </c>
      <c r="K228" t="str">
        <f>IFERROR(__xludf.DUMMYFUNCTION("""COMPUTED_VALUE"""),"I noticed a variant of this effect myself while reading GPT-2 results -- my brain very quickly fell into the mode of skimming without absorbing anything, though it felt more like I had made the evaluation that there was nothing to gain from the content, w"&amp;"hich seems okay if the goal is to avoid fake news. I also find this to be particularly interesting evidence about the differences between our low-level, effortless pattern matching, as well as our more effortful and accurate ""logical reasoning"".")</f>
        <v>I noticed a variant of this effect myself while reading GPT-2 results -- my brain very quickly fell into the mode of skimming without absorbing anything, though it felt more like I had made the evaluation that there was nothing to gain from the content, which seems okay if the goal is to avoid fake news. I also find this to be particularly interesting evidence about the differences between our low-level, effortless pattern matching, as well as our more effortful and accurate "logical reasoning".</v>
      </c>
    </row>
    <row r="229">
      <c r="A229" t="str">
        <f>IFERROR(__xludf.DUMMYFUNCTION("""COMPUTED_VALUE"""),"AI governance")</f>
        <v>AI governance</v>
      </c>
      <c r="B229" t="str">
        <f>IFERROR(__xludf.DUMMYFUNCTION("""COMPUTED_VALUE"""),"")</f>
        <v/>
      </c>
      <c r="C229" s="3" t="str">
        <f>IFERROR(__xludf.DUMMYFUNCTION("""COMPUTED_VALUE"""),"Toward AI Security: Global Aspirations for a More Resilient Future")</f>
        <v>Toward AI Security: Global Aspirations for a More Resilient Future</v>
      </c>
      <c r="D229" t="str">
        <f>IFERROR(__xludf.DUMMYFUNCTION("""COMPUTED_VALUE"""),"Jessica Cussins Newman")</f>
        <v>Jessica Cussins Newman</v>
      </c>
      <c r="E229" t="str">
        <f>IFERROR(__xludf.DUMMYFUNCTION("""COMPUTED_VALUE"""),"CLTC Website")</f>
        <v>CLTC Website</v>
      </c>
      <c r="F229">
        <f>IFERROR(__xludf.DUMMYFUNCTION("""COMPUTED_VALUE"""),2019.0)</f>
        <v>2019</v>
      </c>
      <c r="H229" s="3" t="str">
        <f>IFERROR(__xludf.DUMMYFUNCTION("""COMPUTED_VALUE"""),"AN #46")</f>
        <v>AN #46</v>
      </c>
      <c r="I229" t="str">
        <f>IFERROR(__xludf.DUMMYFUNCTION("""COMPUTED_VALUE"""),"Rohin")</f>
        <v>Rohin</v>
      </c>
      <c r="J229" t="str">
        <f>IFERROR(__xludf.DUMMYFUNCTION("""COMPUTED_VALUE"""),"This report analyzes various AI security risks (including both near-term and long-term concerns) and categorizes them, and then analyzes how different national strategies and policies have engaged with these risks. Most interestingly (to me) it comes to t"&amp;"he conclusion that most national AI strategies are focused on very different areas and often ignore (in the sense of not mentioning) risks that other countries have highlighted, though there are still some areas for cooperation, such as improving the tran"&amp;"sparency and accountability of AI systems.")</f>
        <v>This report analyzes various AI security risks (including both near-term and long-term concerns) and categorizes them, and then analyzes how different national strategies and policies have engaged with these risks. Most interestingly (to me) it comes to the conclusion that most national AI strategies are focused on very different areas and often ignore (in the sense of not mentioning) risks that other countries have highlighted, though there are still some areas for cooperation, such as improving the transparency and accountability of AI systems.</v>
      </c>
      <c r="K229" t="str">
        <f>IFERROR(__xludf.DUMMYFUNCTION("""COMPUTED_VALUE"""),"It's pretty strange to me that different governments would take such different approaches to AI - this suggests that either academics, think tanks, policy analysts etc. do not agree on the risks, or that there isn't enough political pressure for some of t"&amp;"he risks to make it into the strategies. It seems like the AI community would have a significant opportunity to shape policy in the latter case -- I'd imagine for example that an open letter signed by thousands of researchers could be quite helpful in cre"&amp;"ating political will. (Of course, creating a comprehensive open letter that most researchers will approve of might be quite hard to do.)")</f>
        <v>It's pretty strange to me that different governments would take such different approaches to AI - this suggests that either academics, think tanks, policy analysts etc. do not agree on the risks, or that there isn't enough political pressure for some of the risks to make it into the strategies. It seems like the AI community would have a significant opportunity to shape policy in the latter case -- I'd imagine for example that an open letter signed by thousands of researchers could be quite helpful in creating political will. (Of course, creating a comprehensive open letter that most researchers will approve of might be quite hard to do.)</v>
      </c>
    </row>
    <row r="230">
      <c r="A230" t="str">
        <f>IFERROR(__xludf.DUMMYFUNCTION("""COMPUTED_VALUE"""),"AI governance")</f>
        <v>AI governance</v>
      </c>
      <c r="B230" t="str">
        <f>IFERROR(__xludf.DUMMYFUNCTION("""COMPUTED_VALUE"""),"")</f>
        <v/>
      </c>
      <c r="C230" s="3" t="str">
        <f>IFERROR(__xludf.DUMMYFUNCTION("""COMPUTED_VALUE"""),"Risk factors for s-risks")</f>
        <v>Risk factors for s-risks</v>
      </c>
      <c r="D230" t="str">
        <f>IFERROR(__xludf.DUMMYFUNCTION("""COMPUTED_VALUE"""),"Tobias Baumann")</f>
        <v>Tobias Baumann</v>
      </c>
      <c r="E230" t="str">
        <f>IFERROR(__xludf.DUMMYFUNCTION("""COMPUTED_VALUE"""),"S-risks Website")</f>
        <v>S-risks Website</v>
      </c>
      <c r="F230">
        <f>IFERROR(__xludf.DUMMYFUNCTION("""COMPUTED_VALUE"""),2019.0)</f>
        <v>2019</v>
      </c>
      <c r="H230" s="3" t="str">
        <f>IFERROR(__xludf.DUMMYFUNCTION("""COMPUTED_VALUE"""),"AN #46")</f>
        <v>AN #46</v>
      </c>
      <c r="I230" t="str">
        <f>IFERROR(__xludf.DUMMYFUNCTION("""COMPUTED_VALUE"""),"Richard")</f>
        <v>Richard</v>
      </c>
      <c r="J230" t="str">
        <f>IFERROR(__xludf.DUMMYFUNCTION("""COMPUTED_VALUE"""),"This post discusses four risk factors for creating extreme disvalue in the universe (s-risks): advanced technology, lack of effort to avoid those outcomes, inadequate security and law enforcement, and polarisation and divergence of values. Tobias notes th"&amp;"at he's most worried about cases where most of these factors occur, because the absence of any of them mitigates the threat posed by the others.")</f>
        <v>This post discusses four risk factors for creating extreme disvalue in the universe (s-risks): advanced technology, lack of effort to avoid those outcomes, inadequate security and law enforcement, and polarisation and divergence of values. Tobias notes that he's most worried about cases where most of these factors occur, because the absence of any of them mitigates the threat posed by the others.</v>
      </c>
    </row>
    <row r="231">
      <c r="A231" t="str">
        <f>IFERROR(__xludf.DUMMYFUNCTION("""COMPUTED_VALUE"""),"AI governance")</f>
        <v>AI governance</v>
      </c>
      <c r="B231" t="str">
        <f>IFERROR(__xludf.DUMMYFUNCTION("""COMPUTED_VALUE"""),"")</f>
        <v/>
      </c>
      <c r="C231" s="3" t="str">
        <f>IFERROR(__xludf.DUMMYFUNCTION("""COMPUTED_VALUE"""),"Ethical and societal implications of algorithms, data, and artificial intelligence: a roadmap for research")</f>
        <v>Ethical and societal implications of algorithms, data, and artificial intelligence: a roadmap for research</v>
      </c>
      <c r="D231" t="str">
        <f>IFERROR(__xludf.DUMMYFUNCTION("""COMPUTED_VALUE"""),"Nuffield Foundation and Leverhulme Centre for the Future of Intelligence")</f>
        <v>Nuffield Foundation and Leverhulme Centre for the Future of Intelligence</v>
      </c>
      <c r="E231" t="str">
        <f>IFERROR(__xludf.DUMMYFUNCTION("""COMPUTED_VALUE"""),"Nuffield Foundation")</f>
        <v>Nuffield Foundation</v>
      </c>
      <c r="F231">
        <f>IFERROR(__xludf.DUMMYFUNCTION("""COMPUTED_VALUE"""),2019.0)</f>
        <v>2019</v>
      </c>
      <c r="H231" s="3" t="str">
        <f>IFERROR(__xludf.DUMMYFUNCTION("""COMPUTED_VALUE"""),"AN #46")</f>
        <v>AN #46</v>
      </c>
    </row>
    <row r="232">
      <c r="A232" t="str">
        <f>IFERROR(__xludf.DUMMYFUNCTION("""COMPUTED_VALUE"""),"AI governance")</f>
        <v>AI governance</v>
      </c>
      <c r="B232" t="str">
        <f>IFERROR(__xludf.DUMMYFUNCTION("""COMPUTED_VALUE"""),"")</f>
        <v/>
      </c>
      <c r="C232" s="3" t="str">
        <f>IFERROR(__xludf.DUMMYFUNCTION("""COMPUTED_VALUE"""),"Summary of the 2018 Department of Defense Artificial Intelligence Strategy")</f>
        <v>Summary of the 2018 Department of Defense Artificial Intelligence Strategy</v>
      </c>
      <c r="D232" t="str">
        <f>IFERROR(__xludf.DUMMYFUNCTION("""COMPUTED_VALUE"""),"DOD")</f>
        <v>DOD</v>
      </c>
      <c r="E232" t="str">
        <f>IFERROR(__xludf.DUMMYFUNCTION("""COMPUTED_VALUE"""),"DOD")</f>
        <v>DOD</v>
      </c>
      <c r="F232">
        <f>IFERROR(__xludf.DUMMYFUNCTION("""COMPUTED_VALUE"""),2019.0)</f>
        <v>2019</v>
      </c>
      <c r="H232" s="3" t="str">
        <f>IFERROR(__xludf.DUMMYFUNCTION("""COMPUTED_VALUE"""),"AN #45")</f>
        <v>AN #45</v>
      </c>
    </row>
    <row r="233">
      <c r="A233" t="str">
        <f>IFERROR(__xludf.DUMMYFUNCTION("""COMPUTED_VALUE"""),"AI governance")</f>
        <v>AI governance</v>
      </c>
      <c r="B233" t="str">
        <f>IFERROR(__xludf.DUMMYFUNCTION("""COMPUTED_VALUE"""),"")</f>
        <v/>
      </c>
      <c r="C233" s="3" t="str">
        <f>IFERROR(__xludf.DUMMYFUNCTION("""COMPUTED_VALUE"""),"Bridging near- and long-term concerns about AI")</f>
        <v>Bridging near- and long-term concerns about AI</v>
      </c>
      <c r="D233" t="str">
        <f>IFERROR(__xludf.DUMMYFUNCTION("""COMPUTED_VALUE"""),"Stephen Cave and Sean S. OhEigeartaigh")</f>
        <v>Stephen Cave and Sean S. OhEigeartaigh</v>
      </c>
      <c r="E233" t="str">
        <f>IFERROR(__xludf.DUMMYFUNCTION("""COMPUTED_VALUE"""),"Nature Machine Intelligence")</f>
        <v>Nature Machine Intelligence</v>
      </c>
      <c r="F233">
        <f>IFERROR(__xludf.DUMMYFUNCTION("""COMPUTED_VALUE"""),2019.0)</f>
        <v>2019</v>
      </c>
      <c r="H233" s="3" t="str">
        <f>IFERROR(__xludf.DUMMYFUNCTION("""COMPUTED_VALUE"""),"AN #44")</f>
        <v>AN #44</v>
      </c>
    </row>
    <row r="234">
      <c r="A234" t="str">
        <f>IFERROR(__xludf.DUMMYFUNCTION("""COMPUTED_VALUE"""),"AI governance")</f>
        <v>AI governance</v>
      </c>
      <c r="B234" t="str">
        <f>IFERROR(__xludf.DUMMYFUNCTION("""COMPUTED_VALUE"""),"")</f>
        <v/>
      </c>
      <c r="C234" s="3" t="str">
        <f>IFERROR(__xludf.DUMMYFUNCTION("""COMPUTED_VALUE"""),"FLI Podcast- Artificial Intelligence: American Attitudes and Trends")</f>
        <v>FLI Podcast- Artificial Intelligence: American Attitudes and Trends</v>
      </c>
      <c r="D234" t="str">
        <f>IFERROR(__xludf.DUMMYFUNCTION("""COMPUTED_VALUE"""),"Ariel Conn and Baobao Zhang")</f>
        <v>Ariel Conn and Baobao Zhang</v>
      </c>
      <c r="E234" t="str">
        <f>IFERROR(__xludf.DUMMYFUNCTION("""COMPUTED_VALUE"""),"FLI Website")</f>
        <v>FLI Website</v>
      </c>
      <c r="F234">
        <f>IFERROR(__xludf.DUMMYFUNCTION("""COMPUTED_VALUE"""),2019.0)</f>
        <v>2019</v>
      </c>
      <c r="H234" s="3" t="str">
        <f>IFERROR(__xludf.DUMMYFUNCTION("""COMPUTED_VALUE"""),"AN #43")</f>
        <v>AN #43</v>
      </c>
      <c r="I234" t="str">
        <f>IFERROR(__xludf.DUMMYFUNCTION("""COMPUTED_VALUE"""),"Rohin")</f>
        <v>Rohin</v>
      </c>
      <c r="J234" t="str">
        <f>IFERROR(__xludf.DUMMYFUNCTION("""COMPUTED_VALUE"""),"This is a podcast about [The American Public’s Attitudes Concerning Artificial Intelligence](https://www.fhi.ox.ac.uk/aipublic2019/) ([AN #41](https://mailchi.mp/8c3f02cabccd/alignment-newsletter-41)), you can see my very brief summary of that.")</f>
        <v>This is a podcast about [The American Public’s Attitudes Concerning Artificial Intelligence](https://www.fhi.ox.ac.uk/aipublic2019/) ([AN #41](https://mailchi.mp/8c3f02cabccd/alignment-newsletter-41)), you can see my very brief summary of that.</v>
      </c>
    </row>
    <row r="235">
      <c r="A235" t="str">
        <f>IFERROR(__xludf.DUMMYFUNCTION("""COMPUTED_VALUE"""),"AI governance")</f>
        <v>AI governance</v>
      </c>
      <c r="B235" t="str">
        <f>IFERROR(__xludf.DUMMYFUNCTION("""COMPUTED_VALUE"""),"")</f>
        <v/>
      </c>
      <c r="C235" s="3" t="str">
        <f>IFERROR(__xludf.DUMMYFUNCTION("""COMPUTED_VALUE"""),"The American Public’s Attitudes Concerning Artificial Intelligence")</f>
        <v>The American Public’s Attitudes Concerning Artificial Intelligence</v>
      </c>
      <c r="D235" t="str">
        <f>IFERROR(__xludf.DUMMYFUNCTION("""COMPUTED_VALUE"""),"Baobao Zhang and Allan Dafoe")</f>
        <v>Baobao Zhang and Allan Dafoe</v>
      </c>
      <c r="E235" t="str">
        <f>IFERROR(__xludf.DUMMYFUNCTION("""COMPUTED_VALUE"""),"FHI Website")</f>
        <v>FHI Website</v>
      </c>
      <c r="F235">
        <f>IFERROR(__xludf.DUMMYFUNCTION("""COMPUTED_VALUE"""),2019.0)</f>
        <v>2019</v>
      </c>
      <c r="H235" s="3" t="str">
        <f>IFERROR(__xludf.DUMMYFUNCTION("""COMPUTED_VALUE"""),"AN #41")</f>
        <v>AN #41</v>
      </c>
      <c r="I235" t="str">
        <f>IFERROR(__xludf.DUMMYFUNCTION("""COMPUTED_VALUE"""),"Rohin")</f>
        <v>Rohin</v>
      </c>
      <c r="J235" t="str">
        <f>IFERROR(__xludf.DUMMYFUNCTION("""COMPUTED_VALUE"""),"This presents results from a survey of Americans about their attitudes towards AI. There's not a compelling objective story I can tell, so you might as well look at the executive summary, which presents a few interesting highlights. One interesting fact: "&amp;"the median person thinks that we're more likely than not to have ""high-level machine intelligence"" within 10 years! You could also read [Vox's take](https://www.vox.com/future-perfect/2019/1/9/18174081/fhi-govai-ai-safety-american-public-worried-ai-cata"&amp;"strophe), which emphasizes that the public is concerned about long-term AI risk.")</f>
        <v>This presents results from a survey of Americans about their attitudes towards AI. There's not a compelling objective story I can tell, so you might as well look at the executive summary, which presents a few interesting highlights. One interesting fact: the median person thinks that we're more likely than not to have "high-level machine intelligence" within 10 years! You could also read [Vox's take](https://www.vox.com/future-perfect/2019/1/9/18174081/fhi-govai-ai-safety-american-public-worried-ai-catastrophe), which emphasizes that the public is concerned about long-term AI risk.</v>
      </c>
    </row>
    <row r="236">
      <c r="A236" t="str">
        <f>IFERROR(__xludf.DUMMYFUNCTION("""COMPUTED_VALUE"""),"AI governance")</f>
        <v>AI governance</v>
      </c>
      <c r="B236" t="str">
        <f>IFERROR(__xludf.DUMMYFUNCTION("""COMPUTED_VALUE"""),"")</f>
        <v/>
      </c>
      <c r="C236" s="3" t="str">
        <f>IFERROR(__xludf.DUMMYFUNCTION("""COMPUTED_VALUE"""),"Robust Artificial Intelligence and Robust Human Organizations")</f>
        <v>Robust Artificial Intelligence and Robust Human Organizations</v>
      </c>
      <c r="D236" t="str">
        <f>IFERROR(__xludf.DUMMYFUNCTION("""COMPUTED_VALUE"""),"Thomas G. Dietterich")</f>
        <v>Thomas G. Dietterich</v>
      </c>
      <c r="E236" t="str">
        <f>IFERROR(__xludf.DUMMYFUNCTION("""COMPUTED_VALUE"""),"Perspective in Frontiers in Computer Science")</f>
        <v>Perspective in Frontiers in Computer Science</v>
      </c>
      <c r="F236">
        <f>IFERROR(__xludf.DUMMYFUNCTION("""COMPUTED_VALUE"""),2018.0)</f>
        <v>2018</v>
      </c>
      <c r="H236" s="3" t="str">
        <f>IFERROR(__xludf.DUMMYFUNCTION("""COMPUTED_VALUE"""),"AN #35")</f>
        <v>AN #35</v>
      </c>
    </row>
    <row r="237">
      <c r="A237" t="str">
        <f>IFERROR(__xludf.DUMMYFUNCTION("""COMPUTED_VALUE"""),"AI governance")</f>
        <v>AI governance</v>
      </c>
      <c r="B237" t="str">
        <f>IFERROR(__xludf.DUMMYFUNCTION("""COMPUTED_VALUE"""),"")</f>
        <v/>
      </c>
      <c r="C237" s="3" t="str">
        <f>IFERROR(__xludf.DUMMYFUNCTION("""COMPUTED_VALUE"""),"Game Changers: AI Part III, AI and Public Policy")</f>
        <v>Game Changers: AI Part III, AI and Public Policy</v>
      </c>
      <c r="D237" t="str">
        <f>IFERROR(__xludf.DUMMYFUNCTION("""COMPUTED_VALUE"""),"Subcomittee on Information Technology")</f>
        <v>Subcomittee on Information Technology</v>
      </c>
      <c r="F237">
        <f>IFERROR(__xludf.DUMMYFUNCTION("""COMPUTED_VALUE"""),2018.0)</f>
        <v>2018</v>
      </c>
      <c r="H237" s="3" t="str">
        <f>IFERROR(__xludf.DUMMYFUNCTION("""COMPUTED_VALUE"""),"AN #3")</f>
        <v>AN #3</v>
      </c>
    </row>
    <row r="238">
      <c r="A238" t="str">
        <f>IFERROR(__xludf.DUMMYFUNCTION("""COMPUTED_VALUE"""),"AI governance")</f>
        <v>AI governance</v>
      </c>
      <c r="B238" t="str">
        <f>IFERROR(__xludf.DUMMYFUNCTION("""COMPUTED_VALUE"""),"")</f>
        <v/>
      </c>
      <c r="C238" s="3" t="str">
        <f>IFERROR(__xludf.DUMMYFUNCTION("""COMPUTED_VALUE"""),"On the (In)Applicability of Corporate Rights Cases to Digital Minds")</f>
        <v>On the (In)Applicability of Corporate Rights Cases to Digital Minds</v>
      </c>
      <c r="D238" t="str">
        <f>IFERROR(__xludf.DUMMYFUNCTION("""COMPUTED_VALUE"""),"Cullen O’Keefe")</f>
        <v>Cullen O’Keefe</v>
      </c>
      <c r="E238" t="str">
        <f>IFERROR(__xludf.DUMMYFUNCTION("""COMPUTED_VALUE"""),"AI Impacts")</f>
        <v>AI Impacts</v>
      </c>
      <c r="F238">
        <f>IFERROR(__xludf.DUMMYFUNCTION("""COMPUTED_VALUE"""),2018.0)</f>
        <v>2018</v>
      </c>
      <c r="H238" s="3" t="str">
        <f>IFERROR(__xludf.DUMMYFUNCTION("""COMPUTED_VALUE"""),"AN #28")</f>
        <v>AN #28</v>
      </c>
    </row>
    <row r="239">
      <c r="A239" t="str">
        <f>IFERROR(__xludf.DUMMYFUNCTION("""COMPUTED_VALUE"""),"AI governance")</f>
        <v>AI governance</v>
      </c>
      <c r="B239" t="str">
        <f>IFERROR(__xludf.DUMMYFUNCTION("""COMPUTED_VALUE"""),"")</f>
        <v/>
      </c>
      <c r="C239" s="3" t="str">
        <f>IFERROR(__xludf.DUMMYFUNCTION("""COMPUTED_VALUE"""),"China’s Grand AI Ambitions with Jeff Ding")</f>
        <v>China’s Grand AI Ambitions with Jeff Ding</v>
      </c>
      <c r="D239" t="str">
        <f>IFERROR(__xludf.DUMMYFUNCTION("""COMPUTED_VALUE"""),"Jeff Ding and Jordan Schneider")</f>
        <v>Jeff Ding and Jordan Schneider</v>
      </c>
      <c r="E239" t="str">
        <f>IFERROR(__xludf.DUMMYFUNCTION("""COMPUTED_VALUE"""),"Supchina")</f>
        <v>Supchina</v>
      </c>
      <c r="F239">
        <f>IFERROR(__xludf.DUMMYFUNCTION("""COMPUTED_VALUE"""),2018.0)</f>
        <v>2018</v>
      </c>
      <c r="H239" s="3" t="str">
        <f>IFERROR(__xludf.DUMMYFUNCTION("""COMPUTED_VALUE"""),"AN #28")</f>
        <v>AN #28</v>
      </c>
    </row>
    <row r="240">
      <c r="A240" t="str">
        <f>IFERROR(__xludf.DUMMYFUNCTION("""COMPUTED_VALUE"""),"AI governance")</f>
        <v>AI governance</v>
      </c>
      <c r="B240" t="str">
        <f>IFERROR(__xludf.DUMMYFUNCTION("""COMPUTED_VALUE"""),"")</f>
        <v/>
      </c>
      <c r="C240" s="3" t="str">
        <f>IFERROR(__xludf.DUMMYFUNCTION("""COMPUTED_VALUE"""),"Countering Superintelligence Misinformation")</f>
        <v>Countering Superintelligence Misinformation</v>
      </c>
      <c r="D240" t="str">
        <f>IFERROR(__xludf.DUMMYFUNCTION("""COMPUTED_VALUE"""),"Seth D. Baum")</f>
        <v>Seth D. Baum</v>
      </c>
      <c r="E240" t="str">
        <f>IFERROR(__xludf.DUMMYFUNCTION("""COMPUTED_VALUE"""),"GCRI Website")</f>
        <v>GCRI Website</v>
      </c>
      <c r="F240">
        <f>IFERROR(__xludf.DUMMYFUNCTION("""COMPUTED_VALUE"""),2018.0)</f>
        <v>2018</v>
      </c>
      <c r="H240" s="3" t="str">
        <f>IFERROR(__xludf.DUMMYFUNCTION("""COMPUTED_VALUE"""),"AN #27")</f>
        <v>AN #27</v>
      </c>
      <c r="I240" t="str">
        <f>IFERROR(__xludf.DUMMYFUNCTION("""COMPUTED_VALUE"""),"Richard")</f>
        <v>Richard</v>
      </c>
      <c r="J240" t="str">
        <f>IFERROR(__xludf.DUMMYFUNCTION("""COMPUTED_VALUE"""),"Two ways to have better discussions about superintelligence are correcting misconceptions, and preventing misinformation from being spread in the first place. The latter might be achieved by educating prominent voices, creating reputational costs to misin"&amp;"formers (both individuals and companies), focusing media attention, etc. Research suggests the former is very difficult; strategies include addressing pre-existing motivations for believing misinformation and using advance warnings to 'inoculate' people a"&amp;"gainst false claims.")</f>
        <v>Two ways to have better discussions about superintelligence are correcting misconceptions, and preventing misinformation from being spread in the first place. The latter might be achieved by educating prominent voices, creating reputational costs to misinformers (both individuals and companies), focusing media attention, etc. Research suggests the former is very difficult; strategies include addressing pre-existing motivations for believing misinformation and using advance warnings to 'inoculate' people against false claims.</v>
      </c>
      <c r="K240" t="str">
        <f>IFERROR(__xludf.DUMMYFUNCTION("""COMPUTED_VALUE"""),"I'm glad to see this systematic exploration of an issue that the AI safety community has consistently had to grapple with. I would have liked to see a more nuanced definition of misinformation than ""information that is already clearly false"", since it's"&amp;" not always obvious what qualifies as clearly false, and since there are many varieties of misinformation.")</f>
        <v>I'm glad to see this systematic exploration of an issue that the AI safety community has consistently had to grapple with. I would have liked to see a more nuanced definition of misinformation than "information that is already clearly false", since it's not always obvious what qualifies as clearly false, and since there are many varieties of misinformation.</v>
      </c>
      <c r="L240" s="3" t="str">
        <f>IFERROR(__xludf.DUMMYFUNCTION("""COMPUTED_VALUE"""),"Superintelligence Skepticism as a Political Tool")</f>
        <v>Superintelligence Skepticism as a Political Tool</v>
      </c>
    </row>
    <row r="241">
      <c r="A241" t="str">
        <f>IFERROR(__xludf.DUMMYFUNCTION("""COMPUTED_VALUE"""),"AI governance")</f>
        <v>AI governance</v>
      </c>
      <c r="B241" t="str">
        <f>IFERROR(__xludf.DUMMYFUNCTION("""COMPUTED_VALUE"""),"")</f>
        <v/>
      </c>
      <c r="C241" s="3" t="str">
        <f>IFERROR(__xludf.DUMMYFUNCTION("""COMPUTED_VALUE"""),"The role of corporations in addressing AI’s ethical dilemmas")</f>
        <v>The role of corporations in addressing AI’s ethical dilemmas</v>
      </c>
      <c r="D241" t="str">
        <f>IFERROR(__xludf.DUMMYFUNCTION("""COMPUTED_VALUE"""),"Darrell M. West")</f>
        <v>Darrell M. West</v>
      </c>
      <c r="E241" t="str">
        <f>IFERROR(__xludf.DUMMYFUNCTION("""COMPUTED_VALUE"""),"Brookings")</f>
        <v>Brookings</v>
      </c>
      <c r="F241">
        <f>IFERROR(__xludf.DUMMYFUNCTION("""COMPUTED_VALUE"""),2018.0)</f>
        <v>2018</v>
      </c>
      <c r="H241" s="3" t="str">
        <f>IFERROR(__xludf.DUMMYFUNCTION("""COMPUTED_VALUE"""),"AN #25")</f>
        <v>AN #25</v>
      </c>
    </row>
    <row r="242">
      <c r="A242" t="str">
        <f>IFERROR(__xludf.DUMMYFUNCTION("""COMPUTED_VALUE"""),"AI governance")</f>
        <v>AI governance</v>
      </c>
      <c r="B242" t="str">
        <f>IFERROR(__xludf.DUMMYFUNCTION("""COMPUTED_VALUE"""),"")</f>
        <v/>
      </c>
      <c r="C242" s="3" t="str">
        <f>IFERROR(__xludf.DUMMYFUNCTION("""COMPUTED_VALUE"""),"Podcast: Artificial Intelligence – Global Governance, National Policy, and Public Trust with Allan Dafoe and Jessica Cussins")</f>
        <v>Podcast: Artificial Intelligence – Global Governance, National Policy, and Public Trust with Allan Dafoe and Jessica Cussins</v>
      </c>
      <c r="D242" t="str">
        <f>IFERROR(__xludf.DUMMYFUNCTION("""COMPUTED_VALUE"""),"Allan Dafoe, Jessica Cussins, and Ariel Conn")</f>
        <v>Allan Dafoe, Jessica Cussins, and Ariel Conn</v>
      </c>
      <c r="E242" t="str">
        <f>IFERROR(__xludf.DUMMYFUNCTION("""COMPUTED_VALUE"""),"FLI Website")</f>
        <v>FLI Website</v>
      </c>
      <c r="F242">
        <f>IFERROR(__xludf.DUMMYFUNCTION("""COMPUTED_VALUE"""),2018.0)</f>
        <v>2018</v>
      </c>
      <c r="H242" s="3" t="str">
        <f>IFERROR(__xludf.DUMMYFUNCTION("""COMPUTED_VALUE"""),"AN #23")</f>
        <v>AN #23</v>
      </c>
      <c r="I242" t="str">
        <f>IFERROR(__xludf.DUMMYFUNCTION("""COMPUTED_VALUE"""),"Rohin")</f>
        <v>Rohin</v>
      </c>
      <c r="J242" t="str">
        <f>IFERROR(__xludf.DUMMYFUNCTION("""COMPUTED_VALUE"""),"Topics discussed include the difference between AI governance and AI policy, externalities and solving them through regulation, whether governments and bureaucracies can keep up with AI research, the extent to which the US' policy of not regulating AI may"&amp;" cause citizens to lose trust, labor displacement and inequality, and AI races.")</f>
        <v>Topics discussed include the difference between AI governance and AI policy, externalities and solving them through regulation, whether governments and bureaucracies can keep up with AI research, the extent to which the US' policy of not regulating AI may cause citizens to lose trust, labor displacement and inequality, and AI races.</v>
      </c>
    </row>
    <row r="243">
      <c r="A243" t="str">
        <f>IFERROR(__xludf.DUMMYFUNCTION("""COMPUTED_VALUE"""),"AI governance")</f>
        <v>AI governance</v>
      </c>
      <c r="B243" t="str">
        <f>IFERROR(__xludf.DUMMYFUNCTION("""COMPUTED_VALUE"""),"")</f>
        <v/>
      </c>
      <c r="C243" s="3" t="str">
        <f>IFERROR(__xludf.DUMMYFUNCTION("""COMPUTED_VALUE"""),"Superintelligence Skepticism as a Political Tool")</f>
        <v>Superintelligence Skepticism as a Political Tool</v>
      </c>
      <c r="D243" t="str">
        <f>IFERROR(__xludf.DUMMYFUNCTION("""COMPUTED_VALUE"""),"Seth D. Baum")</f>
        <v>Seth D. Baum</v>
      </c>
      <c r="E243" t="str">
        <f>IFERROR(__xludf.DUMMYFUNCTION("""COMPUTED_VALUE"""),"MDPI")</f>
        <v>MDPI</v>
      </c>
      <c r="F243">
        <f>IFERROR(__xludf.DUMMYFUNCTION("""COMPUTED_VALUE"""),2018.0)</f>
        <v>2018</v>
      </c>
      <c r="H243" s="3" t="str">
        <f>IFERROR(__xludf.DUMMYFUNCTION("""COMPUTED_VALUE"""),"AN #22")</f>
        <v>AN #22</v>
      </c>
    </row>
    <row r="244">
      <c r="A244" t="str">
        <f>IFERROR(__xludf.DUMMYFUNCTION("""COMPUTED_VALUE"""),"AI governance")</f>
        <v>AI governance</v>
      </c>
      <c r="B244" t="str">
        <f>IFERROR(__xludf.DUMMYFUNCTION("""COMPUTED_VALUE"""),"")</f>
        <v/>
      </c>
      <c r="C244" s="3" t="str">
        <f>IFERROR(__xludf.DUMMYFUNCTION("""COMPUTED_VALUE"""),"The Advent of Huang's Law")</f>
        <v>The Advent of Huang's Law</v>
      </c>
      <c r="D244" t="str">
        <f>IFERROR(__xludf.DUMMYFUNCTION("""COMPUTED_VALUE"""),"Bharath Ramsundar")</f>
        <v>Bharath Ramsundar</v>
      </c>
      <c r="E244" t="str">
        <f>IFERROR(__xludf.DUMMYFUNCTION("""COMPUTED_VALUE"""),"Author's Website")</f>
        <v>Author's Website</v>
      </c>
      <c r="F244">
        <f>IFERROR(__xludf.DUMMYFUNCTION("""COMPUTED_VALUE"""),2018.0)</f>
        <v>2018</v>
      </c>
      <c r="H244" s="3" t="str">
        <f>IFERROR(__xludf.DUMMYFUNCTION("""COMPUTED_VALUE"""),"AN #2")</f>
        <v>AN #2</v>
      </c>
      <c r="I244" t="str">
        <f>IFERROR(__xludf.DUMMYFUNCTION("""COMPUTED_VALUE"""),"Rohin")</f>
        <v>Rohin</v>
      </c>
      <c r="J244" t="str">
        <f>IFERROR(__xludf.DUMMYFUNCTION("""COMPUTED_VALUE"""),"See [Import AI](https://jack-clark.net/2018/04/09/import-ai-89-chinese-facial-recognition-startup-raises-600-million-why-gpus-could-alter-ai-progress-and-using-contest-to-deal-with-language-ambiguity/)")</f>
        <v>See [Import AI](https://jack-clark.net/2018/04/09/import-ai-89-chinese-facial-recognition-startup-raises-600-million-why-gpus-could-alter-ai-progress-and-using-contest-to-deal-with-language-ambiguity/)</v>
      </c>
    </row>
    <row r="245">
      <c r="A245" t="str">
        <f>IFERROR(__xludf.DUMMYFUNCTION("""COMPUTED_VALUE"""),"AI governance")</f>
        <v>AI governance</v>
      </c>
      <c r="B245" t="str">
        <f>IFERROR(__xludf.DUMMYFUNCTION("""COMPUTED_VALUE"""),"")</f>
        <v/>
      </c>
      <c r="C245" s="3" t="str">
        <f>IFERROR(__xludf.DUMMYFUNCTION("""COMPUTED_VALUE"""),"China Now Has the Most Valuable AI Startup in the World")</f>
        <v>China Now Has the Most Valuable AI Startup in the World</v>
      </c>
      <c r="E245" t="str">
        <f>IFERROR(__xludf.DUMMYFUNCTION("""COMPUTED_VALUE"""),"Bloomberg News")</f>
        <v>Bloomberg News</v>
      </c>
      <c r="F245">
        <f>IFERROR(__xludf.DUMMYFUNCTION("""COMPUTED_VALUE"""),2018.0)</f>
        <v>2018</v>
      </c>
      <c r="H245" s="3" t="str">
        <f>IFERROR(__xludf.DUMMYFUNCTION("""COMPUTED_VALUE"""),"AN #2")</f>
        <v>AN #2</v>
      </c>
      <c r="I245" t="str">
        <f>IFERROR(__xludf.DUMMYFUNCTION("""COMPUTED_VALUE"""),"Rohin")</f>
        <v>Rohin</v>
      </c>
      <c r="J245" t="str">
        <f>IFERROR(__xludf.DUMMYFUNCTION("""COMPUTED_VALUE"""),"See [Import AI](https://jack-clark.net/2018/04/09/import-ai-89-chinese-facial-recognition-startup-raises-600-million-why-gpus-could-alter-ai-progress-and-using-contest-to-deal-with-language-ambiguity/)")</f>
        <v>See [Import AI](https://jack-clark.net/2018/04/09/import-ai-89-chinese-facial-recognition-startup-raises-600-million-why-gpus-could-alter-ai-progress-and-using-contest-to-deal-with-language-ambiguity/)</v>
      </c>
      <c r="K245" t="str">
        <f>IFERROR(__xludf.DUMMYFUNCTION("""COMPUTED_VALUE"""),"It's a short, interesting piece, and it's got some actual numbers and quotes from Xu Li (one of the co-founders of the startup, SenseTime), so you should read it.")</f>
        <v>It's a short, interesting piece, and it's got some actual numbers and quotes from Xu Li (one of the co-founders of the startup, SenseTime), so you should read it.</v>
      </c>
    </row>
    <row r="246">
      <c r="A246" t="str">
        <f>IFERROR(__xludf.DUMMYFUNCTION("""COMPUTED_VALUE"""),"AI governance")</f>
        <v>AI governance</v>
      </c>
      <c r="B246" t="str">
        <f>IFERROR(__xludf.DUMMYFUNCTION("""COMPUTED_VALUE"""),"")</f>
        <v/>
      </c>
      <c r="C246" s="3" t="str">
        <f>IFERROR(__xludf.DUMMYFUNCTION("""COMPUTED_VALUE"""),"The Deep Roots and Long Branches of Chinese Technonationalism")</f>
        <v>The Deep Roots and Long Branches of Chinese Technonationalism</v>
      </c>
      <c r="D246" t="str">
        <f>IFERROR(__xludf.DUMMYFUNCTION("""COMPUTED_VALUE"""),"Evan Feigenbaum")</f>
        <v>Evan Feigenbaum</v>
      </c>
      <c r="E246" t="str">
        <f>IFERROR(__xludf.DUMMYFUNCTION("""COMPUTED_VALUE"""),"Macro Polo")</f>
        <v>Macro Polo</v>
      </c>
      <c r="F246">
        <f>IFERROR(__xludf.DUMMYFUNCTION("""COMPUTED_VALUE"""),2018.0)</f>
        <v>2018</v>
      </c>
      <c r="H246" s="3" t="str">
        <f>IFERROR(__xludf.DUMMYFUNCTION("""COMPUTED_VALUE"""),"AN #2")</f>
        <v>AN #2</v>
      </c>
      <c r="I246" t="str">
        <f>IFERROR(__xludf.DUMMYFUNCTION("""COMPUTED_VALUE"""),"Rohin")</f>
        <v>Rohin</v>
      </c>
      <c r="J246" t="str">
        <f>IFERROR(__xludf.DUMMYFUNCTION("""COMPUTED_VALUE"""),"See [Import AI](https://jack-clark.net/2018/04/09/import-ai-89-chinese-facial-recognition-startup-raises-600-million-why-gpus-could-alter-ai-progress-and-using-contest-to-deal-with-language-ambiguity/)")</f>
        <v>See [Import AI](https://jack-clark.net/2018/04/09/import-ai-89-chinese-facial-recognition-startup-raises-600-million-why-gpus-could-alter-ai-progress-and-using-contest-to-deal-with-language-ambiguity/)</v>
      </c>
    </row>
    <row r="247">
      <c r="A247" t="str">
        <f>IFERROR(__xludf.DUMMYFUNCTION("""COMPUTED_VALUE"""),"AI governance")</f>
        <v>AI governance</v>
      </c>
      <c r="B247" t="str">
        <f>IFERROR(__xludf.DUMMYFUNCTION("""COMPUTED_VALUE"""),"")</f>
        <v/>
      </c>
      <c r="C247" s="3" t="str">
        <f>IFERROR(__xludf.DUMMYFUNCTION("""COMPUTED_VALUE"""),"The Facets of Artificial Intelligence: A Framework to Track the Evolution of AI")</f>
        <v>The Facets of Artificial Intelligence: A Framework to Track the Evolution of AI</v>
      </c>
      <c r="D247" t="str">
        <f>IFERROR(__xludf.DUMMYFUNCTION("""COMPUTED_VALUE"""),"Fernando Martınez-Plumed, Bao Sheng Loe, Peter Flach, Sean ́Oh ́Eigeartaigh, Karina Vold and Jose Hernandez-Orallo")</f>
        <v>Fernando Martınez-Plumed, Bao Sheng Loe, Peter Flach, Sean ́Oh ́Eigeartaigh, Karina Vold and Jose Hernandez-Orallo</v>
      </c>
      <c r="E247" t="str">
        <f>IFERROR(__xludf.DUMMYFUNCTION("""COMPUTED_VALUE"""),"IJCAI")</f>
        <v>IJCAI</v>
      </c>
      <c r="F247">
        <f>IFERROR(__xludf.DUMMYFUNCTION("""COMPUTED_VALUE"""),2018.0)</f>
        <v>2018</v>
      </c>
      <c r="H247" s="3" t="str">
        <f>IFERROR(__xludf.DUMMYFUNCTION("""COMPUTED_VALUE"""),"AN #18")</f>
        <v>AN #18</v>
      </c>
    </row>
    <row r="248">
      <c r="A248" t="str">
        <f>IFERROR(__xludf.DUMMYFUNCTION("""COMPUTED_VALUE"""),"AI governance")</f>
        <v>AI governance</v>
      </c>
      <c r="B248" t="str">
        <f>IFERROR(__xludf.DUMMYFUNCTION("""COMPUTED_VALUE"""),"")</f>
        <v/>
      </c>
      <c r="C248" s="3" t="str">
        <f>IFERROR(__xludf.DUMMYFUNCTION("""COMPUTED_VALUE"""),"What the AI Community Can Learn From Sneezing Ferrets and a Mutant Virus Debate")</f>
        <v>What the AI Community Can Learn From Sneezing Ferrets and a Mutant Virus Debate</v>
      </c>
      <c r="D248" t="str">
        <f>IFERROR(__xludf.DUMMYFUNCTION("""COMPUTED_VALUE"""),"Jasmine Wang")</f>
        <v>Jasmine Wang</v>
      </c>
      <c r="E248" t="str">
        <f>IFERROR(__xludf.DUMMYFUNCTION("""COMPUTED_VALUE"""),"PAI Blog")</f>
        <v>PAI Blog</v>
      </c>
      <c r="F248">
        <f>IFERROR(__xludf.DUMMYFUNCTION("""COMPUTED_VALUE"""),2020.0)</f>
        <v>2020</v>
      </c>
      <c r="H248" s="3" t="str">
        <f>IFERROR(__xludf.DUMMYFUNCTION("""COMPUTED_VALUE"""),"AN #162")</f>
        <v>AN #162</v>
      </c>
      <c r="I248" t="str">
        <f>IFERROR(__xludf.DUMMYFUNCTION("""COMPUTED_VALUE"""),"Rohin")</f>
        <v>Rohin</v>
      </c>
      <c r="J248" t="str">
        <f>IFERROR(__xludf.DUMMYFUNCTION("""COMPUTED_VALUE"""),"If you can modify bird flu to be transmitted in ferrets, should your experimental methods be published in full? When this question arose, the National Science Advisory Board for Biosecurity (NSABB) unanimously recommended that key methodological details s"&amp;"hould not be published. The World Health Organization (WHO) disagreed, calling for full publication in order to enable better science, and arguing that it would be too hard to create a mechanism to grant researchers with a legitimate need access to the re"&amp;"dacted information. At this point, many bird flu researchers declared a voluntary moratorium on such research, until the controversy settled. Ultimately, the NSABB reversed its position and the paper was published.
This post suggests four lessons for the"&amp;" AI community to learn:
1. **Third-party institutions like the NSABB can lead to better-considered outcomes.** In particular, they can counteract publish-or-perish incentives and provide additional expertise and context (the NSABB had clearance for secre"&amp;"t information that researchers could not access).
2. **These institutions don’t happen “by default”.** The NSABB was only established after the anthrax attacks of 2001, and most other countries don’t have an analogous body.
3. **However, the powers of suc"&amp;"h institutions are limited.** The NSABB is geographically limited and was not able to create a mechanism for sharing information to only those with legitimate need.
4. **Researchers must take on some responsibility as well.** For example, the voluntary mo"&amp;"ratorium allowed for the development of better policy.")</f>
        <v>If you can modify bird flu to be transmitted in ferrets, should your experimental methods be published in full? When this question arose, the National Science Advisory Board for Biosecurity (NSABB) unanimously recommended that key methodological details should not be published. The World Health Organization (WHO) disagreed, calling for full publication in order to enable better science, and arguing that it would be too hard to create a mechanism to grant researchers with a legitimate need access to the redacted information. At this point, many bird flu researchers declared a voluntary moratorium on such research, until the controversy settled. Ultimately, the NSABB reversed its position and the paper was published.
This post suggests four lessons for the AI community to learn:
1. **Third-party institutions like the NSABB can lead to better-considered outcomes.** In particular, they can counteract publish-or-perish incentives and provide additional expertise and context (the NSABB had clearance for secret information that researchers could not access).
2. **These institutions don’t happen “by default”.** The NSABB was only established after the anthrax attacks of 2001, and most other countries don’t have an analogous body.
3. **However, the powers of such institutions are limited.** The NSABB is geographically limited and was not able to create a mechanism for sharing information to only those with legitimate need.
4. **Researchers must take on some responsibility as well.** For example, the voluntary moratorium allowed for the development of better policy.</v>
      </c>
      <c r="K248" t="str">
        <f>IFERROR(__xludf.DUMMYFUNCTION("""COMPUTED_VALUE"""),"The four claims seem quite plausible to me. The post also argues that this suggests that the AI community should create its own third-party institution rather than depending on a state-led institution, but I didn’t really follow the argument for this, nor"&amp;" do I agree with the conclusion. On one hand, it’s plausible that the AI community could create such an institution before some crisis, while states could not (claim 2), and that such a community-led institution would be more binding on researchers across"&amp;" different countries (part of claim 3). But on the other hand, such institutions seem much worse at binding companies (from which I expect most of the risk) and presumably would have much less context than a state-led institution (claim 1).")</f>
        <v>The four claims seem quite plausible to me. The post also argues that this suggests that the AI community should create its own third-party institution rather than depending on a state-led institution, but I didn’t really follow the argument for this, nor do I agree with the conclusion. On one hand, it’s plausible that the AI community could create such an institution before some crisis, while states could not (claim 2), and that such a community-led institution would be more binding on researchers across different countries (part of claim 3). But on the other hand, such institutions seem much worse at binding companies (from which I expect most of the risk) and presumably would have much less context than a state-led institution (claim 1).</v>
      </c>
    </row>
    <row r="249">
      <c r="A249" t="str">
        <f>IFERROR(__xludf.DUMMYFUNCTION("""COMPUTED_VALUE"""),"AI governance")</f>
        <v>AI governance</v>
      </c>
      <c r="B249" t="str">
        <f>IFERROR(__xludf.DUMMYFUNCTION("""COMPUTED_VALUE"""),"")</f>
        <v/>
      </c>
      <c r="C249" s="3" t="str">
        <f>IFERROR(__xludf.DUMMYFUNCTION("""COMPUTED_VALUE"""),"AI Policy Challenges and Recommendations")</f>
        <v>AI Policy Challenges and Recommendations</v>
      </c>
      <c r="E249" t="str">
        <f>IFERROR(__xludf.DUMMYFUNCTION("""COMPUTED_VALUE"""),"FLI Website")</f>
        <v>FLI Website</v>
      </c>
      <c r="F249">
        <f>IFERROR(__xludf.DUMMYFUNCTION("""COMPUTED_VALUE"""),2018.0)</f>
        <v>2018</v>
      </c>
      <c r="H249" s="3" t="str">
        <f>IFERROR(__xludf.DUMMYFUNCTION("""COMPUTED_VALUE"""),"AN #16")</f>
        <v>AN #16</v>
      </c>
    </row>
    <row r="250">
      <c r="A250" t="str">
        <f>IFERROR(__xludf.DUMMYFUNCTION("""COMPUTED_VALUE"""),"AI governance")</f>
        <v>AI governance</v>
      </c>
      <c r="B250" t="str">
        <f>IFERROR(__xludf.DUMMYFUNCTION("""COMPUTED_VALUE"""),"")</f>
        <v/>
      </c>
      <c r="C250" s="3" t="str">
        <f>IFERROR(__xludf.DUMMYFUNCTION("""COMPUTED_VALUE"""),"Collective Action on Artificial Intelligence: A Primer and Review")</f>
        <v>Collective Action on Artificial Intelligence: A Primer and Review</v>
      </c>
      <c r="D250" t="str">
        <f>IFERROR(__xludf.DUMMYFUNCTION("""COMPUTED_VALUE"""),"Robert de Neufville, Seth D. Baum")</f>
        <v>Robert de Neufville, Seth D. Baum</v>
      </c>
      <c r="E250" t="str">
        <f>IFERROR(__xludf.DUMMYFUNCTION("""COMPUTED_VALUE"""),"Technology in Society")</f>
        <v>Technology in Society</v>
      </c>
      <c r="F250">
        <f>IFERROR(__xludf.DUMMYFUNCTION("""COMPUTED_VALUE"""),2021.0)</f>
        <v>2021</v>
      </c>
      <c r="H250" s="3" t="str">
        <f>IFERROR(__xludf.DUMMYFUNCTION("""COMPUTED_VALUE"""),"AN #159")</f>
        <v>AN #159</v>
      </c>
      <c r="I250" t="str">
        <f>IFERROR(__xludf.DUMMYFUNCTION("""COMPUTED_VALUE"""),"Rohin")</f>
        <v>Rohin</v>
      </c>
      <c r="J250" t="str">
        <f>IFERROR(__xludf.DUMMYFUNCTION("""COMPUTED_VALUE"""),"This paper reviews much of the work in AI governance (specifically, work on AI races and other collective action problems).")</f>
        <v>This paper reviews much of the work in AI governance (specifically, work on AI races and other collective action problems).</v>
      </c>
    </row>
    <row r="251">
      <c r="A251" t="str">
        <f>IFERROR(__xludf.DUMMYFUNCTION("""COMPUTED_VALUE"""),"AI governance")</f>
        <v>AI governance</v>
      </c>
      <c r="B251" t="str">
        <f>IFERROR(__xludf.DUMMYFUNCTION("""COMPUTED_VALUE"""),"")</f>
        <v/>
      </c>
      <c r="C251" s="3" t="str">
        <f>IFERROR(__xludf.DUMMYFUNCTION("""COMPUTED_VALUE"""),"AI Certification: Advancing Ethical Practice by Reducing Information Asymmetries")</f>
        <v>AI Certification: Advancing Ethical Practice by Reducing Information Asymmetries</v>
      </c>
      <c r="D251" t="str">
        <f>IFERROR(__xludf.DUMMYFUNCTION("""COMPUTED_VALUE"""),"Peter Cihon, Moritz J. Kleinaltenkamp, Jonas Schuett, Seth D. Baum")</f>
        <v>Peter Cihon, Moritz J. Kleinaltenkamp, Jonas Schuett, Seth D. Baum</v>
      </c>
      <c r="E251" t="str">
        <f>IFERROR(__xludf.DUMMYFUNCTION("""COMPUTED_VALUE"""),"GCRI Website")</f>
        <v>GCRI Website</v>
      </c>
      <c r="F251">
        <f>IFERROR(__xludf.DUMMYFUNCTION("""COMPUTED_VALUE"""),2021.0)</f>
        <v>2021</v>
      </c>
      <c r="H251" s="3" t="str">
        <f>IFERROR(__xludf.DUMMYFUNCTION("""COMPUTED_VALUE"""),"AN #156")</f>
        <v>AN #156</v>
      </c>
      <c r="I251" t="str">
        <f>IFERROR(__xludf.DUMMYFUNCTION("""COMPUTED_VALUE"""),"Rohin")</f>
        <v>Rohin</v>
      </c>
      <c r="J251" t="str">
        <f>IFERROR(__xludf.DUMMYFUNCTION("""COMPUTED_VALUE"""),"_Certification_ is a method of reducing information asymmetries: it presents credible information about a product to an audience that they couldn’t have easily gotten otherwise. With AI systems, certification could be used to credibly share information be"&amp;"tween AI actors, which could promote trust amongst competitors, or to share safety measures to prevent a race to the bottom on safety, caused by worrying that “the other guys would be even more unsafe”. Certification is at its best when there is _demand_ "&amp;"from an audience to see such certificates; public education about the need for credible information can help generate such demand.
However, certification often runs into problems. _Symbol-substance decoupling_ happens when certificates are issued to syst"&amp;"ems that don’t meet the standards for certification. For example, in “ethics washing”, companies advertise a self-certificate in which their products are approved by ethics boards, but those ethics boards have no real power. _Means-ends decoupling_ happen"&amp;"s when the standards for certification don’t advance the goals for which the certificate was designed. For example, a certificate might focus on whether a system was tested, rather than on what test was conducted, leading applicants to use easy-to-pass te"&amp;"sts that don’t actually provide a check on whether the method is safe.
Effective certification for future AI systems needs to be responsive to changes in AI technology. This can be achieved in a few ways: first, we can try to test the underlying goals wh"&amp;"ich are more likely to remain stable; for example, we could certify ethical principles that will likely remain the same in the future. Second, we can match the certification to the types of people and institutions, that is, our certifications talk about t"&amp;"he executives, citizens, or corporations (rather than e.g. specific algorithms that may be replaced in the future). Third, the certification system can build in mechanisms for updating the certification criteria periodically.
The paper then analyzes seve"&amp;"n existing certification systems for AI systems; you’ll have to read the paper for details.")</f>
        <v>_Certification_ is a method of reducing information asymmetries: it presents credible information about a product to an audience that they couldn’t have easily gotten otherwise. With AI systems, certification could be used to credibly share information between AI actors, which could promote trust amongst competitors, or to share safety measures to prevent a race to the bottom on safety, caused by worrying that “the other guys would be even more unsafe”. Certification is at its best when there is _demand_ from an audience to see such certificates; public education about the need for credible information can help generate such demand.
However, certification often runs into problems. _Symbol-substance decoupling_ happens when certificates are issued to systems that don’t meet the standards for certification. For example, in “ethics washing”, companies advertise a self-certificate in which their products are approved by ethics boards, but those ethics boards have no real power. _Means-ends decoupling_ happens when the standards for certification don’t advance the goals for which the certificate was designed. For example, a certificate might focus on whether a system was tested, rather than on what test was conducted, leading applicants to use easy-to-pass tests that don’t actually provide a check on whether the method is safe.
Effective certification for future AI systems needs to be responsive to changes in AI technology. This can be achieved in a few ways: first, we can try to test the underlying goals which are more likely to remain stable; for example, we could certify ethical principles that will likely remain the same in the future. Second, we can match the certification to the types of people and institutions, that is, our certifications talk about the executives, citizens, or corporations (rather than e.g. specific algorithms that may be replaced in the future). Third, the certification system can build in mechanisms for updating the certification criteria periodically.
The paper then analyzes seven existing certification systems for AI systems; you’ll have to read the paper for details.</v>
      </c>
    </row>
    <row r="252">
      <c r="A252" t="str">
        <f>IFERROR(__xludf.DUMMYFUNCTION("""COMPUTED_VALUE"""),"AI governance")</f>
        <v>AI governance</v>
      </c>
      <c r="B252" t="str">
        <f>IFERROR(__xludf.DUMMYFUNCTION("""COMPUTED_VALUE"""),"")</f>
        <v/>
      </c>
      <c r="C252" s="3" t="str">
        <f>IFERROR(__xludf.DUMMYFUNCTION("""COMPUTED_VALUE"""),"Case studies of self-governance to reduce technology risk")</f>
        <v>Case studies of self-governance to reduce technology risk</v>
      </c>
      <c r="D252" t="str">
        <f>IFERROR(__xludf.DUMMYFUNCTION("""COMPUTED_VALUE"""),"Jia")</f>
        <v>Jia</v>
      </c>
      <c r="E252" t="str">
        <f>IFERROR(__xludf.DUMMYFUNCTION("""COMPUTED_VALUE"""),"EA Forum")</f>
        <v>EA Forum</v>
      </c>
      <c r="F252">
        <f>IFERROR(__xludf.DUMMYFUNCTION("""COMPUTED_VALUE"""),2021.0)</f>
        <v>2021</v>
      </c>
      <c r="H252" s="3" t="str">
        <f>IFERROR(__xludf.DUMMYFUNCTION("""COMPUTED_VALUE"""),"AN #156")</f>
        <v>AN #156</v>
      </c>
      <c r="I252" t="str">
        <f>IFERROR(__xludf.DUMMYFUNCTION("""COMPUTED_VALUE"""),"Rohin")</f>
        <v>Rohin</v>
      </c>
      <c r="J252" t="str">
        <f>IFERROR(__xludf.DUMMYFUNCTION("""COMPUTED_VALUE"""),"Should we expect AI companies to reduce risk through self-governance? This post investigates six historical cases, of which the two most successful were the Asilomar conference on recombinant DNA and the actions of Leo Szilard and other physicists in 1939"&amp;" (around the development of the atomic bomb). It is hard to make any confident conclusions, but the author identifies the following five factors that make self-governance more likely:
1. The risks are salient.
2. If self-governance doesn’t happen, then t"&amp;"he government will step in with regulation (which is expected to be poorly designed).
3. The field is small, so that coordination is easier.
4. There is support from gatekeepers (e.g. academic journals).
5. There is support from credentialed scientists.")</f>
        <v>Should we expect AI companies to reduce risk through self-governance? This post investigates six historical cases, of which the two most successful were the Asilomar conference on recombinant DNA and the actions of Leo Szilard and other physicists in 1939 (around the development of the atomic bomb). It is hard to make any confident conclusions, but the author identifies the following five factors that make self-governance more likely:
1. The risks are salient.
2. If self-governance doesn’t happen, then the government will step in with regulation (which is expected to be poorly designed).
3. The field is small, so that coordination is easier.
4. There is support from gatekeepers (e.g. academic journals).
5. There is support from credentialed scientists.</v>
      </c>
    </row>
    <row r="253">
      <c r="A253" t="str">
        <f>IFERROR(__xludf.DUMMYFUNCTION("""COMPUTED_VALUE"""),"AI governance")</f>
        <v>AI governance</v>
      </c>
      <c r="B253" t="str">
        <f>IFERROR(__xludf.DUMMYFUNCTION("""COMPUTED_VALUE"""),"")</f>
        <v/>
      </c>
      <c r="C253" s="3" t="str">
        <f>IFERROR(__xludf.DUMMYFUNCTION("""COMPUTED_VALUE"""),"Some AI Governance Research Ideas")</f>
        <v>Some AI Governance Research Ideas</v>
      </c>
      <c r="D253" t="str">
        <f>IFERROR(__xludf.DUMMYFUNCTION("""COMPUTED_VALUE"""),"Alexis Carlier, Markus Anderljung")</f>
        <v>Alexis Carlier, Markus Anderljung</v>
      </c>
      <c r="E253" t="str">
        <f>IFERROR(__xludf.DUMMYFUNCTION("""COMPUTED_VALUE"""),"Alignment Forum")</f>
        <v>Alignment Forum</v>
      </c>
      <c r="F253">
        <f>IFERROR(__xludf.DUMMYFUNCTION("""COMPUTED_VALUE"""),2021.0)</f>
        <v>2021</v>
      </c>
      <c r="H253" s="3" t="str">
        <f>IFERROR(__xludf.DUMMYFUNCTION("""COMPUTED_VALUE"""),"AN #152")</f>
        <v>AN #152</v>
      </c>
      <c r="I253" t="str">
        <f>IFERROR(__xludf.DUMMYFUNCTION("""COMPUTED_VALUE"""),"Rohin")</f>
        <v>Rohin</v>
      </c>
      <c r="J253" t="str">
        <f>IFERROR(__xludf.DUMMYFUNCTION("""COMPUTED_VALUE"""),"Exactly what it says.")</f>
        <v>Exactly what it says.</v>
      </c>
    </row>
    <row r="254">
      <c r="A254" t="str">
        <f>IFERROR(__xludf.DUMMYFUNCTION("""COMPUTED_VALUE"""),"AI governance")</f>
        <v>AI governance</v>
      </c>
      <c r="B254" t="str">
        <f>IFERROR(__xludf.DUMMYFUNCTION("""COMPUTED_VALUE"""),"")</f>
        <v/>
      </c>
      <c r="C254" s="3" t="str">
        <f>IFERROR(__xludf.DUMMYFUNCTION("""COMPUTED_VALUE"""),"State of AI")</f>
        <v>State of AI</v>
      </c>
      <c r="D254" t="str">
        <f>IFERROR(__xludf.DUMMYFUNCTION("""COMPUTED_VALUE"""),"Nathan Benaich and Ian Hogarth")</f>
        <v>Nathan Benaich and Ian Hogarth</v>
      </c>
      <c r="F254">
        <f>IFERROR(__xludf.DUMMYFUNCTION("""COMPUTED_VALUE"""),2018.0)</f>
        <v>2018</v>
      </c>
      <c r="H254" s="3" t="str">
        <f>IFERROR(__xludf.DUMMYFUNCTION("""COMPUTED_VALUE"""),"AN #15")</f>
        <v>AN #15</v>
      </c>
    </row>
    <row r="255">
      <c r="A255" t="str">
        <f>IFERROR(__xludf.DUMMYFUNCTION("""COMPUTED_VALUE"""),"AI governance")</f>
        <v>AI governance</v>
      </c>
      <c r="B255" t="str">
        <f>IFERROR(__xludf.DUMMYFUNCTION("""COMPUTED_VALUE"""),"")</f>
        <v/>
      </c>
      <c r="C255" s="3" t="str">
        <f>IFERROR(__xludf.DUMMYFUNCTION("""COMPUTED_VALUE"""),"AI and International Stability: Risks and Confidence-Building Measures")</f>
        <v>AI and International Stability: Risks and Confidence-Building Measures</v>
      </c>
      <c r="D255" t="str">
        <f>IFERROR(__xludf.DUMMYFUNCTION("""COMPUTED_VALUE"""),"Michael Horowitz, Paul Scharre")</f>
        <v>Michael Horowitz, Paul Scharre</v>
      </c>
      <c r="E255" t="str">
        <f>IFERROR(__xludf.DUMMYFUNCTION("""COMPUTED_VALUE"""),"CNAS")</f>
        <v>CNAS</v>
      </c>
      <c r="F255">
        <f>IFERROR(__xludf.DUMMYFUNCTION("""COMPUTED_VALUE"""),2021.0)</f>
        <v>2021</v>
      </c>
      <c r="H255" s="3" t="str">
        <f>IFERROR(__xludf.DUMMYFUNCTION("""COMPUTED_VALUE"""),"AN #146")</f>
        <v>AN #146</v>
      </c>
      <c r="I255" t="str">
        <f>IFERROR(__xludf.DUMMYFUNCTION("""COMPUTED_VALUE"""),"Flo")</f>
        <v>Flo</v>
      </c>
      <c r="J255" t="str">
        <f>IFERROR(__xludf.DUMMYFUNCTION("""COMPUTED_VALUE"""),"Militaries are likely incentivized to integrate machine learning in their operations and because AI is a general-purpose technology, we cannot expect militaries to not use it at all. Still, it matters a great deal how and for which purposes militaries use"&amp;" AI. While militaries are currently not spending a lot on AI, there are several risks from broader adoption: An acceleration of warfare, and ensuing pressure for more automation as well as increased difficulty of managing escalation.  More difficulties in"&amp;" assessing others' strength and less immediate human cost of conflict, leading to more risk-taking. Accidents due to AI systems' brittleness being mistaken as attacks and inflaming tensions. 
This paper explores confidence-building measures (CBMs) as a w"&amp;"ay to reduce the negative effects of military AI use on international stability. CBMs were an important tool during the Cold War. However, as CBMs rely on a shared interest to succeed, their adoption has proven challenging in the context of cybersecurity,"&amp;" where the stakes of conflict are less clear than in the Cold War. The authors present a set of CBMs that could diminish risks from military use of AI and discuss their advantages and downsides. On the broad side, these include building norms around the m"&amp;"ilitary use of AI, dialogues between civil actors with expertise in the military use of AI from different countries, military to military dialogues, and code of conducts with multilateral support. On the more specific side, states could engage in public s"&amp;"ignalling of the importance of Test and Evaluation (T&amp;E), transparency about T&amp;E processes and push for international standards for military AI T&amp;E. In addition, they could cooperate on civilian AI safety research, agree on specific rules to prevent accid"&amp;"ental escalation (similar to the Incidents at Sea Agreement from the Cold War), clearly mark autonomous systems as such, and declare certain areas as off-limits for autonomous systems. Regarding nuclear weapons, the authors suggest an agreement between st"&amp;"ates to retain exclusive human control over nuclear launch decisions and a prohibition of uninhabited nuclear launch platforms such as submarines or bombers armed with nuclear weapons. ")</f>
        <v>Militaries are likely incentivized to integrate machine learning in their operations and because AI is a general-purpose technology, we cannot expect militaries to not use it at all. Still, it matters a great deal how and for which purposes militaries use AI. While militaries are currently not spending a lot on AI, there are several risks from broader adoption: An acceleration of warfare, and ensuing pressure for more automation as well as increased difficulty of managing escalation.  More difficulties in assessing others' strength and less immediate human cost of conflict, leading to more risk-taking. Accidents due to AI systems' brittleness being mistaken as attacks and inflaming tensions. 
This paper explores confidence-building measures (CBMs) as a way to reduce the negative effects of military AI use on international stability. CBMs were an important tool during the Cold War. However, as CBMs rely on a shared interest to succeed, their adoption has proven challenging in the context of cybersecurity, where the stakes of conflict are less clear than in the Cold War. The authors present a set of CBMs that could diminish risks from military use of AI and discuss their advantages and downsides. On the broad side, these include building norms around the military use of AI, dialogues between civil actors with expertise in the military use of AI from different countries, military to military dialogues, and code of conducts with multilateral support. On the more specific side, states could engage in public signalling of the importance of Test and Evaluation (T&amp;E), transparency about T&amp;E processes and push for international standards for military AI T&amp;E. In addition, they could cooperate on civilian AI safety research, agree on specific rules to prevent accidental escalation (similar to the Incidents at Sea Agreement from the Cold War), clearly mark autonomous systems as such, and declare certain areas as off-limits for autonomous systems. Regarding nuclear weapons, the authors suggest an agreement between states to retain exclusive human control over nuclear launch decisions and a prohibition of uninhabited nuclear launch platforms such as submarines or bombers armed with nuclear weapons. </v>
      </c>
      <c r="K255" t="str">
        <f>IFERROR(__xludf.DUMMYFUNCTION("""COMPUTED_VALUE"""),"While some of the discussed measures like marking autonomous weapon systems are very specific to the military use of AI, others such as the measures focussed on T&amp;E could be useful more broadly to reduce risks from competitive pressures around AI. I belie"&amp;"ve that military AI use is the largest source of AI risk in the next few years, so I am glad that people are working on this.")</f>
        <v>While some of the discussed measures like marking autonomous weapon systems are very specific to the military use of AI, others such as the measures focussed on T&amp;E could be useful more broadly to reduce risks from competitive pressures around AI. I believe that military AI use is the largest source of AI risk in the next few years, so I am glad that people are working on this.</v>
      </c>
      <c r="M255" s="3" t="str">
        <f>IFERROR(__xludf.DUMMYFUNCTION("""COMPUTED_VALUE"""),"Import AI #234")</f>
        <v>Import AI #234</v>
      </c>
    </row>
    <row r="256">
      <c r="A256" t="str">
        <f>IFERROR(__xludf.DUMMYFUNCTION("""COMPUTED_VALUE"""),"AI governance")</f>
        <v>AI governance</v>
      </c>
      <c r="B256" t="str">
        <f>IFERROR(__xludf.DUMMYFUNCTION("""COMPUTED_VALUE"""),"")</f>
        <v/>
      </c>
      <c r="C256" s="3" t="str">
        <f>IFERROR(__xludf.DUMMYFUNCTION("""COMPUTED_VALUE"""),"Shaping economic incentives for collaborative AGI")</f>
        <v>Shaping economic incentives for collaborative AGI</v>
      </c>
      <c r="D256" t="str">
        <f>IFERROR(__xludf.DUMMYFUNCTION("""COMPUTED_VALUE"""),"Kaj Sotala")</f>
        <v>Kaj Sotala</v>
      </c>
      <c r="E256" t="str">
        <f>IFERROR(__xludf.DUMMYFUNCTION("""COMPUTED_VALUE"""),"LessWrong")</f>
        <v>LessWrong</v>
      </c>
      <c r="F256">
        <f>IFERROR(__xludf.DUMMYFUNCTION("""COMPUTED_VALUE"""),2018.0)</f>
        <v>2018</v>
      </c>
      <c r="H256" s="3" t="str">
        <f>IFERROR(__xludf.DUMMYFUNCTION("""COMPUTED_VALUE"""),"AN #14")</f>
        <v>AN #14</v>
      </c>
      <c r="I256" t="str">
        <f>IFERROR(__xludf.DUMMYFUNCTION("""COMPUTED_VALUE"""),"Rohin")</f>
        <v>Rohin</v>
      </c>
      <c r="J256" t="str">
        <f>IFERROR(__xludf.DUMMYFUNCTION("""COMPUTED_VALUE"""),"This post considers how to encourage a culture of cooperation among AI researchers. Then, when researchers try to create AGI, this culture of cooperation may make it more likely that AGI is developed collaboratively, instead of with race dynamics, making "&amp;"it more likely to be safe. It specifically poses the question of what external economic or policy incentives could encourage such cooperation.")</f>
        <v>This post considers how to encourage a culture of cooperation among AI researchers. Then, when researchers try to create AGI, this culture of cooperation may make it more likely that AGI is developed collaboratively, instead of with race dynamics, making it more likely to be safe. It specifically poses the question of what external economic or policy incentives could encourage such cooperation.</v>
      </c>
      <c r="K256" t="str">
        <f>IFERROR(__xludf.DUMMYFUNCTION("""COMPUTED_VALUE"""),"I am optimistic about developing AGI collaboratively, especially through AI researchers cooperating. I'm not sure whether external incentives from government are the right way to achieve this -- it seems likely that such regulation would be aimed at the w"&amp;"rong problems if it originated from government and not from AI researchers themselves. I'm more optimistic about some AI researchers developing guidelines and incentive structures themselves, that researchers buy into voluntarily, that maybe later get cod"&amp;"ified into law by governments, or adopted by companies for their AI research.")</f>
        <v>I am optimistic about developing AGI collaboratively, especially through AI researchers cooperating. I'm not sure whether external incentives from government are the right way to achieve this -- it seems likely that such regulation would be aimed at the wrong problems if it originated from government and not from AI researchers themselves. I'm more optimistic about some AI researchers developing guidelines and incentive structures themselves, that researchers buy into voluntarily, that maybe later get codified into law by governments, or adopted by companies for their AI research.</v>
      </c>
    </row>
    <row r="257">
      <c r="A257" t="str">
        <f>IFERROR(__xludf.DUMMYFUNCTION("""COMPUTED_VALUE"""),"AI governance")</f>
        <v>AI governance</v>
      </c>
      <c r="B257" t="str">
        <f>IFERROR(__xludf.DUMMYFUNCTION("""COMPUTED_VALUE"""),"")</f>
        <v/>
      </c>
      <c r="C257" s="3" t="str">
        <f>IFERROR(__xludf.DUMMYFUNCTION("""COMPUTED_VALUE"""),"An Overview of National AI Strategies")</f>
        <v>An Overview of National AI Strategies</v>
      </c>
      <c r="D257" t="str">
        <f>IFERROR(__xludf.DUMMYFUNCTION("""COMPUTED_VALUE"""),"Tim Dutton")</f>
        <v>Tim Dutton</v>
      </c>
      <c r="E257" t="str">
        <f>IFERROR(__xludf.DUMMYFUNCTION("""COMPUTED_VALUE"""),"Medium")</f>
        <v>Medium</v>
      </c>
      <c r="F257">
        <f>IFERROR(__xludf.DUMMYFUNCTION("""COMPUTED_VALUE"""),2018.0)</f>
        <v>2018</v>
      </c>
      <c r="H257" s="3" t="str">
        <f>IFERROR(__xludf.DUMMYFUNCTION("""COMPUTED_VALUE"""),"AN #14")</f>
        <v>AN #14</v>
      </c>
      <c r="I257" t="str">
        <f>IFERROR(__xludf.DUMMYFUNCTION("""COMPUTED_VALUE"""),"Rohin")</f>
        <v>Rohin</v>
      </c>
      <c r="J257" t="str">
        <f>IFERROR(__xludf.DUMMYFUNCTION("""COMPUTED_VALUE"""),"A short reference on the AI policies released by various countries.")</f>
        <v>A short reference on the AI policies released by various countries.</v>
      </c>
      <c r="K257" t="str">
        <f>IFERROR(__xludf.DUMMYFUNCTION("""COMPUTED_VALUE"""),"Reading through this, it seems that countries are taking quite different approaches towards AI. I don't know what to make of this -- are they acting close to optimally given their geopolitical situation (which must then vary a lot by country), or does no "&amp;"one know what's going on and as a result all of the strategies are somewhat randomly chosen? (Here by ""randomly chosen"" I mean that the strategies that one group of analysts would select with is only weakly correlated with the strategies another group w"&amp;"ould select.) It could also be that the approaches are not actually that different.")</f>
        <v>Reading through this, it seems that countries are taking quite different approaches towards AI. I don't know what to make of this -- are they acting close to optimally given their geopolitical situation (which must then vary a lot by country), or does no one know what's going on and as a result all of the strategies are somewhat randomly chosen? (Here by "randomly chosen" I mean that the strategies that one group of analysts would select with is only weakly correlated with the strategies another group would select.) It could also be that the approaches are not actually that different.</v>
      </c>
    </row>
    <row r="258">
      <c r="A258" t="str">
        <f>IFERROR(__xludf.DUMMYFUNCTION("""COMPUTED_VALUE"""),"AI governance")</f>
        <v>AI governance</v>
      </c>
      <c r="B258" t="str">
        <f>IFERROR(__xludf.DUMMYFUNCTION("""COMPUTED_VALUE"""),"")</f>
        <v/>
      </c>
      <c r="C258" s="3" t="str">
        <f>IFERROR(__xludf.DUMMYFUNCTION("""COMPUTED_VALUE"""),"Bridging the Gap: The Case for an ‘Incompletely Theorized Agreement’ on AI Policy.")</f>
        <v>Bridging the Gap: The Case for an ‘Incompletely Theorized Agreement’ on AI Policy.</v>
      </c>
      <c r="D258" t="str">
        <f>IFERROR(__xludf.DUMMYFUNCTION("""COMPUTED_VALUE"""),"Charlotte Stix, Matthijs M. Maas")</f>
        <v>Charlotte Stix, Matthijs M. Maas</v>
      </c>
      <c r="E258" t="str">
        <f>IFERROR(__xludf.DUMMYFUNCTION("""COMPUTED_VALUE"""),"AI and Ethics")</f>
        <v>AI and Ethics</v>
      </c>
      <c r="F258">
        <f>IFERROR(__xludf.DUMMYFUNCTION("""COMPUTED_VALUE"""),2021.0)</f>
        <v>2021</v>
      </c>
      <c r="H258" s="3" t="str">
        <f>IFERROR(__xludf.DUMMYFUNCTION("""COMPUTED_VALUE"""),"AN #135")</f>
        <v>AN #135</v>
      </c>
      <c r="I258" t="str">
        <f>IFERROR(__xludf.DUMMYFUNCTION("""COMPUTED_VALUE"""),"Rohin")</f>
        <v>Rohin</v>
      </c>
      <c r="J258" t="str">
        <f>IFERROR(__xludf.DUMMYFUNCTION("""COMPUTED_VALUE"""),"Like &lt;@several@&gt;(@Beyond Near- and Long-Term: Towards a Clearer Account of Research Priorities in AI Ethics and Society@) &lt;@past@&gt;(@Bridging near- and long-term concerns about AI@) &lt;@papers@&gt;(@Medium-Term Artificial Intelligence and Society@), this paper "&amp;"argues that the differences between the “near-term” and “long-term” communities are probably exaggerated. Collaboration between these communities would be particularly beneficial, since it could prevent the field of AI policy from becoming fragmented and "&amp;"ineffectual, which is especially important now while the field is nascent and there is political will for AI policy progress.
The authors propose the notion of an “incompletely theorized agreement” in order to foster this sort of collaboration. In an inc"&amp;"ompletely theorized agreement, the parties agree to suspend disagreement on some thorny theoretical question, in order to coordinate action towards a shared pragmatic purpose. Such agreements could be used to set aside relatively unimportant disagreements"&amp;" between the two communities, in favor of pursuing goals that both communities care about. For example, we could imagine that such an agreement would allow both communities to push for more and better reflection by AI researchers on the impacts of the sys"&amp;"tems that they build, or to enable action that ensures we preserve the integrity of public discourse and informed decision-making (e.g. by regulating AI-enabled disinformation).")</f>
        <v>Like &lt;@several@&gt;(@Beyond Near- and Long-Term: Towards a Clearer Account of Research Priorities in AI Ethics and Society@) &lt;@past@&gt;(@Bridging near- and long-term concerns about AI@) &lt;@papers@&gt;(@Medium-Term Artificial Intelligence and Society@), this paper argues that the differences between the “near-term” and “long-term” communities are probably exaggerated. Collaboration between these communities would be particularly beneficial, since it could prevent the field of AI policy from becoming fragmented and ineffectual, which is especially important now while the field is nascent and there is political will for AI policy progress.
The authors propose the notion of an “incompletely theorized agreement” in order to foster this sort of collaboration. In an incompletely theorized agreement, the parties agree to suspend disagreement on some thorny theoretical question, in order to coordinate action towards a shared pragmatic purpose. Such agreements could be used to set aside relatively unimportant disagreements between the two communities, in favor of pursuing goals that both communities care about. For example, we could imagine that such an agreement would allow both communities to push for more and better reflection by AI researchers on the impacts of the systems that they build, or to enable action that ensures we preserve the integrity of public discourse and informed decision-making (e.g. by regulating AI-enabled disinformation).</v>
      </c>
      <c r="K258" t="str">
        <f>IFERROR(__xludf.DUMMYFUNCTION("""COMPUTED_VALUE"""),"I’m certainly on board with the goal of working together towards shared goals. That being said, I don't fully understand what's being proposed here: how exactly is an incompletely theorized agreement supposed to be made? Is this more of a “shared ethos” t"&amp;"hat gets spread by word of mouth, or is there a document that people sign on to? If there is a document, what goes into it, who would agree to it, and how binding is it? I’d be excited to see more work fleshing out these concrete details, or even better, "&amp;"actually causing such an agreement to exist in practice.")</f>
        <v>I’m certainly on board with the goal of working together towards shared goals. That being said, I don't fully understand what's being proposed here: how exactly is an incompletely theorized agreement supposed to be made? Is this more of a “shared ethos” that gets spread by word of mouth, or is there a document that people sign on to? If there is a document, what goes into it, who would agree to it, and how binding is it? I’d be excited to see more work fleshing out these concrete details, or even better, actually causing such an agreement to exist in practice.</v>
      </c>
    </row>
    <row r="259">
      <c r="A259" t="str">
        <f>IFERROR(__xludf.DUMMYFUNCTION("""COMPUTED_VALUE"""),"AI governance")</f>
        <v>AI governance</v>
      </c>
      <c r="B259" t="str">
        <f>IFERROR(__xludf.DUMMYFUNCTION("""COMPUTED_VALUE"""),"")</f>
        <v/>
      </c>
      <c r="C259" s="3" t="str">
        <f>IFERROR(__xludf.DUMMYFUNCTION("""COMPUTED_VALUE"""),"Fragmentation and the Future: Investigating Architectures for International AI Governance")</f>
        <v>Fragmentation and the Future: Investigating Architectures for International AI Governance</v>
      </c>
      <c r="D259" t="str">
        <f>IFERROR(__xludf.DUMMYFUNCTION("""COMPUTED_VALUE"""),"Peter Cihon, Matthijs M. Maas, Luke Kemp")</f>
        <v>Peter Cihon, Matthijs M. Maas, Luke Kemp</v>
      </c>
      <c r="E259" t="str">
        <f>IFERROR(__xludf.DUMMYFUNCTION("""COMPUTED_VALUE"""),"Global Policy")</f>
        <v>Global Policy</v>
      </c>
      <c r="F259">
        <f>IFERROR(__xludf.DUMMYFUNCTION("""COMPUTED_VALUE"""),2020.0)</f>
        <v>2020</v>
      </c>
      <c r="H259" s="3" t="str">
        <f>IFERROR(__xludf.DUMMYFUNCTION("""COMPUTED_VALUE"""),"AN #131")</f>
        <v>AN #131</v>
      </c>
      <c r="I259" t="str">
        <f>IFERROR(__xludf.DUMMYFUNCTION("""COMPUTED_VALUE"""),"Rohin")</f>
        <v>Rohin</v>
      </c>
      <c r="J259" t="str">
        <f>IFERROR(__xludf.DUMMYFUNCTION("""COMPUTED_VALUE"""),"Should AI governance be done centrally, through an international body, or in a fragmented, decentralized fashion? This paper identifies various considerations pointing in different directions:
1. Centralized institutions can have more political power whe"&amp;"n designed well: their regulations can have more “teeth”.
2. Centralized institutions can be more efficient from the participant’s perspectives: if there is only one set of regulations, it is much easier for each participant to adhere to those regulations"&amp;".
3. A centralized institution will typically be slower to act, as there are many more parties with a larger stake in the outcome. This can make it brittle, especially when the pace of technological change outpaces that of regulatory change.
4. Centralize"&amp;"d institutions face a breadth vs. depth dilemma: if the regulations are too stringent, then some actors (i.e. nations, companies, etc) won’t participate (there is depth but not breadth), and similarly, to get everyone to participate the regulations must o"&amp;"ften be quite weak (breadth but not depth). In contrast, with decentralized approaches, the depth of the regulations can be customized to each participant.
5. With more fragmented approaches, actors can “forum shop” for the regulations which they think ar"&amp;"e best. It is unclear whether this is helpful or harmful for AI governance.
6. It is unclear which approach leads to more coordination. While a centralized approach ensures that everyone has the same policies, leading to policy _coherence_, it does not ne"&amp;"cessarily mean that those policies are good. A decentralized approach could lead to faster adaptation leading to better policies that are then copied by others, leading to more effective coordination overall.")</f>
        <v>Should AI governance be done centrally, through an international body, or in a fragmented, decentralized fashion? This paper identifies various considerations pointing in different directions:
1. Centralized institutions can have more political power when designed well: their regulations can have more “teeth”.
2. Centralized institutions can be more efficient from the participant’s perspectives: if there is only one set of regulations, it is much easier for each participant to adhere to those regulations.
3. A centralized institution will typically be slower to act, as there are many more parties with a larger stake in the outcome. This can make it brittle, especially when the pace of technological change outpaces that of regulatory change.
4. Centralized institutions face a breadth vs. depth dilemma: if the regulations are too stringent, then some actors (i.e. nations, companies, etc) won’t participate (there is depth but not breadth), and similarly, to get everyone to participate the regulations must often be quite weak (breadth but not depth). In contrast, with decentralized approaches, the depth of the regulations can be customized to each participant.
5. With more fragmented approaches, actors can “forum shop” for the regulations which they think are best. It is unclear whether this is helpful or harmful for AI governance.
6. It is unclear which approach leads to more coordination. While a centralized approach ensures that everyone has the same policies, leading to policy _coherence_, it does not necessarily mean that those policies are good. A decentralized approach could lead to faster adaptation leading to better policies that are then copied by others, leading to more effective coordination overall.</v>
      </c>
    </row>
    <row r="260">
      <c r="A260" t="str">
        <f>IFERROR(__xludf.DUMMYFUNCTION("""COMPUTED_VALUE"""),"AI governance")</f>
        <v>AI governance</v>
      </c>
      <c r="B260" t="str">
        <f>IFERROR(__xludf.DUMMYFUNCTION("""COMPUTED_VALUE"""),"")</f>
        <v/>
      </c>
      <c r="C260" s="3" t="str">
        <f>IFERROR(__xludf.DUMMYFUNCTION("""COMPUTED_VALUE"""),"Our AI governance grantmaking so far")</f>
        <v>Our AI governance grantmaking so far</v>
      </c>
      <c r="D260" t="str">
        <f>IFERROR(__xludf.DUMMYFUNCTION("""COMPUTED_VALUE"""),"Luke Muehlhauser")</f>
        <v>Luke Muehlhauser</v>
      </c>
      <c r="E260" t="str">
        <f>IFERROR(__xludf.DUMMYFUNCTION("""COMPUTED_VALUE"""),"Open Philanthropy Website")</f>
        <v>Open Philanthropy Website</v>
      </c>
      <c r="F260">
        <f>IFERROR(__xludf.DUMMYFUNCTION("""COMPUTED_VALUE"""),2020.0)</f>
        <v>2020</v>
      </c>
      <c r="H260" s="3" t="str">
        <f>IFERROR(__xludf.DUMMYFUNCTION("""COMPUTED_VALUE"""),"AN #130")</f>
        <v>AN #130</v>
      </c>
      <c r="I260" t="str">
        <f>IFERROR(__xludf.DUMMYFUNCTION("""COMPUTED_VALUE"""),"Rohin")</f>
        <v>Rohin</v>
      </c>
      <c r="J260" t="str">
        <f>IFERROR(__xludf.DUMMYFUNCTION("""COMPUTED_VALUE"""),"This post describes Open Philanthropy’s approach to AI governance, in which they focus on governance for worlds in which we have transformative AI (that is, AI which is as impactful as the Industrial Revolution). However, there is a major challenge: it is"&amp;" usually quite unclear whether a proposed intermediate goal is even positive. Something like “increased safety regulation in the US and Europe” might initially seem good if done well, but even if done well it may actually _increase_ risk by (say) privileg"&amp;"ing AI development in countries that have lower standards than what would have existed without the regulations. Given this effect, it’s hard to do [hits-based giving](https://www.openphilanthropy.org/blog/hits-based-giving): most intermediate goals have r"&amp;"elatively low expected value, because the huge positive value scenarios can be canceled out by the huge negative value scenarios, and so not many things look like a “hit”.
As a result, grantmaking has so far focused on intermediate goals that seem robust"&amp;"ly neutral-to-good: some kinds of research (including on which intermediate goals would be robustly good), advocacy for intermediate goals that are robustly good (e.g. methods for gaining high assurance in AI systems), broad field-building, and better-inf"&amp;"ormed AI governance training and advice.
The post also has some examples of AI governance work that the author thinks have been useful.")</f>
        <v>This post describes Open Philanthropy’s approach to AI governance, in which they focus on governance for worlds in which we have transformative AI (that is, AI which is as impactful as the Industrial Revolution). However, there is a major challenge: it is usually quite unclear whether a proposed intermediate goal is even positive. Something like “increased safety regulation in the US and Europe” might initially seem good if done well, but even if done well it may actually _increase_ risk by (say) privileging AI development in countries that have lower standards than what would have existed without the regulations. Given this effect, it’s hard to do [hits-based giving](https://www.openphilanthropy.org/blog/hits-based-giving): most intermediate goals have relatively low expected value, because the huge positive value scenarios can be canceled out by the huge negative value scenarios, and so not many things look like a “hit”.
As a result, grantmaking has so far focused on intermediate goals that seem robustly neutral-to-good: some kinds of research (including on which intermediate goals would be robustly good), advocacy for intermediate goals that are robustly good (e.g. methods for gaining high assurance in AI systems), broad field-building, and better-informed AI governance training and advice.
The post also has some examples of AI governance work that the author thinks have been useful.</v>
      </c>
    </row>
    <row r="261">
      <c r="A261" t="str">
        <f>IFERROR(__xludf.DUMMYFUNCTION("""COMPUTED_VALUE"""),"AI governance")</f>
        <v>AI governance</v>
      </c>
      <c r="B261" t="str">
        <f>IFERROR(__xludf.DUMMYFUNCTION("""COMPUTED_VALUE"""),"")</f>
        <v/>
      </c>
      <c r="C261" s="3" t="str">
        <f>IFERROR(__xludf.DUMMYFUNCTION("""COMPUTED_VALUE"""),"Future Indices: How Crowd Forecasting Can Inform the Big Picture")</f>
        <v>Future Indices: How Crowd Forecasting Can Inform the Big Picture</v>
      </c>
      <c r="D261" t="str">
        <f>IFERROR(__xludf.DUMMYFUNCTION("""COMPUTED_VALUE"""),"Michael Page, Catherine Aiken, Dewey Murdick")</f>
        <v>Michael Page, Catherine Aiken, Dewey Murdick</v>
      </c>
      <c r="E261" t="str">
        <f>IFERROR(__xludf.DUMMYFUNCTION("""COMPUTED_VALUE"""),"CSET Website")</f>
        <v>CSET Website</v>
      </c>
      <c r="F261">
        <f>IFERROR(__xludf.DUMMYFUNCTION("""COMPUTED_VALUE"""),2020.0)</f>
        <v>2020</v>
      </c>
      <c r="H261" s="3" t="str">
        <f>IFERROR(__xludf.DUMMYFUNCTION("""COMPUTED_VALUE"""),"AN #123")</f>
        <v>AN #123</v>
      </c>
      <c r="I261" t="str">
        <f>IFERROR(__xludf.DUMMYFUNCTION("""COMPUTED_VALUE"""),"Rohin")</f>
        <v>Rohin</v>
      </c>
      <c r="J261" t="str">
        <f>IFERROR(__xludf.DUMMYFUNCTION("""COMPUTED_VALUE"""),"This paper explains the methodology behind CSET’s recent forecasting project, Foretell. We would like to know which of several potential geopolitical scenarios might happen in the next 3-7 years. We can get some insight into this by asking relevant expert"&amp;"s for their opinions, but often many experts will disagree, making it hard to know what to conclude.
We’d like to mitigate this by leveraging the wisdom of the crowds. Unfortunately, this would require us to have a clear and precise operationalization of"&amp;" our scenarios; the scenarios we’re interested in are rarely amenable to such operationalization. Instead, we can find a number of _predictors_ that would argue for a specific scenario, and identify one or more _metrics_ which are themselves clear and pre"&amp;"cise and give us information about some predictor. We can get forecasts for these metrics using the wisdom of the crowds. We can then compute the deviations between crowd forecasts and simple trend extrapolations of historical data, and use the observed t"&amp;"rend directions as arguments for or against particular scenarios.
The paper illustrates this in the case of potential scenarios involving the US, China, and AI. An example of an important predictor is “US-China tensions”. Associated metrics include the a"&amp;"mount of US-China trade, the number of Chinese O visas, etc. In this case, the crowd predictions suggested trend deviations in the metrics that argued for increasing US-China tensions.")</f>
        <v>This paper explains the methodology behind CSET’s recent forecasting project, Foretell. We would like to know which of several potential geopolitical scenarios might happen in the next 3-7 years. We can get some insight into this by asking relevant experts for their opinions, but often many experts will disagree, making it hard to know what to conclude.
We’d like to mitigate this by leveraging the wisdom of the crowds. Unfortunately, this would require us to have a clear and precise operationalization of our scenarios; the scenarios we’re interested in are rarely amenable to such operationalization. Instead, we can find a number of _predictors_ that would argue for a specific scenario, and identify one or more _metrics_ which are themselves clear and precise and give us information about some predictor. We can get forecasts for these metrics using the wisdom of the crowds. We can then compute the deviations between crowd forecasts and simple trend extrapolations of historical data, and use the observed trend directions as arguments for or against particular scenarios.
The paper illustrates this in the case of potential scenarios involving the US, China, and AI. An example of an important predictor is “US-China tensions”. Associated metrics include the amount of US-China trade, the number of Chinese O visas, etc. In this case, the crowd predictions suggested trend deviations in the metrics that argued for increasing US-China tensions.</v>
      </c>
    </row>
    <row r="262">
      <c r="A262" t="str">
        <f>IFERROR(__xludf.DUMMYFUNCTION("""COMPUTED_VALUE"""),"AI governance")</f>
        <v>AI governance</v>
      </c>
      <c r="B262" t="str">
        <f>IFERROR(__xludf.DUMMYFUNCTION("""COMPUTED_VALUE"""),"")</f>
        <v/>
      </c>
      <c r="C262" s="3" t="str">
        <f>IFERROR(__xludf.DUMMYFUNCTION("""COMPUTED_VALUE"""),"AI Nationalism")</f>
        <v>AI Nationalism</v>
      </c>
      <c r="D262" t="str">
        <f>IFERROR(__xludf.DUMMYFUNCTION("""COMPUTED_VALUE"""),"Ian Hogarth")</f>
        <v>Ian Hogarth</v>
      </c>
      <c r="E262" t="str">
        <f>IFERROR(__xludf.DUMMYFUNCTION("""COMPUTED_VALUE"""),"Author's Website")</f>
        <v>Author's Website</v>
      </c>
      <c r="F262">
        <f>IFERROR(__xludf.DUMMYFUNCTION("""COMPUTED_VALUE"""),2018.0)</f>
        <v>2018</v>
      </c>
      <c r="H262" s="3" t="str">
        <f>IFERROR(__xludf.DUMMYFUNCTION("""COMPUTED_VALUE"""),"AN #12")</f>
        <v>AN #12</v>
      </c>
      <c r="I262" t="str">
        <f>IFERROR(__xludf.DUMMYFUNCTION("""COMPUTED_VALUE"""),"Rohin")</f>
        <v>Rohin</v>
      </c>
      <c r="J262" t="str">
        <f>IFERROR(__xludf.DUMMYFUNCTION("""COMPUTED_VALUE"""),"As AI becomes more important in the coming years, there will be an increasing amount of ""AI nationalism"". AI policy will be extremely important and governments will compete on keeping AI talent. For example, they are likely to start blocking company tak"&amp;"eovers and acquisitions that cross national borders -- for example, the UK could have been in a much stronger position had they blocked the acquisition of DeepMind (which is UK-based) by Google (which is US-based).")</f>
        <v>As AI becomes more important in the coming years, there will be an increasing amount of "AI nationalism". AI policy will be extremely important and governments will compete on keeping AI talent. For example, they are likely to start blocking company takeovers and acquisitions that cross national borders -- for example, the UK could have been in a much stronger position had they blocked the acquisition of DeepMind (which is UK-based) by Google (which is US-based).</v>
      </c>
    </row>
    <row r="263">
      <c r="A263" t="str">
        <f>IFERROR(__xludf.DUMMYFUNCTION("""COMPUTED_VALUE"""),"AI governance")</f>
        <v>AI governance</v>
      </c>
      <c r="B263" t="str">
        <f>IFERROR(__xludf.DUMMYFUNCTION("""COMPUTED_VALUE"""),"")</f>
        <v/>
      </c>
      <c r="C263" s="3" t="str">
        <f>IFERROR(__xludf.DUMMYFUNCTION("""COMPUTED_VALUE"""),"Decision Points in AI Governance")</f>
        <v>Decision Points in AI Governance</v>
      </c>
      <c r="D263" t="str">
        <f>IFERROR(__xludf.DUMMYFUNCTION("""COMPUTED_VALUE"""),"Jessica Cussins Newman")</f>
        <v>Jessica Cussins Newman</v>
      </c>
      <c r="E263" t="str">
        <f>IFERROR(__xludf.DUMMYFUNCTION("""COMPUTED_VALUE"""),"CLTC Website")</f>
        <v>CLTC Website</v>
      </c>
      <c r="F263">
        <f>IFERROR(__xludf.DUMMYFUNCTION("""COMPUTED_VALUE"""),2020.0)</f>
        <v>2020</v>
      </c>
      <c r="H263" s="3" t="str">
        <f>IFERROR(__xludf.DUMMYFUNCTION("""COMPUTED_VALUE"""),"AN #115")</f>
        <v>AN #115</v>
      </c>
      <c r="I263" t="str">
        <f>IFERROR(__xludf.DUMMYFUNCTION("""COMPUTED_VALUE"""),"Rohin")</f>
        <v>Rohin</v>
      </c>
      <c r="J263" t="str">
        <f>IFERROR(__xludf.DUMMYFUNCTION("""COMPUTED_VALUE"""),"While the last couple of years have seen a proliferation of “principles” for the implementation of AI systems in the real world, we are only now getting to the stage in which we turn these principles into practice. During this period, _decision points_ ar"&amp;"e concrete actions taken by some AI stakeholder with the goal of shaping the development and use of AI. (These actions should not be predetermined by existing law and practice.) Decision points are the actions that will have a disproportionately large inf"&amp;"luence on the field, and thus are important to analyze. This paper analyzes three case studies of decision points, and draws lessons for future decision points.
First, we have the Microsoft AETHER committee. Like many other companies, Microsoft has estab"&amp;"lished a committee to help the company make responsible choices about its use of AI. Unlike e.g. [Google’s AI ethics board](https://www.vox.com/future-perfect/2019/4/4/18295933/google-cancels-ai-ethics-board), this committee has actually had an impact on "&amp;"Microsoft’s decisions, and has published several papers on AI governance along the way. The committee attributes its success in part to executive-level support, regular opportunities for employee and expert engagement, and integration with the company’s l"&amp;"egal team.
Second, we have the &lt;@GPT-2@&gt;(@Better Language Models and Their Implications@) staged release process. We’ve &lt;@covered@&gt;(@The Hacker Learns to Trust@) &lt;@this@&gt;(@When Is It Appropriate to Publish High-Stakes AI Research?@) &lt;@before@&gt;(@Grover: A"&amp;" State-of-the-Art Defense against Neural Fake News@), so I won’t retell the story here. However, this shows how a deviation from the norm (of always publishing) can lead to a large discussion about what publication norms are actually appropriate, leading "&amp;"to large changes in the field as a whole.
Finally, we have the OECD AI Policy Observatory, a resource that has been established to help countries implement the OECD AI principles. The author emphasizes that it was quite impressive for the AI principles t"&amp;"o even get the support that they did, given the rhetoric about countries competing on AI. Now, as the AI principles have to be put into practice, the observatory provides several resources for countries that should help in ensuring that implementation act"&amp;"ually happens.")</f>
        <v>While the last couple of years have seen a proliferation of “principles” for the implementation of AI systems in the real world, we are only now getting to the stage in which we turn these principles into practice. During this period, _decision points_ are concrete actions taken by some AI stakeholder with the goal of shaping the development and use of AI. (These actions should not be predetermined by existing law and practice.) Decision points are the actions that will have a disproportionately large influence on the field, and thus are important to analyze. This paper analyzes three case studies of decision points, and draws lessons for future decision points.
First, we have the Microsoft AETHER committee. Like many other companies, Microsoft has established a committee to help the company make responsible choices about its use of AI. Unlike e.g. [Google’s AI ethics board](https://www.vox.com/future-perfect/2019/4/4/18295933/google-cancels-ai-ethics-board), this committee has actually had an impact on Microsoft’s decisions, and has published several papers on AI governance along the way. The committee attributes its success in part to executive-level support, regular opportunities for employee and expert engagement, and integration with the company’s legal team.
Second, we have the &lt;@GPT-2@&gt;(@Better Language Models and Their Implications@) staged release process. We’ve &lt;@covered@&gt;(@The Hacker Learns to Trust@) &lt;@this@&gt;(@When Is It Appropriate to Publish High-Stakes AI Research?@) &lt;@before@&gt;(@Grover: A State-of-the-Art Defense against Neural Fake News@), so I won’t retell the story here. However, this shows how a deviation from the norm (of always publishing) can lead to a large discussion about what publication norms are actually appropriate, leading to large changes in the field as a whole.
Finally, we have the OECD AI Policy Observatory, a resource that has been established to help countries implement the OECD AI principles. The author emphasizes that it was quite impressive for the AI principles to even get the support that they did, given the rhetoric about countries competing on AI. Now, as the AI principles have to be put into practice, the observatory provides several resources for countries that should help in ensuring that implementation actually happens.</v>
      </c>
      <c r="M263" s="3" t="str">
        <f>IFERROR(__xludf.DUMMYFUNCTION("""COMPUTED_VALUE"""),"MAIEI summary")</f>
        <v>MAIEI summary</v>
      </c>
    </row>
    <row r="264">
      <c r="A264" t="str">
        <f>IFERROR(__xludf.DUMMYFUNCTION("""COMPUTED_VALUE"""),"AI governance")</f>
        <v>AI governance</v>
      </c>
      <c r="B264" t="str">
        <f>IFERROR(__xludf.DUMMYFUNCTION("""COMPUTED_VALUE"""),"")</f>
        <v/>
      </c>
      <c r="C264" s="3" t="str">
        <f>IFERROR(__xludf.DUMMYFUNCTION("""COMPUTED_VALUE"""),"Overcoming Barriers to Cross-cultural Cooperation in AI Ethics and Governance")</f>
        <v>Overcoming Barriers to Cross-cultural Cooperation in AI Ethics and Governance</v>
      </c>
      <c r="D264" t="str">
        <f>IFERROR(__xludf.DUMMYFUNCTION("""COMPUTED_VALUE"""),"Seán S. ÓhÉigeartaigh, Jess Whittlestone, Yang Liu, Yi Zeng, Zhe Liu")</f>
        <v>Seán S. ÓhÉigeartaigh, Jess Whittlestone, Yang Liu, Yi Zeng, Zhe Liu</v>
      </c>
      <c r="E264" t="str">
        <f>IFERROR(__xludf.DUMMYFUNCTION("""COMPUTED_VALUE"""),"Philosophy &amp; Technology")</f>
        <v>Philosophy &amp; Technology</v>
      </c>
      <c r="F264">
        <f>IFERROR(__xludf.DUMMYFUNCTION("""COMPUTED_VALUE"""),2020.0)</f>
        <v>2020</v>
      </c>
      <c r="H264" s="3" t="str">
        <f>IFERROR(__xludf.DUMMYFUNCTION("""COMPUTED_VALUE"""),"AN #111")</f>
        <v>AN #111</v>
      </c>
      <c r="I264" t="str">
        <f>IFERROR(__xludf.DUMMYFUNCTION("""COMPUTED_VALUE"""),"Rohin")</f>
        <v>Rohin</v>
      </c>
      <c r="J264" t="str">
        <f>IFERROR(__xludf.DUMMYFUNCTION("""COMPUTED_VALUE"""),"This paper argues that it is important that AI ethics and governance is cross-cultural, and provides a few recommendations towards this goal:
1. Develop AI ethics and governance research agendas requiring cross-cultural cooperation
2. Translate key papers"&amp;" and reports
3. Alternate continents for major AI research conferences and ethics and governance conferences
4. Establish joint and/or exchange programmes for PhD students and postdocs")</f>
        <v>This paper argues that it is important that AI ethics and governance is cross-cultural, and provides a few recommendations towards this goal:
1. Develop AI ethics and governance research agendas requiring cross-cultural cooperation
2. Translate key papers and reports
3. Alternate continents for major AI research conferences and ethics and governance conferences
4. Establish joint and/or exchange programmes for PhD students and postdocs</v>
      </c>
      <c r="M264" s="3" t="str">
        <f>IFERROR(__xludf.DUMMYFUNCTION("""COMPUTED_VALUE"""),"Longer summary from MAIEI")</f>
        <v>Longer summary from MAIEI</v>
      </c>
    </row>
    <row r="265">
      <c r="A265" t="str">
        <f>IFERROR(__xludf.DUMMYFUNCTION("""COMPUTED_VALUE"""),"AI governance")</f>
        <v>AI governance</v>
      </c>
      <c r="B265" t="str">
        <f>IFERROR(__xludf.DUMMYFUNCTION("""COMPUTED_VALUE"""),"")</f>
        <v/>
      </c>
      <c r="C265" s="3" t="str">
        <f>IFERROR(__xludf.DUMMYFUNCTION("""COMPUTED_VALUE"""),"Accounting for the Neglected Dimensions of AI Progress")</f>
        <v>Accounting for the Neglected Dimensions of AI Progress</v>
      </c>
      <c r="D265" t="str">
        <f>IFERROR(__xludf.DUMMYFUNCTION("""COMPUTED_VALUE"""),"Fernando Martinez-Plumed, Shahar Avin, Miles Brundage, Allan Dafoe, Sean O")</f>
        <v>Fernando Martinez-Plumed, Shahar Avin, Miles Brundage, Allan Dafoe, Sean O</v>
      </c>
      <c r="F265">
        <f>IFERROR(__xludf.DUMMYFUNCTION("""COMPUTED_VALUE"""),2018.0)</f>
        <v>2018</v>
      </c>
      <c r="H265" s="3" t="str">
        <f>IFERROR(__xludf.DUMMYFUNCTION("""COMPUTED_VALUE"""),"AN #11")</f>
        <v>AN #11</v>
      </c>
    </row>
    <row r="266">
      <c r="A266" t="str">
        <f>IFERROR(__xludf.DUMMYFUNCTION("""COMPUTED_VALUE"""),"AI governance")</f>
        <v>AI governance</v>
      </c>
      <c r="B266" t="str">
        <f>IFERROR(__xludf.DUMMYFUNCTION("""COMPUTED_VALUE"""),"")</f>
        <v/>
      </c>
      <c r="C266" s="3" t="str">
        <f>IFERROR(__xludf.DUMMYFUNCTION("""COMPUTED_VALUE"""),"Antitrust-Compliant AI Industry Self-Regulation")</f>
        <v>Antitrust-Compliant AI Industry Self-Regulation</v>
      </c>
      <c r="D266" t="str">
        <f>IFERROR(__xludf.DUMMYFUNCTION("""COMPUTED_VALUE"""),"Cullen O'Keefe")</f>
        <v>Cullen O'Keefe</v>
      </c>
      <c r="E266" t="str">
        <f>IFERROR(__xludf.DUMMYFUNCTION("""COMPUTED_VALUE"""),"Author's Website")</f>
        <v>Author's Website</v>
      </c>
      <c r="F266">
        <f>IFERROR(__xludf.DUMMYFUNCTION("""COMPUTED_VALUE"""),2020.0)</f>
        <v>2020</v>
      </c>
      <c r="H266" s="3" t="str">
        <f>IFERROR(__xludf.DUMMYFUNCTION("""COMPUTED_VALUE"""),"AN #108")</f>
        <v>AN #108</v>
      </c>
      <c r="I266" t="str">
        <f>IFERROR(__xludf.DUMMYFUNCTION("""COMPUTED_VALUE"""),"Rohin")</f>
        <v>Rohin</v>
      </c>
      <c r="J266" t="str">
        <f>IFERROR(__xludf.DUMMYFUNCTION("""COMPUTED_VALUE"""),"One way to reduce the risk of unsafe AI systems is to have agreements between corporations that promote risk reduction measures. However, such agreements may run afoul of antitrust laws. This paper suggests that this sort of self-regulation could be done "&amp;"under the “Rule of Reason”, in which a learned profession (such as “AI engineering”) may self-regulate in order to correct a market failure, as long as the effects of such a regulation promote rather than harm competition.
In the case of AI, if AI engine"&amp;"ers self-regulate, this could be argued as correcting the information asymmetry between the AI engineers (who know about risks) and the users of the AI system (who don’t). In addition, since AI engineers arguably do not have a monetary incentive, the self"&amp;"-regulation need not be anticompetitive. Thus, this seems like a plausible method by which AI self-regulation could occur without running afoul of antitrust law, and so is worthy of more investigation.")</f>
        <v>One way to reduce the risk of unsafe AI systems is to have agreements between corporations that promote risk reduction measures. However, such agreements may run afoul of antitrust laws. This paper suggests that this sort of self-regulation could be done under the “Rule of Reason”, in which a learned profession (such as “AI engineering”) may self-regulate in order to correct a market failure, as long as the effects of such a regulation promote rather than harm competition.
In the case of AI, if AI engineers self-regulate, this could be argued as correcting the information asymmetry between the AI engineers (who know about risks) and the users of the AI system (who don’t). In addition, since AI engineers arguably do not have a monetary incentive, the self-regulation need not be anticompetitive. Thus, this seems like a plausible method by which AI self-regulation could occur without running afoul of antitrust law, and so is worthy of more investigation.</v>
      </c>
    </row>
    <row r="267">
      <c r="A267" t="str">
        <f>IFERROR(__xludf.DUMMYFUNCTION("""COMPUTED_VALUE"""),"AI governance")</f>
        <v>AI governance</v>
      </c>
      <c r="B267" t="str">
        <f>IFERROR(__xludf.DUMMYFUNCTION("""COMPUTED_VALUE"""),"")</f>
        <v/>
      </c>
      <c r="C267" s="3" t="str">
        <f>IFERROR(__xludf.DUMMYFUNCTION("""COMPUTED_VALUE"""),"AI at Google: our principles")</f>
        <v>AI at Google: our principles</v>
      </c>
      <c r="D267" t="str">
        <f>IFERROR(__xludf.DUMMYFUNCTION("""COMPUTED_VALUE"""),"Sundar Pichai")</f>
        <v>Sundar Pichai</v>
      </c>
      <c r="E267" t="str">
        <f>IFERROR(__xludf.DUMMYFUNCTION("""COMPUTED_VALUE"""),"Google Blog")</f>
        <v>Google Blog</v>
      </c>
      <c r="F267">
        <f>IFERROR(__xludf.DUMMYFUNCTION("""COMPUTED_VALUE"""),2018.0)</f>
        <v>2018</v>
      </c>
      <c r="H267" s="3" t="str">
        <f>IFERROR(__xludf.DUMMYFUNCTION("""COMPUTED_VALUE"""),"AN #10")</f>
        <v>AN #10</v>
      </c>
      <c r="I267" t="str">
        <f>IFERROR(__xludf.DUMMYFUNCTION("""COMPUTED_VALUE"""),"Rohin")</f>
        <v>Rohin</v>
      </c>
      <c r="J267" t="str">
        <f>IFERROR(__xludf.DUMMYFUNCTION("""COMPUTED_VALUE"""),"Following the outcry over the Maven program, Google has written a blog post detailing the principles they will follow for AI.")</f>
        <v>Following the outcry over the Maven program, Google has written a blog post detailing the principles they will follow for AI.</v>
      </c>
      <c r="K267" t="str">
        <f>IFERROR(__xludf.DUMMYFUNCTION("""COMPUTED_VALUE"""),"I found this line particularly interesting: ""We will design our AI systems to be appropriately cautious, and seek to develop them in accordance with best practices in AI safety research."" It sounds like the time is ripe for someone to write a ""best pra"&amp;"ctices"" paper!")</f>
        <v>I found this line particularly interesting: "We will design our AI systems to be appropriately cautious, and seek to develop them in accordance with best practices in AI safety research." It sounds like the time is ripe for someone to write a "best practices" paper!</v>
      </c>
    </row>
    <row r="268">
      <c r="A268" t="str">
        <f>IFERROR(__xludf.DUMMYFUNCTION("""COMPUTED_VALUE"""),"AI governance")</f>
        <v>AI governance</v>
      </c>
      <c r="B268" t="str">
        <f>IFERROR(__xludf.DUMMYFUNCTION("""COMPUTED_VALUE"""),"")</f>
        <v/>
      </c>
      <c r="C268" s="3" t="str">
        <f>IFERROR(__xludf.DUMMYFUNCTION("""COMPUTED_VALUE"""),"Institutionalizing ethics in AI through broader impact requirements")</f>
        <v>Institutionalizing ethics in AI through broader impact requirements</v>
      </c>
      <c r="D268" t="str">
        <f>IFERROR(__xludf.DUMMYFUNCTION("""COMPUTED_VALUE"""),"Carina E. A. Prunkl, Carolyn Ashurst, Markus Anderljung, Helena Webb, Jan Leike, Allan Dafoe ")</f>
        <v>Carina E. A. Prunkl, Carolyn Ashurst, Markus Anderljung, Helena Webb, Jan Leike, Allan Dafoe </v>
      </c>
      <c r="E268" t="str">
        <f>IFERROR(__xludf.DUMMYFUNCTION("""COMPUTED_VALUE"""),"Nature Machine Intelligence")</f>
        <v>Nature Machine Intelligence</v>
      </c>
      <c r="F268">
        <f>IFERROR(__xludf.DUMMYFUNCTION("""COMPUTED_VALUE"""),2021.0)</f>
        <v>2021</v>
      </c>
      <c r="I268" t="str">
        <f>IFERROR(__xludf.DUMMYFUNCTION("""COMPUTED_VALUE"""),"Rohin")</f>
        <v>Rohin</v>
      </c>
      <c r="J268" t="str">
        <f>IFERROR(__xludf.DUMMYFUNCTION("""COMPUTED_VALUE"""),"This short perspective analyzes the policy implemented by NeurIPS last year in which paper submissions were required to have a section discussing the broader impacts of the research. Potential benefits include _anticipating_ potential impacts of research,"&amp;" _acting_ to improve these impacts, _reflecting_ on what research to do given the potential impacts, and improving _coordination_ across the community. However, the policy may also lead to _trivialization_ of ethics and governance (thinking that all the r"&amp;"elevant thinking about impacts can be done in this single statement), _negative attitudes_ towards the burden of writing such statements or responsible research in general, a _false sense of security_ that the ethics are being handled, and a _perception_ "&amp;"of ethics as something to be done as an afterthought.
The main challenges that can cause these sorts of negative effects are:
1. Analyzing broader impacts can be difficult and complex,
2. There are not yet any best practices or guidance,
3. There isn’t a"&amp;" clear explanation of the purpose of the statements, or transparency into how they will be evaluated,
4. It’s tempting to focus on the research that determines whether or not your paper is published, rather than the broader impacts statement which mostly "&amp;"does not affect decisions,
5. Researchers may have incentives to emphasize the beneficial impacts of their work and downplay the negative impacts.
6. Biases like motivated reasoning may affect the quality and comprehensiveness of impact statements.
To mi"&amp;"tigate these challenges, the authors recommend improving _transparency_, setting _expectations_, providing _guidance_ on how to write statements, improving _incentives_ for creating good impact statements, and learning from experience through _community d"&amp;"eliberation_. To improve incentives in particular, broader impact statements could be made an explicit part of peer review which can affect acceptance decisions. These reviews could be improved by involving experts in ethics and governance. Prizes could a"&amp;"lso be given for outstanding impact statements, similarly to best paper awards.")</f>
        <v>This short perspective analyzes the policy implemented by NeurIPS last year in which paper submissions were required to have a section discussing the broader impacts of the research. Potential benefits include _anticipating_ potential impacts of research, _acting_ to improve these impacts, _reflecting_ on what research to do given the potential impacts, and improving _coordination_ across the community. However, the policy may also lead to _trivialization_ of ethics and governance (thinking that all the relevant thinking about impacts can be done in this single statement), _negative attitudes_ towards the burden of writing such statements or responsible research in general, a _false sense of security_ that the ethics are being handled, and a _perception_ of ethics as something to be done as an afterthought.
The main challenges that can cause these sorts of negative effects are:
1. Analyzing broader impacts can be difficult and complex,
2. There are not yet any best practices or guidance,
3. There isn’t a clear explanation of the purpose of the statements, or transparency into how they will be evaluated,
4. It’s tempting to focus on the research that determines whether or not your paper is published, rather than the broader impacts statement which mostly does not affect decisions,
5. Researchers may have incentives to emphasize the beneficial impacts of their work and downplay the negative impacts.
6. Biases like motivated reasoning may affect the quality and comprehensiveness of impact statements.
To mitigate these challenges, the authors recommend improving _transparency_, setting _expectations_, providing _guidance_ on how to write statements, improving _incentives_ for creating good impact statements, and learning from experience through _community deliberation_. To improve incentives in particular, broader impact statements could be made an explicit part of peer review which can affect acceptance decisions. These reviews could be improved by involving experts in ethics and governance. Prizes could also be given for outstanding impact statements, similarly to best paper awards.</v>
      </c>
      <c r="K268" t="str">
        <f>IFERROR(__xludf.DUMMYFUNCTION("""COMPUTED_VALUE"""),"I’ve been pretty skeptical of the requirement to write a broader impacts statement. My experience of it was primarily one of frustration, for a few reasons:
1. Forecasting the future is hard. I don’t expect a shallow effort to forecast to be all that corr"&amp;"elated with the truth. There were lots of simple things I could say that “sound” right but that I don’t particularly expect to be true, such as “improving cooperation in multiagent RL will help build cooperative, helpful personal assistants”. It’s a lot h"&amp;"arder to say things that are actually true; a real attempt to do this would typically be a paper in itself.
2. To the extent that the statement does affect reviews, I expect that reviewers want to hear the simple things that sound right; and if I _don’t_ "&amp;"write them, it would probably be a strike against the paper.
3. Even if I did write a good statement, I don’t expect anyone to read it or care about it.
From a birds-eye view, I was also worried that if such statements do become popular, they’ll tend to "&amp;"ossify and build consensus around fairly shallow views that people come up with after just a bit of thought.
I do think many of the proposals in this paper would help quite a bit, and there probably is a version of these statements that I would like and "&amp;"endorse.")</f>
        <v>I’ve been pretty skeptical of the requirement to write a broader impacts statement. My experience of it was primarily one of frustration, for a few reasons:
1. Forecasting the future is hard. I don’t expect a shallow effort to forecast to be all that correlated with the truth. There were lots of simple things I could say that “sound” right but that I don’t particularly expect to be true, such as “improving cooperation in multiagent RL will help build cooperative, helpful personal assistants”. It’s a lot harder to say things that are actually true; a real attempt to do this would typically be a paper in itself.
2. To the extent that the statement does affect reviews, I expect that reviewers want to hear the simple things that sound right; and if I _don’t_ write them, it would probably be a strike against the paper.
3. Even if I did write a good statement, I don’t expect anyone to read it or care about it.
From a birds-eye view, I was also worried that if such statements do become popular, they’ll tend to ossify and build consensus around fairly shallow views that people come up with after just a bit of thought.
I do think many of the proposals in this paper would help quite a bit, and there probably is a version of these statements that I would like and endorse.</v>
      </c>
    </row>
    <row r="269">
      <c r="A269" t="str">
        <f>IFERROR(__xludf.DUMMYFUNCTION("""COMPUTED_VALUE"""),"AI governance")</f>
        <v>AI governance</v>
      </c>
      <c r="B269" t="str">
        <f>IFERROR(__xludf.DUMMYFUNCTION("""COMPUTED_VALUE"""),"")</f>
        <v/>
      </c>
      <c r="C269" s="3" t="str">
        <f>IFERROR(__xludf.DUMMYFUNCTION("""COMPUTED_VALUE"""),"AI Alignment Podcast: On Lethal Autonomous Weapons")</f>
        <v>AI Alignment Podcast: On Lethal Autonomous Weapons</v>
      </c>
      <c r="D269" t="str">
        <f>IFERROR(__xludf.DUMMYFUNCTION("""COMPUTED_VALUE"""),"Lucas Perry and Paul Scharre")</f>
        <v>Lucas Perry and Paul Scharre</v>
      </c>
      <c r="E269" t="str">
        <f>IFERROR(__xludf.DUMMYFUNCTION("""COMPUTED_VALUE"""),"FLI Website")</f>
        <v>FLI Website</v>
      </c>
      <c r="F269">
        <f>IFERROR(__xludf.DUMMYFUNCTION("""COMPUTED_VALUE"""),2020.0)</f>
        <v>2020</v>
      </c>
      <c r="H269" s="3" t="str">
        <f>IFERROR(__xludf.DUMMYFUNCTION("""COMPUTED_VALUE"""),"AN #96")</f>
        <v>AN #96</v>
      </c>
      <c r="I269" t="str">
        <f>IFERROR(__xludf.DUMMYFUNCTION("""COMPUTED_VALUE"""),"Flo")</f>
        <v>Flo</v>
      </c>
      <c r="J269" t="str">
        <f>IFERROR(__xludf.DUMMYFUNCTION("""COMPUTED_VALUE"""),"Paul Scharre, author of ""Army of None: Autonomous Weapons and the Future of War"", talks about various issues around Lethal Autonomous Weapons (LAWs), including the difficulty to talk about an arms race around autonomous weapons when different people mea"&amp;"n different things by ""arms race"" and autonomy comes in varying degrees, the military's need for reliability in the context of AI systems' lack of robustness to distributional shift and adversarial attacks, whether the law of war correctly deals with LA"&amp;"Ws, as well as the merits and problems of having a human in the loop.
While autonomous weapons are unlikely to directly contribute to existential risk, efforts to establish limits on them could be valuable by creating networks and preparing institutions "&amp;"for collaboration and cooperation around future AI issues.")</f>
        <v>Paul Scharre, author of "Army of None: Autonomous Weapons and the Future of War", talks about various issues around Lethal Autonomous Weapons (LAWs), including the difficulty to talk about an arms race around autonomous weapons when different people mean different things by "arms race" and autonomy comes in varying degrees, the military's need for reliability in the context of AI systems' lack of robustness to distributional shift and adversarial attacks, whether the law of war correctly deals with LAWs, as well as the merits and problems of having a human in the loop.
While autonomous weapons are unlikely to directly contribute to existential risk, efforts to establish limits on them could be valuable by creating networks and preparing institutions for collaboration and cooperation around future AI issues.</v>
      </c>
    </row>
    <row r="270">
      <c r="A270" t="str">
        <f>IFERROR(__xludf.DUMMYFUNCTION("""COMPUTED_VALUE"""),"AI governance")</f>
        <v>AI governance</v>
      </c>
      <c r="B270" t="str">
        <f>IFERROR(__xludf.DUMMYFUNCTION("""COMPUTED_VALUE"""),"")</f>
        <v/>
      </c>
      <c r="C270" s="3" t="str">
        <f>IFERROR(__xludf.DUMMYFUNCTION("""COMPUTED_VALUE"""),"Exploring AI Futures Through Role Play")</f>
        <v>Exploring AI Futures Through Role Play</v>
      </c>
      <c r="D270" t="str">
        <f>IFERROR(__xludf.DUMMYFUNCTION("""COMPUTED_VALUE"""),"Shahar Avin, Ross Gruetzemacher, James Fox")</f>
        <v>Shahar Avin, Ross Gruetzemacher, James Fox</v>
      </c>
      <c r="E270" t="str">
        <f>IFERROR(__xludf.DUMMYFUNCTION("""COMPUTED_VALUE"""),"CSER Website")</f>
        <v>CSER Website</v>
      </c>
      <c r="F270">
        <f>IFERROR(__xludf.DUMMYFUNCTION("""COMPUTED_VALUE"""),2019.0)</f>
        <v>2019</v>
      </c>
      <c r="H270" s="3" t="str">
        <f>IFERROR(__xludf.DUMMYFUNCTION("""COMPUTED_VALUE"""),"AN #90")</f>
        <v>AN #90</v>
      </c>
      <c r="I270" t="str">
        <f>IFERROR(__xludf.DUMMYFUNCTION("""COMPUTED_VALUE"""),"Rohin")</f>
        <v>Rohin</v>
      </c>
      <c r="J270" t="str">
        <f>IFERROR(__xludf.DUMMYFUNCTION("""COMPUTED_VALUE"""),"This paper argues that role playing (akin to the ""wargames"" used in the military) is a good way to explore possible AI futures, especially to discover unusual edge cases, in a 10-30 year time horizon. Each player is assigned a role (e.g. director of AI "&amp;"at Tencent, or president of the US) and asked to play out their role faithfully. Each game turn covers 2 simulated years, in which players can negotiate and take public and private actions. The game facilitator determines what happens in the simulated wor"&amp;"ld based on these actions. While early games were unstructured, recent games have had an AI ""tech tree"", that determines what AI applications can be developed.
From the games played so far, the authors have found a few patterns:
- Cooperation between a"&amp;"ctors on AI safety and (some) restriction on destabilizing uses of AI seem to both be robustly beneficial.
- Even when earlier advances are risky, or when current advances are of unclear value, players tend to pursue AI R&amp;D quite strongly.
- Many possible"&amp;" kinds of coalitions are possible, e.g. between governments, between corporations, between governments and corporations, and between sub-roles within a corporation.")</f>
        <v>This paper argues that role playing (akin to the "wargames" used in the military) is a good way to explore possible AI futures, especially to discover unusual edge cases, in a 10-30 year time horizon. Each player is assigned a role (e.g. director of AI at Tencent, or president of the US) and asked to play out their role faithfully. Each game turn covers 2 simulated years, in which players can negotiate and take public and private actions. The game facilitator determines what happens in the simulated world based on these actions. While early games were unstructured, recent games have had an AI "tech tree", that determines what AI applications can be developed.
From the games played so far, the authors have found a few patterns:
- Cooperation between actors on AI safety and (some) restriction on destabilizing uses of AI seem to both be robustly beneficial.
- Even when earlier advances are risky, or when current advances are of unclear value, players tend to pursue AI R&amp;D quite strongly.
- Many possible kinds of coalitions are possible, e.g. between governments, between corporations, between governments and corporations, and between sub-roles within a corporation.</v>
      </c>
      <c r="K270" t="str">
        <f>IFERROR(__xludf.DUMMYFUNCTION("""COMPUTED_VALUE"""),"It makes sense that role playing can help find extreme, edge case scenarios. I'm not sure how likely I should find such scenarios -- are they plausible but unlikely (because forecasting is hard but not impossible), or are they implausible (because it woul"&amp;"d be very hard to model an _entire government_, and no one person is going to do it justice)? Note that according to the paper, the prior literature on role playing is quite positive (though of course it's talking about role playing in other contexts, e.g"&amp;". business and military contexts). Still, this seems like quite an important question that strongly impacts how seriously I take the results of these role playing scenarios.")</f>
        <v>It makes sense that role playing can help find extreme, edge case scenarios. I'm not sure how likely I should find such scenarios -- are they plausible but unlikely (because forecasting is hard but not impossible), or are they implausible (because it would be very hard to model an _entire government_, and no one person is going to do it justice)? Note that according to the paper, the prior literature on role playing is quite positive (though of course it's talking about role playing in other contexts, e.g. business and military contexts). Still, this seems like quite an important question that strongly impacts how seriously I take the results of these role playing scenarios.</v>
      </c>
    </row>
    <row r="271">
      <c r="A271" t="str">
        <f>IFERROR(__xludf.DUMMYFUNCTION("""COMPUTED_VALUE"""),"AI governance")</f>
        <v>AI governance</v>
      </c>
      <c r="B271" t="str">
        <f>IFERROR(__xludf.DUMMYFUNCTION("""COMPUTED_VALUE"""),"")</f>
        <v/>
      </c>
      <c r="C271" s="3" t="str">
        <f>IFERROR(__xludf.DUMMYFUNCTION("""COMPUTED_VALUE"""),"AI Algorithms Need FDA-Style Drug Trials")</f>
        <v>AI Algorithms Need FDA-Style Drug Trials</v>
      </c>
      <c r="D271" t="str">
        <f>IFERROR(__xludf.DUMMYFUNCTION("""COMPUTED_VALUE"""),"Olaf J. Groth, Mark J. Nitzberg, Stuart J. Russell")</f>
        <v>Olaf J. Groth, Mark J. Nitzberg, Stuart J. Russell</v>
      </c>
      <c r="E271" t="str">
        <f>IFERROR(__xludf.DUMMYFUNCTION("""COMPUTED_VALUE"""),"Wired")</f>
        <v>Wired</v>
      </c>
      <c r="F271">
        <f>IFERROR(__xludf.DUMMYFUNCTION("""COMPUTED_VALUE"""),2019.0)</f>
        <v>2019</v>
      </c>
      <c r="H271" s="3" t="str">
        <f>IFERROR(__xludf.DUMMYFUNCTION("""COMPUTED_VALUE"""),"AN #62")</f>
        <v>AN #62</v>
      </c>
    </row>
    <row r="272">
      <c r="A272" t="str">
        <f>IFERROR(__xludf.DUMMYFUNCTION("""COMPUTED_VALUE"""),"AI governance")</f>
        <v>AI governance</v>
      </c>
      <c r="B272" t="str">
        <f>IFERROR(__xludf.DUMMYFUNCTION("""COMPUTED_VALUE"""),"")</f>
        <v/>
      </c>
      <c r="C272" s="3" t="str">
        <f>IFERROR(__xludf.DUMMYFUNCTION("""COMPUTED_VALUE"""),"An Interview with Ben Garfinkel")</f>
        <v>An Interview with Ben Garfinkel</v>
      </c>
      <c r="D272" t="str">
        <f>IFERROR(__xludf.DUMMYFUNCTION("""COMPUTED_VALUE"""),"Joshua Monrad, Mojmír Stehlík and Ben Garfinkel")</f>
        <v>Joshua Monrad, Mojmír Stehlík and Ben Garfinkel</v>
      </c>
      <c r="E272" t="str">
        <f>IFERROR(__xludf.DUMMYFUNCTION("""COMPUTED_VALUE"""),"The Politic")</f>
        <v>The Politic</v>
      </c>
      <c r="F272">
        <f>IFERROR(__xludf.DUMMYFUNCTION("""COMPUTED_VALUE"""),2019.0)</f>
        <v>2019</v>
      </c>
      <c r="H272" s="3" t="str">
        <f>IFERROR(__xludf.DUMMYFUNCTION("""COMPUTED_VALUE"""),"AN #61")</f>
        <v>AN #61</v>
      </c>
      <c r="I272" t="str">
        <f>IFERROR(__xludf.DUMMYFUNCTION("""COMPUTED_VALUE"""),"Rohin")</f>
        <v>Rohin</v>
      </c>
      <c r="J272" t="str">
        <f>IFERROR(__xludf.DUMMYFUNCTION("""COMPUTED_VALUE"""),"AI seems poised to be a very big deal, possibly through the development of AGI, and it's very hard to forecast what would happen next. However, looking at history, we can see a few very large trajectory shifts, such as the Agricultural Revolution and Indu"&amp;"strial Revolution, where everything changed radically. We shouldn't assume that such change must be for the better. Even though it's hard to predict what will happen, we can still do work that seems robustly good regardless of the specific long-term risk."&amp;" For example, Ben is optimistic about research into avoiding adversarial dynamics between different groups invested in AI, research into how groups can make credible commitments, and better forecasting. However, credible commitments are probably less trac"&amp;"table for AI than with nukes or biological weapons because AI systems don't leave a large physical footprint, can easily proliferate, and are not a clear category that can be easily defined.")</f>
        <v>AI seems poised to be a very big deal, possibly through the development of AGI, and it's very hard to forecast what would happen next. However, looking at history, we can see a few very large trajectory shifts, such as the Agricultural Revolution and Industrial Revolution, where everything changed radically. We shouldn't assume that such change must be for the better. Even though it's hard to predict what will happen, we can still do work that seems robustly good regardless of the specific long-term risk. For example, Ben is optimistic about research into avoiding adversarial dynamics between different groups invested in AI, research into how groups can make credible commitments, and better forecasting. However, credible commitments are probably less tractable for AI than with nukes or biological weapons because AI systems don't leave a large physical footprint, can easily proliferate, and are not a clear category that can be easily defined.</v>
      </c>
    </row>
    <row r="273">
      <c r="A273" t="str">
        <f>IFERROR(__xludf.DUMMYFUNCTION("""COMPUTED_VALUE"""),"AI governance")</f>
        <v>AI governance</v>
      </c>
      <c r="B273" t="str">
        <f>IFERROR(__xludf.DUMMYFUNCTION("""COMPUTED_VALUE"""),"")</f>
        <v/>
      </c>
      <c r="C273" s="3" t="str">
        <f>IFERROR(__xludf.DUMMYFUNCTION("""COMPUTED_VALUE"""),"The Hacker Learns to Trust")</f>
        <v>The Hacker Learns to Trust</v>
      </c>
      <c r="D273" t="str">
        <f>IFERROR(__xludf.DUMMYFUNCTION("""COMPUTED_VALUE"""),"Connor Leahy")</f>
        <v>Connor Leahy</v>
      </c>
      <c r="E273" t="str">
        <f>IFERROR(__xludf.DUMMYFUNCTION("""COMPUTED_VALUE"""),"Medium")</f>
        <v>Medium</v>
      </c>
      <c r="F273">
        <f>IFERROR(__xludf.DUMMYFUNCTION("""COMPUTED_VALUE"""),2019.0)</f>
        <v>2019</v>
      </c>
      <c r="H273" s="3" t="str">
        <f>IFERROR(__xludf.DUMMYFUNCTION("""COMPUTED_VALUE"""),"AN #58")</f>
        <v>AN #58</v>
      </c>
      <c r="I273" t="str">
        <f>IFERROR(__xludf.DUMMYFUNCTION("""COMPUTED_VALUE"""),"Rohin")</f>
        <v>Rohin</v>
      </c>
      <c r="J273" t="str">
        <f>IFERROR(__xludf.DUMMYFUNCTION("""COMPUTED_VALUE"""),"An independent researcher attempted to replicate &lt;@GPT-2@&gt;(@Better Language Models and Their Implications@) and was planning to release the model. However, he has now decided not to release, because releasing would set a bad precedent. Regardless of wheth"&amp;"er or not GPT-2 is dangerous, at some point in the future, we will develop AI systems that really are dangerous, and we need to have adequate norms then that allow researchers to take their time and evaluate the potential issues and then make an informed "&amp;"decision about what to do. **Key quote:** ""sending a message that it is ok, even celebrated, for a lone individual to unilaterally go against reasonable safety concerns of other researchers is not a good message to send"".")</f>
        <v>An independent researcher attempted to replicate &lt;@GPT-2@&gt;(@Better Language Models and Their Implications@) and was planning to release the model. However, he has now decided not to release, because releasing would set a bad precedent. Regardless of whether or not GPT-2 is dangerous, at some point in the future, we will develop AI systems that really are dangerous, and we need to have adequate norms then that allow researchers to take their time and evaluate the potential issues and then make an informed decision about what to do. **Key quote:** "sending a message that it is ok, even celebrated, for a lone individual to unilaterally go against reasonable safety concerns of other researchers is not a good message to send".</v>
      </c>
      <c r="K273" t="str">
        <f>IFERROR(__xludf.DUMMYFUNCTION("""COMPUTED_VALUE"""),"I quite strongly agree that the most important impact of the GPT-2 decision was that it has started a discussion about what appropriate safety norms should be, whereas before there were no such norms at all. I don't know whether or not GPT-2 is dangerous,"&amp;" but I am glad that AI researchers have started thinking about whether and how publication norms should change.")</f>
        <v>I quite strongly agree that the most important impact of the GPT-2 decision was that it has started a discussion about what appropriate safety norms should be, whereas before there were no such norms at all. I don't know whether or not GPT-2 is dangerous, but I am glad that AI researchers have started thinking about whether and how publication norms should change.</v>
      </c>
    </row>
    <row r="274">
      <c r="A274" t="str">
        <f>IFERROR(__xludf.DUMMYFUNCTION("""COMPUTED_VALUE"""),"AI governance")</f>
        <v>AI governance</v>
      </c>
      <c r="B274" t="str">
        <f>IFERROR(__xludf.DUMMYFUNCTION("""COMPUTED_VALUE"""),"")</f>
        <v/>
      </c>
      <c r="C274" s="3" t="str">
        <f>IFERROR(__xludf.DUMMYFUNCTION("""COMPUTED_VALUE"""),"When Is It Appropriate to Publish High-Stakes AI Research?")</f>
        <v>When Is It Appropriate to Publish High-Stakes AI Research?</v>
      </c>
      <c r="D274" t="str">
        <f>IFERROR(__xludf.DUMMYFUNCTION("""COMPUTED_VALUE"""),"Claire Leibowicz, Steven Adler, and Peter Eckersley")</f>
        <v>Claire Leibowicz, Steven Adler, and Peter Eckersley</v>
      </c>
      <c r="E274" t="str">
        <f>IFERROR(__xludf.DUMMYFUNCTION("""COMPUTED_VALUE"""),"PAI Website")</f>
        <v>PAI Website</v>
      </c>
      <c r="F274">
        <f>IFERROR(__xludf.DUMMYFUNCTION("""COMPUTED_VALUE"""),2019.0)</f>
        <v>2019</v>
      </c>
      <c r="H274" s="3" t="str">
        <f>IFERROR(__xludf.DUMMYFUNCTION("""COMPUTED_VALUE"""),"AN #55")</f>
        <v>AN #55</v>
      </c>
      <c r="I274" t="str">
        <f>IFERROR(__xludf.DUMMYFUNCTION("""COMPUTED_VALUE"""),"Rohin")</f>
        <v>Rohin</v>
      </c>
      <c r="J274" t="str">
        <f>IFERROR(__xludf.DUMMYFUNCTION("""COMPUTED_VALUE"""),"Following the &lt;@GPT-2 controversy@&gt;(@Better Language Models and Their Implications@), the Partnership on AI held a dinner with OpenAI and other members of the AI community to discuss the tension between the norm of openness and the desire to mitigate pote"&amp;"ntial unintended consequences and misuse risks of AI research. The post discusses some of the relevant considerations, and highlights a key conclusion: while there is not yet a consensus on on review norms for AI research, there *is* a consensus that **wh"&amp;"atever the review norms are, they should be standardized across the AI community**.")</f>
        <v>Following the &lt;@GPT-2 controversy@&gt;(@Better Language Models and Their Implications@), the Partnership on AI held a dinner with OpenAI and other members of the AI community to discuss the tension between the norm of openness and the desire to mitigate potential unintended consequences and misuse risks of AI research. The post discusses some of the relevant considerations, and highlights a key conclusion: while there is not yet a consensus on on review norms for AI research, there *is* a consensus that **whatever the review norms are, they should be standardized across the AI community**.</v>
      </c>
      <c r="K274" t="str">
        <f>IFERROR(__xludf.DUMMYFUNCTION("""COMPUTED_VALUE"""),"I definitely agree that having everyone follow the same review norms is important: it doesn't do much good to hold back from publishing something problematic if a different group will publish all of the details a few weeks later. However, getting everyone"&amp;" to agree on a change to the existing norms seems incredibly hard to do, though it might be feasible if it was limited to only the largest actors who can engage deeply in the debate of what these norms should be.")</f>
        <v>I definitely agree that having everyone follow the same review norms is important: it doesn't do much good to hold back from publishing something problematic if a different group will publish all of the details a few weeks later. However, getting everyone to agree on a change to the existing norms seems incredibly hard to do, though it might be feasible if it was limited to only the largest actors who can engage deeply in the debate of what these norms should be.</v>
      </c>
    </row>
    <row r="275">
      <c r="A275" t="str">
        <f>IFERROR(__xludf.DUMMYFUNCTION("""COMPUTED_VALUE"""),"AI governance")</f>
        <v>AI governance</v>
      </c>
      <c r="B275" t="str">
        <f>IFERROR(__xludf.DUMMYFUNCTION("""COMPUTED_VALUE"""),"")</f>
        <v/>
      </c>
      <c r="C275" s="3" t="str">
        <f>IFERROR(__xludf.DUMMYFUNCTION("""COMPUTED_VALUE"""),"Global AI Talent Report 2019")</f>
        <v>Global AI Talent Report 2019</v>
      </c>
      <c r="D275" t="str">
        <f>IFERROR(__xludf.DUMMYFUNCTION("""COMPUTED_VALUE"""),"Jean-Francois Gagné")</f>
        <v>Jean-Francois Gagné</v>
      </c>
      <c r="E275" t="str">
        <f>IFERROR(__xludf.DUMMYFUNCTION("""COMPUTED_VALUE"""),"Author's Website")</f>
        <v>Author's Website</v>
      </c>
      <c r="F275">
        <f>IFERROR(__xludf.DUMMYFUNCTION("""COMPUTED_VALUE"""),2019.0)</f>
        <v>2019</v>
      </c>
      <c r="H275" s="3" t="str">
        <f>IFERROR(__xludf.DUMMYFUNCTION("""COMPUTED_VALUE"""),"AN #54")</f>
        <v>AN #54</v>
      </c>
      <c r="I275" t="str">
        <f>IFERROR(__xludf.DUMMYFUNCTION("""COMPUTED_VALUE"""),"Rohin")</f>
        <v>Rohin</v>
      </c>
      <c r="J275" t="str">
        <f>IFERROR(__xludf.DUMMYFUNCTION("""COMPUTED_VALUE"""),"This report has a lot of statistics on the growth of the field of AI over the last year.")</f>
        <v>This report has a lot of statistics on the growth of the field of AI over the last year.</v>
      </c>
    </row>
    <row r="276">
      <c r="A276" t="str">
        <f>IFERROR(__xludf.DUMMYFUNCTION("""COMPUTED_VALUE"""),"AI governance")</f>
        <v>AI governance</v>
      </c>
      <c r="B276" t="str">
        <f>IFERROR(__xludf.DUMMYFUNCTION("""COMPUTED_VALUE"""),"")</f>
        <v/>
      </c>
      <c r="C276" s="3" t="str">
        <f>IFERROR(__xludf.DUMMYFUNCTION("""COMPUTED_VALUE"""),"Advice to UN High-level Panel on Digital Cooperation")</f>
        <v>Advice to UN High-level Panel on Digital Cooperation</v>
      </c>
      <c r="D276" t="str">
        <f>IFERROR(__xludf.DUMMYFUNCTION("""COMPUTED_VALUE"""),"Luke Kemp, Peter Cihon,Matthijs Michiel Maas, Haydn Belfield,Dr Seán Ó hÉigeartaigh, Jade Leung, and Zoe Cremer")</f>
        <v>Luke Kemp, Peter Cihon,Matthijs Michiel Maas, Haydn Belfield,Dr Seán Ó hÉigeartaigh, Jade Leung, and Zoe Cremer</v>
      </c>
      <c r="E276" t="str">
        <f>IFERROR(__xludf.DUMMYFUNCTION("""COMPUTED_VALUE"""),"CSER Website")</f>
        <v>CSER Website</v>
      </c>
      <c r="F276">
        <f>IFERROR(__xludf.DUMMYFUNCTION("""COMPUTED_VALUE"""),2019.0)</f>
        <v>2019</v>
      </c>
      <c r="H276" s="3" t="str">
        <f>IFERROR(__xludf.DUMMYFUNCTION("""COMPUTED_VALUE"""),"AN #48")</f>
        <v>AN #48</v>
      </c>
    </row>
    <row r="277">
      <c r="A277" t="str">
        <f>IFERROR(__xludf.DUMMYFUNCTION("""COMPUTED_VALUE"""),"AI governance")</f>
        <v>AI governance</v>
      </c>
      <c r="B277" t="str">
        <f>IFERROR(__xludf.DUMMYFUNCTION("""COMPUTED_VALUE"""),"")</f>
        <v/>
      </c>
      <c r="C277" s="3" t="str">
        <f>IFERROR(__xludf.DUMMYFUNCTION("""COMPUTED_VALUE"""),"Surveying Safety-relevant AI Characteristics")</f>
        <v>Surveying Safety-relevant AI Characteristics</v>
      </c>
      <c r="D277" t="str">
        <f>IFERROR(__xludf.DUMMYFUNCTION("""COMPUTED_VALUE"""),"Jose Hernandez-Orallo, Fernando Martınez-Plumed, Shahar Avin, Seán Ó hÉigeartaigh")</f>
        <v>Jose Hernandez-Orallo, Fernando Martınez-Plumed, Shahar Avin, Seán Ó hÉigeartaigh</v>
      </c>
      <c r="E277" t="str">
        <f>IFERROR(__xludf.DUMMYFUNCTION("""COMPUTED_VALUE"""),"CSER Website")</f>
        <v>CSER Website</v>
      </c>
      <c r="F277">
        <f>IFERROR(__xludf.DUMMYFUNCTION("""COMPUTED_VALUE"""),2019.0)</f>
        <v>2019</v>
      </c>
      <c r="H277" s="3" t="str">
        <f>IFERROR(__xludf.DUMMYFUNCTION("""COMPUTED_VALUE"""),"AN #44")</f>
        <v>AN #44</v>
      </c>
    </row>
    <row r="278">
      <c r="A278" t="str">
        <f>IFERROR(__xludf.DUMMYFUNCTION("""COMPUTED_VALUE"""),"AI governance")</f>
        <v>AI governance</v>
      </c>
      <c r="B278" t="str">
        <f>IFERROR(__xludf.DUMMYFUNCTION("""COMPUTED_VALUE"""),"")</f>
        <v/>
      </c>
      <c r="C278" s="3" t="str">
        <f>IFERROR(__xludf.DUMMYFUNCTION("""COMPUTED_VALUE"""),"Building an AI World")</f>
        <v>Building an AI World</v>
      </c>
      <c r="D278" t="str">
        <f>IFERROR(__xludf.DUMMYFUNCTION("""COMPUTED_VALUE"""),"Tim Dutton, Brent Barron, Gaga Boskovic")</f>
        <v>Tim Dutton, Brent Barron, Gaga Boskovic</v>
      </c>
      <c r="E278" t="str">
        <f>IFERROR(__xludf.DUMMYFUNCTION("""COMPUTED_VALUE"""),"CIFAR")</f>
        <v>CIFAR</v>
      </c>
      <c r="F278">
        <f>IFERROR(__xludf.DUMMYFUNCTION("""COMPUTED_VALUE"""),2018.0)</f>
        <v>2018</v>
      </c>
      <c r="H278" s="3" t="str">
        <f>IFERROR(__xludf.DUMMYFUNCTION("""COMPUTED_VALUE"""),"AN #41")</f>
        <v>AN #41</v>
      </c>
      <c r="I278" t="str">
        <f>IFERROR(__xludf.DUMMYFUNCTION("""COMPUTED_VALUE"""),"Richard")</f>
        <v>Richard</v>
      </c>
      <c r="J278" t="str">
        <f>IFERROR(__xludf.DUMMYFUNCTION("""COMPUTED_VALUE"""),"This report summarises the AI strategies released by 18 different countries and regions. In particular, it rates how much emphasis they put on each of 8 areas. Broadly speaking, countries were most focused on Industrial strategy, Research, and AI talent ("&amp;"in that order), moderately focused on Ethics and Data, and least focused on Future of work, AI in governments, and Inclusion.")</f>
        <v>This report summarises the AI strategies released by 18 different countries and regions. In particular, it rates how much emphasis they put on each of 8 areas. Broadly speaking, countries were most focused on Industrial strategy, Research, and AI talent (in that order), moderately focused on Ethics and Data, and least focused on Future of work, AI in governments, and Inclusion.</v>
      </c>
      <c r="K278" t="str">
        <f>IFERROR(__xludf.DUMMYFUNCTION("""COMPUTED_VALUE"""),"Since this report discusses neither its methodology nor the implications of its findings, it's difficult to know what conclusions to draw from it. The overall priorities seem to be roughly what I would have expected, except that I'm positively surprised b"&amp;"y how much emphasis was placed on ethics.")</f>
        <v>Since this report discusses neither its methodology nor the implications of its findings, it's difficult to know what conclusions to draw from it. The overall priorities seem to be roughly what I would have expected, except that I'm positively surprised by how much emphasis was placed on ethics.</v>
      </c>
    </row>
    <row r="279">
      <c r="A279" t="str">
        <f>IFERROR(__xludf.DUMMYFUNCTION("""COMPUTED_VALUE"""),"AI governance")</f>
        <v>AI governance</v>
      </c>
      <c r="B279" t="str">
        <f>IFERROR(__xludf.DUMMYFUNCTION("""COMPUTED_VALUE"""),"")</f>
        <v/>
      </c>
      <c r="C279" s="3" t="str">
        <f>IFERROR(__xludf.DUMMYFUNCTION("""COMPUTED_VALUE"""),"Scaling shared model governance via model splitting")</f>
        <v>Scaling shared model governance via model splitting</v>
      </c>
      <c r="D279" t="str">
        <f>IFERROR(__xludf.DUMMYFUNCTION("""COMPUTED_VALUE"""),"Miljan Martic, Jan Leike, Andrew Trask, Matteo Hessel, Shane Legg, Pushmeet Kohli")</f>
        <v>Miljan Martic, Jan Leike, Andrew Trask, Matteo Hessel, Shane Legg, Pushmeet Kohli</v>
      </c>
      <c r="E279" t="str">
        <f>IFERROR(__xludf.DUMMYFUNCTION("""COMPUTED_VALUE"""),"2018 IEEE Global Communications Conference (GLOBECOM)")</f>
        <v>2018 IEEE Global Communications Conference (GLOBECOM)</v>
      </c>
      <c r="F279">
        <f>IFERROR(__xludf.DUMMYFUNCTION("""COMPUTED_VALUE"""),2018.0)</f>
        <v>2018</v>
      </c>
      <c r="H279" s="3" t="str">
        <f>IFERROR(__xludf.DUMMYFUNCTION("""COMPUTED_VALUE"""),"AN #38")</f>
        <v>AN #38</v>
      </c>
      <c r="I279" t="str">
        <f>IFERROR(__xludf.DUMMYFUNCTION("""COMPUTED_VALUE"""),"Rohin")</f>
        <v>Rohin</v>
      </c>
      <c r="J279" t="str">
        <f>IFERROR(__xludf.DUMMYFUNCTION("""COMPUTED_VALUE"""),"Suppose that two organizations want to develop a deep learning model together without allowing either one to unilaterally use the model. This can be done cryptographically using homomorphic encryption or secure multiparty computation, but this introduces "&amp;"several orders of magnitude of slowdown. What about the much simpler solution of letting each organization have half of the parameters, that are not shared with the other organization? For this to be secure, it should be prohibitively difficult to find th"&amp;"e other organization's parameters. In the least convenient world where each organization has access to all training data, hyperparameters etc., this is the security of the _model completion problem_, where given all of the normal setup for deep learning a"&amp;"s well as half of the trained parameters for a model M, the goal is to create a new model that performs as well as M. Of course, we can simply rerun the training procedure that was used to create M, so the cost is bounded above by the cost to create M in "&amp;"the first place. We might be able to do better by leveraging the trained parameters that we know -- for example, by using those parameters as an initialization for the model instead of whatever initialization we normally use. The paper empirically investi"&amp;"gates how well strategies like this can work. They find that it is relatively easy to create a model that achieves good performance (getting 80% of the way to the best performance), but quite difficult to achieve performance as good as that of M, typicall"&amp;"y requiring 40-100% of the time it took to create M.")</f>
        <v>Suppose that two organizations want to develop a deep learning model together without allowing either one to unilaterally use the model. This can be done cryptographically using homomorphic encryption or secure multiparty computation, but this introduces several orders of magnitude of slowdown. What about the much simpler solution of letting each organization have half of the parameters, that are not shared with the other organization? For this to be secure, it should be prohibitively difficult to find the other organization's parameters. In the least convenient world where each organization has access to all training data, hyperparameters etc., this is the security of the _model completion problem_, where given all of the normal setup for deep learning as well as half of the trained parameters for a model M, the goal is to create a new model that performs as well as M. Of course, we can simply rerun the training procedure that was used to create M, so the cost is bounded above by the cost to create M in the first place. We might be able to do better by leveraging the trained parameters that we know -- for example, by using those parameters as an initialization for the model instead of whatever initialization we normally use. The paper empirically investigates how well strategies like this can work. They find that it is relatively easy to create a model that achieves good performance (getting 80% of the way to the best performance), but quite difficult to achieve performance as good as that of M, typically requiring 40-100% of the time it took to create M.</v>
      </c>
      <c r="K279" t="str">
        <f>IFERROR(__xludf.DUMMYFUNCTION("""COMPUTED_VALUE"""),"In the particular setting that they're considering, let's say that we require C compute to train M. Then one of the organizations had to contribute at least 0.5C, and that organization could defect by investing 1.5C. The first 0.5C is used to take part in"&amp;" the model splitting scheme so as not to arouse suspicion, and the remaining 1C is used to train a new version of M from scratch. So, security in this setting requires us to assume that the organization is unwilling to invest 3x the compute they are going"&amp;" to invest. This assumption seems questionable, but when it does hold, the evidence from the paper suggests that model splitting is relatively secure, since it typically takes an additional 0.4-1C in order to fully solve the model completion problem.
Whe"&amp;"n there are N &gt;&gt; 2 parties, each party only has to contribute C/N. So, the assumption that no party will use C compute to recreate the model now translates to an assumption that no party will invest (N+1)C compute, which seems more reasonable for sufficie"&amp;"ntly large N.
I suspect we can get more mileage if each party had its own training data that it kept secret. It's not clear how to train an AI system such that the training data remains secret, but if we could do that, and the model was split across each"&amp;" group, it would probably be impossible for any one group to recover a new model M' that achieved performance as good as that of M.")</f>
        <v>In the particular setting that they're considering, let's say that we require C compute to train M. Then one of the organizations had to contribute at least 0.5C, and that organization could defect by investing 1.5C. The first 0.5C is used to take part in the model splitting scheme so as not to arouse suspicion, and the remaining 1C is used to train a new version of M from scratch. So, security in this setting requires us to assume that the organization is unwilling to invest 3x the compute they are going to invest. This assumption seems questionable, but when it does hold, the evidence from the paper suggests that model splitting is relatively secure, since it typically takes an additional 0.4-1C in order to fully solve the model completion problem.
When there are N &gt;&gt; 2 parties, each party only has to contribute C/N. So, the assumption that no party will use C compute to recreate the model now translates to an assumption that no party will invest (N+1)C compute, which seems more reasonable for sufficiently large N.
I suspect we can get more mileage if each party had its own training data that it kept secret. It's not clear how to train an AI system such that the training data remains secret, but if we could do that, and the model was split across each group, it would probably be impossible for any one group to recover a new model M' that achieved performance as good as that of M.</v>
      </c>
    </row>
    <row r="280">
      <c r="A280" t="str">
        <f>IFERROR(__xludf.DUMMYFUNCTION("""COMPUTED_VALUE"""),"AI governance")</f>
        <v>AI governance</v>
      </c>
      <c r="B280" t="str">
        <f>IFERROR(__xludf.DUMMYFUNCTION("""COMPUTED_VALUE"""),"")</f>
        <v/>
      </c>
      <c r="C280" s="3" t="str">
        <f>IFERROR(__xludf.DUMMYFUNCTION("""COMPUTED_VALUE"""),"FLI Signs Safe Face Pledge")</f>
        <v>FLI Signs Safe Face Pledge</v>
      </c>
      <c r="D280" t="str">
        <f>IFERROR(__xludf.DUMMYFUNCTION("""COMPUTED_VALUE"""),"Ariel Conn")</f>
        <v>Ariel Conn</v>
      </c>
      <c r="E280" t="str">
        <f>IFERROR(__xludf.DUMMYFUNCTION("""COMPUTED_VALUE"""),"FLI Website")</f>
        <v>FLI Website</v>
      </c>
      <c r="F280">
        <f>IFERROR(__xludf.DUMMYFUNCTION("""COMPUTED_VALUE"""),2018.0)</f>
        <v>2018</v>
      </c>
      <c r="H280" s="3" t="str">
        <f>IFERROR(__xludf.DUMMYFUNCTION("""COMPUTED_VALUE"""),"AN #37")</f>
        <v>AN #37</v>
      </c>
    </row>
    <row r="281">
      <c r="A281" t="str">
        <f>IFERROR(__xludf.DUMMYFUNCTION("""COMPUTED_VALUE"""),"AI governance")</f>
        <v>AI governance</v>
      </c>
      <c r="B281" t="str">
        <f>IFERROR(__xludf.DUMMYFUNCTION("""COMPUTED_VALUE"""),"")</f>
        <v/>
      </c>
      <c r="C281" s="3" t="str">
        <f>IFERROR(__xludf.DUMMYFUNCTION("""COMPUTED_VALUE"""),"Handful of Countries – Including the US and Russia – Hamper Discussions to Ban Killer Robots at UN")</f>
        <v>Handful of Countries – Including the US and Russia – Hamper Discussions to Ban Killer Robots at UN</v>
      </c>
      <c r="E281" t="str">
        <f>IFERROR(__xludf.DUMMYFUNCTION("""COMPUTED_VALUE"""),"FLI Website")</f>
        <v>FLI Website</v>
      </c>
      <c r="F281">
        <f>IFERROR(__xludf.DUMMYFUNCTION("""COMPUTED_VALUE"""),2018.0)</f>
        <v>2018</v>
      </c>
      <c r="H281" s="3" t="str">
        <f>IFERROR(__xludf.DUMMYFUNCTION("""COMPUTED_VALUE"""),"AN #35")</f>
        <v>AN #35</v>
      </c>
    </row>
    <row r="282">
      <c r="A282" t="str">
        <f>IFERROR(__xludf.DUMMYFUNCTION("""COMPUTED_VALUE"""),"AI governance")</f>
        <v>AI governance</v>
      </c>
      <c r="B282" t="str">
        <f>IFERROR(__xludf.DUMMYFUNCTION("""COMPUTED_VALUE"""),"")</f>
        <v/>
      </c>
      <c r="C282" s="3" t="str">
        <f>IFERROR(__xludf.DUMMYFUNCTION("""COMPUTED_VALUE"""),"Computational Power and the Social Impact of Artificial Intelligence")</f>
        <v>Computational Power and the Social Impact of Artificial Intelligence</v>
      </c>
      <c r="D282" t="str">
        <f>IFERROR(__xludf.DUMMYFUNCTION("""COMPUTED_VALUE"""),"Tim Hwang")</f>
        <v>Tim Hwang</v>
      </c>
      <c r="E282" t="str">
        <f>IFERROR(__xludf.DUMMYFUNCTION("""COMPUTED_VALUE"""),"arXiv")</f>
        <v>arXiv</v>
      </c>
      <c r="F282">
        <f>IFERROR(__xludf.DUMMYFUNCTION("""COMPUTED_VALUE"""),2018.0)</f>
        <v>2018</v>
      </c>
      <c r="H282" s="3" t="str">
        <f>IFERROR(__xludf.DUMMYFUNCTION("""COMPUTED_VALUE"""),"AN #26")</f>
        <v>AN #26</v>
      </c>
      <c r="I282" t="str">
        <f>IFERROR(__xludf.DUMMYFUNCTION("""COMPUTED_VALUE"""),"Richard")</f>
        <v>Richard</v>
      </c>
      <c r="J282" t="str">
        <f>IFERROR(__xludf.DUMMYFUNCTION("""COMPUTED_VALUE"""),"This paper contains a lot of introductory material about hardware in ML, plus details on where it's being made. It discusses the competition between China and the US to dominate hardware production. Hwang notes that the trend towards more specialised hard"&amp;"ware may decrease the price of implementing ML but also decrease flexibility after deployment. He points out that simulation learning, self-play and meta-learning reduce the need for data at the expense of increased compute, which may increase hardware's "&amp;"importance going forward.")</f>
        <v>This paper contains a lot of introductory material about hardware in ML, plus details on where it's being made. It discusses the competition between China and the US to dominate hardware production. Hwang notes that the trend towards more specialised hardware may decrease the price of implementing ML but also decrease flexibility after deployment. He points out that simulation learning, self-play and meta-learning reduce the need for data at the expense of increased compute, which may increase hardware's importance going forward.</v>
      </c>
      <c r="K282" t="str">
        <f>IFERROR(__xludf.DUMMYFUNCTION("""COMPUTED_VALUE"""),"This may be useful for AI policy researchers, since it explores which hardware is being made by which companies in which locations, and some of the geopolitical implications. While it's a long paper, AI researchers could probably skip the first half witho"&amp;"ut missing much.")</f>
        <v>This may be useful for AI policy researchers, since it explores which hardware is being made by which companies in which locations, and some of the geopolitical implications. While it's a long paper, AI researchers could probably skip the first half without missing much.</v>
      </c>
    </row>
    <row r="283">
      <c r="A283" t="str">
        <f>IFERROR(__xludf.DUMMYFUNCTION("""COMPUTED_VALUE"""),"AI governance")</f>
        <v>AI governance</v>
      </c>
      <c r="B283" t="str">
        <f>IFERROR(__xludf.DUMMYFUNCTION("""COMPUTED_VALUE"""),"")</f>
        <v/>
      </c>
      <c r="C283" s="3" t="str">
        <f>IFERROR(__xludf.DUMMYFUNCTION("""COMPUTED_VALUE"""),"How Will National Security Considerations Affect Antitrust Decisions in AI? An Examination of Historical Precedents")</f>
        <v>How Will National Security Considerations Affect Antitrust Decisions in AI? An Examination of Historical Precedents</v>
      </c>
      <c r="D283" t="str">
        <f>IFERROR(__xludf.DUMMYFUNCTION("""COMPUTED_VALUE"""),"Cullen O'Keefe")</f>
        <v>Cullen O'Keefe</v>
      </c>
      <c r="E283" t="str">
        <f>IFERROR(__xludf.DUMMYFUNCTION("""COMPUTED_VALUE"""),"FHI Website")</f>
        <v>FHI Website</v>
      </c>
      <c r="F283">
        <f>IFERROR(__xludf.DUMMYFUNCTION("""COMPUTED_VALUE"""),2020.0)</f>
        <v>2020</v>
      </c>
      <c r="H283" s="3" t="str">
        <f>IFERROR(__xludf.DUMMYFUNCTION("""COMPUTED_VALUE"""),"AN #111")</f>
        <v>AN #111</v>
      </c>
      <c r="I283" t="str">
        <f>IFERROR(__xludf.DUMMYFUNCTION("""COMPUTED_VALUE"""),"Rohin")</f>
        <v>Rohin</v>
      </c>
      <c r="J283" t="str">
        <f>IFERROR(__xludf.DUMMYFUNCTION("""COMPUTED_VALUE"""),"This paper looks at whether historically the US has used antitrust law to advance unrelated national security objectives, and concludes that it is rare and especially recently economic considerations tend to be given more weight than national security con"&amp;"siderations.")</f>
        <v>This paper looks at whether historically the US has used antitrust law to advance unrelated national security objectives, and concludes that it is rare and especially recently economic considerations tend to be given more weight than national security considerations.</v>
      </c>
    </row>
    <row r="284">
      <c r="A284" t="str">
        <f>IFERROR(__xludf.DUMMYFUNCTION("""COMPUTED_VALUE"""),"AI governance")</f>
        <v>AI governance</v>
      </c>
      <c r="B284" t="str">
        <f>IFERROR(__xludf.DUMMYFUNCTION("""COMPUTED_VALUE"""),"")</f>
        <v/>
      </c>
      <c r="C284" s="3" t="str">
        <f>IFERROR(__xludf.DUMMYFUNCTION("""COMPUTED_VALUE"""),"Medium-Term Artificial Intelligence and Society")</f>
        <v>Medium-Term Artificial Intelligence and Society</v>
      </c>
      <c r="D284" t="str">
        <f>IFERROR(__xludf.DUMMYFUNCTION("""COMPUTED_VALUE"""),"Seth D. Baum")</f>
        <v>Seth D. Baum</v>
      </c>
      <c r="E284" t="str">
        <f>IFERROR(__xludf.DUMMYFUNCTION("""COMPUTED_VALUE"""),"Information")</f>
        <v>Information</v>
      </c>
      <c r="F284">
        <f>IFERROR(__xludf.DUMMYFUNCTION("""COMPUTED_VALUE"""),2020.0)</f>
        <v>2020</v>
      </c>
      <c r="H284" s="3" t="str">
        <f>IFERROR(__xludf.DUMMYFUNCTION("""COMPUTED_VALUE"""),"AN #105")</f>
        <v>AN #105</v>
      </c>
      <c r="I284" t="str">
        <f>IFERROR(__xludf.DUMMYFUNCTION("""COMPUTED_VALUE"""),"Rohin")</f>
        <v>Rohin</v>
      </c>
      <c r="J284" t="str">
        <f>IFERROR(__xludf.DUMMYFUNCTION("""COMPUTED_VALUE"""),"Like a &lt;@previously summarized paper@&gt;(@Beyond Near- and Long-Term: Towards a Clearer Account of Research Priorities in AI Ethics and Society@), this paper aims to find common ground between near-term and long-term priorities in medium-term concerns. This"&amp;" can be defined along several dimensions of an AI system: when it chronologically appears, how feasible it is to build it, how certain it is that we can build it, how capable the system is, how impactful the system is, and how urgent it is to work on it.
"&amp;"
The paper formulates and evaluates the plausibility of the _medium term AI hypothesis_: that there is an intermediate time period in which AI technology and accompanying societal issues are important from both presentist and futurist perspectives. Howeve"&amp;"r, it does not come to a strong opinion on whether the hypothesis is true or not.")</f>
        <v>Like a &lt;@previously summarized paper@&gt;(@Beyond Near- and Long-Term: Towards a Clearer Account of Research Priorities in AI Ethics and Society@), this paper aims to find common ground between near-term and long-term priorities in medium-term concerns. This can be defined along several dimensions of an AI system: when it chronologically appears, how feasible it is to build it, how certain it is that we can build it, how capable the system is, how impactful the system is, and how urgent it is to work on it.
The paper formulates and evaluates the plausibility of the _medium term AI hypothesis_: that there is an intermediate time period in which AI technology and accompanying societal issues are important from both presentist and futurist perspectives. However, it does not come to a strong opinion on whether the hypothesis is true or not.</v>
      </c>
    </row>
    <row r="285">
      <c r="A285" t="str">
        <f>IFERROR(__xludf.DUMMYFUNCTION("""COMPUTED_VALUE"""),"AI governance")</f>
        <v>AI governance</v>
      </c>
      <c r="B285" t="str">
        <f>IFERROR(__xludf.DUMMYFUNCTION("""COMPUTED_VALUE"""),"")</f>
        <v/>
      </c>
      <c r="C285" s="3" t="str">
        <f>IFERROR(__xludf.DUMMYFUNCTION("""COMPUTED_VALUE"""),"Reducing malicious use of synthetic media research: Considerations and potential release practices for machine learning")</f>
        <v>Reducing malicious use of synthetic media research: Considerations and potential release practices for machine learning</v>
      </c>
      <c r="D285" t="str">
        <f>IFERROR(__xludf.DUMMYFUNCTION("""COMPUTED_VALUE"""),"Aviv Ovadya, Jess Whittlestone")</f>
        <v>Aviv Ovadya, Jess Whittlestone</v>
      </c>
      <c r="E285" t="str">
        <f>IFERROR(__xludf.DUMMYFUNCTION("""COMPUTED_VALUE"""),"arXiv")</f>
        <v>arXiv</v>
      </c>
      <c r="F285">
        <f>IFERROR(__xludf.DUMMYFUNCTION("""COMPUTED_VALUE"""),2019.0)</f>
        <v>2019</v>
      </c>
      <c r="H285" s="3" t="str">
        <f>IFERROR(__xludf.DUMMYFUNCTION("""COMPUTED_VALUE"""),"AN #63")</f>
        <v>AN #63</v>
      </c>
    </row>
    <row r="286">
      <c r="A286" t="str">
        <f>IFERROR(__xludf.DUMMYFUNCTION("""COMPUTED_VALUE"""),"AI governance")</f>
        <v>AI governance</v>
      </c>
      <c r="B286" t="str">
        <f>IFERROR(__xludf.DUMMYFUNCTION("""COMPUTED_VALUE"""),"")</f>
        <v/>
      </c>
      <c r="C286" s="3" t="str">
        <f>IFERROR(__xludf.DUMMYFUNCTION("""COMPUTED_VALUE"""),"How Europe might matter for AI governance")</f>
        <v>How Europe might matter for AI governance</v>
      </c>
      <c r="D286" t="str">
        <f>IFERROR(__xludf.DUMMYFUNCTION("""COMPUTED_VALUE"""),"Stefan Torges")</f>
        <v>Stefan Torges</v>
      </c>
      <c r="E286" t="str">
        <f>IFERROR(__xludf.DUMMYFUNCTION("""COMPUTED_VALUE"""),"EA Forum")</f>
        <v>EA Forum</v>
      </c>
      <c r="F286">
        <f>IFERROR(__xludf.DUMMYFUNCTION("""COMPUTED_VALUE"""),2019.0)</f>
        <v>2019</v>
      </c>
      <c r="H286" s="3" t="str">
        <f>IFERROR(__xludf.DUMMYFUNCTION("""COMPUTED_VALUE"""),"AN #60")</f>
        <v>AN #60</v>
      </c>
    </row>
    <row r="287">
      <c r="A287" t="str">
        <f>IFERROR(__xludf.DUMMYFUNCTION("""COMPUTED_VALUE"""),"AI governance")</f>
        <v>AI governance</v>
      </c>
      <c r="B287" t="str">
        <f>IFERROR(__xludf.DUMMYFUNCTION("""COMPUTED_VALUE"""),"")</f>
        <v/>
      </c>
      <c r="C287" s="3" t="str">
        <f>IFERROR(__xludf.DUMMYFUNCTION("""COMPUTED_VALUE"""),"To stay ahead of Chinese AI, senators want new commission")</f>
        <v>To stay ahead of Chinese AI, senators want new commission</v>
      </c>
      <c r="D287" t="str">
        <f>IFERROR(__xludf.DUMMYFUNCTION("""COMPUTED_VALUE"""),"Aaron Mehta")</f>
        <v>Aaron Mehta</v>
      </c>
      <c r="F287">
        <f>IFERROR(__xludf.DUMMYFUNCTION("""COMPUTED_VALUE"""),2018.0)</f>
        <v>2018</v>
      </c>
      <c r="H287" s="3" t="str">
        <f>IFERROR(__xludf.DUMMYFUNCTION("""COMPUTED_VALUE"""),"AN #6")</f>
        <v>AN #6</v>
      </c>
    </row>
    <row r="288">
      <c r="A288" t="str">
        <f>IFERROR(__xludf.DUMMYFUNCTION("""COMPUTED_VALUE"""),"AI governance")</f>
        <v>AI governance</v>
      </c>
      <c r="B288" t="str">
        <f>IFERROR(__xludf.DUMMYFUNCTION("""COMPUTED_VALUE"""),"")</f>
        <v/>
      </c>
      <c r="C288" s="3" t="str">
        <f>IFERROR(__xludf.DUMMYFUNCTION("""COMPUTED_VALUE"""),"AI in the UK: ready, willing and able?")</f>
        <v>AI in the UK: ready, willing and able?</v>
      </c>
      <c r="F288">
        <f>IFERROR(__xludf.DUMMYFUNCTION("""COMPUTED_VALUE"""),2018.0)</f>
        <v>2018</v>
      </c>
      <c r="H288" s="3" t="str">
        <f>IFERROR(__xludf.DUMMYFUNCTION("""COMPUTED_VALUE"""),"AN #4")</f>
        <v>AN #4</v>
      </c>
      <c r="M288" s="3" t="str">
        <f>IFERROR(__xludf.DUMMYFUNCTION("""COMPUTED_VALUE"""),"Gizmodo post")</f>
        <v>Gizmodo post</v>
      </c>
    </row>
    <row r="289">
      <c r="A289" t="str">
        <f>IFERROR(__xludf.DUMMYFUNCTION("""COMPUTED_VALUE"""),"AI governance")</f>
        <v>AI governance</v>
      </c>
      <c r="B289" t="str">
        <f>IFERROR(__xludf.DUMMYFUNCTION("""COMPUTED_VALUE"""),"")</f>
        <v/>
      </c>
      <c r="C289" s="3" t="str">
        <f>IFERROR(__xludf.DUMMYFUNCTION("""COMPUTED_VALUE"""),"EU Member States sign up to cooperate on Artificial Intelligence")</f>
        <v>EU Member States sign up to cooperate on Artificial Intelligence</v>
      </c>
      <c r="F289">
        <f>IFERROR(__xludf.DUMMYFUNCTION("""COMPUTED_VALUE"""),2018.0)</f>
        <v>2018</v>
      </c>
      <c r="H289" s="3" t="str">
        <f>IFERROR(__xludf.DUMMYFUNCTION("""COMPUTED_VALUE"""),"AN #4")</f>
        <v>AN #4</v>
      </c>
    </row>
    <row r="290">
      <c r="A290" t="str">
        <f>IFERROR(__xludf.DUMMYFUNCTION("""COMPUTED_VALUE"""),"AI governance")</f>
        <v>AI governance</v>
      </c>
      <c r="B290" t="str">
        <f>IFERROR(__xludf.DUMMYFUNCTION("""COMPUTED_VALUE"""),"")</f>
        <v/>
      </c>
      <c r="C290" s="3" t="str">
        <f>IFERROR(__xludf.DUMMYFUNCTION("""COMPUTED_VALUE"""),"Podcast: Six Experts Explain the Killer Robots Debate")</f>
        <v>Podcast: Six Experts Explain the Killer Robots Debate</v>
      </c>
      <c r="D290" t="str">
        <f>IFERROR(__xludf.DUMMYFUNCTION("""COMPUTED_VALUE"""),"Paul Scharre, Toby Walsh, Richard Moyes, Mary Wareham, Bonnie Docherty, Peter Asaro, and Ariel Conn")</f>
        <v>Paul Scharre, Toby Walsh, Richard Moyes, Mary Wareham, Bonnie Docherty, Peter Asaro, and Ariel Conn</v>
      </c>
      <c r="E290" t="str">
        <f>IFERROR(__xludf.DUMMYFUNCTION("""COMPUTED_VALUE"""),"FLI Website")</f>
        <v>FLI Website</v>
      </c>
      <c r="F290">
        <f>IFERROR(__xludf.DUMMYFUNCTION("""COMPUTED_VALUE"""),2018.0)</f>
        <v>2018</v>
      </c>
      <c r="H290" s="3" t="str">
        <f>IFERROR(__xludf.DUMMYFUNCTION("""COMPUTED_VALUE"""),"AN #18")</f>
        <v>AN #18</v>
      </c>
    </row>
    <row r="291">
      <c r="A291" t="str">
        <f>IFERROR(__xludf.DUMMYFUNCTION("""COMPUTED_VALUE"""),"AI governance")</f>
        <v>AI governance</v>
      </c>
      <c r="B291" t="str">
        <f>IFERROR(__xludf.DUMMYFUNCTION("""COMPUTED_VALUE"""),"")</f>
        <v/>
      </c>
      <c r="C291" s="3" t="str">
        <f>IFERROR(__xludf.DUMMYFUNCTION("""COMPUTED_VALUE"""),"Narrow AI Nanny: Reaching Strategic Advantage via Narrow AI to Prevent Creation of the Dangerous Superintelligence")</f>
        <v>Narrow AI Nanny: Reaching Strategic Advantage via Narrow AI to Prevent Creation of the Dangerous Superintelligence</v>
      </c>
      <c r="D291" t="str">
        <f>IFERROR(__xludf.DUMMYFUNCTION("""COMPUTED_VALUE"""),"avturchin")</f>
        <v>avturchin</v>
      </c>
      <c r="E291" t="str">
        <f>IFERROR(__xludf.DUMMYFUNCTION("""COMPUTED_VALUE"""),"LessWrong")</f>
        <v>LessWrong</v>
      </c>
      <c r="F291">
        <f>IFERROR(__xludf.DUMMYFUNCTION("""COMPUTED_VALUE"""),2018.0)</f>
        <v>2018</v>
      </c>
      <c r="H291" s="3" t="str">
        <f>IFERROR(__xludf.DUMMYFUNCTION("""COMPUTED_VALUE"""),"AN #17")</f>
        <v>AN #17</v>
      </c>
    </row>
    <row r="292">
      <c r="A292" t="str">
        <f>IFERROR(__xludf.DUMMYFUNCTION("""COMPUTED_VALUE"""),"AI governance")</f>
        <v>AI governance</v>
      </c>
      <c r="B292" t="str">
        <f>IFERROR(__xludf.DUMMYFUNCTION("""COMPUTED_VALUE"""),"")</f>
        <v/>
      </c>
      <c r="C292" s="3" t="str">
        <f>IFERROR(__xludf.DUMMYFUNCTION("""COMPUTED_VALUE"""),"Joint Artificial Intelligence Center Created Under DoD CIO")</f>
        <v>Joint Artificial Intelligence Center Created Under DoD CIO</v>
      </c>
      <c r="D292" t="str">
        <f>IFERROR(__xludf.DUMMYFUNCTION("""COMPUTED_VALUE"""),"Sydney J. Freedberg Jr.")</f>
        <v>Sydney J. Freedberg Jr.</v>
      </c>
      <c r="E292" t="str">
        <f>IFERROR(__xludf.DUMMYFUNCTION("""COMPUTED_VALUE"""),"Breaking Defense")</f>
        <v>Breaking Defense</v>
      </c>
      <c r="F292">
        <f>IFERROR(__xludf.DUMMYFUNCTION("""COMPUTED_VALUE"""),2018.0)</f>
        <v>2018</v>
      </c>
      <c r="H292" s="3" t="str">
        <f>IFERROR(__xludf.DUMMYFUNCTION("""COMPUTED_VALUE"""),"AN #14")</f>
        <v>AN #14</v>
      </c>
    </row>
    <row r="293">
      <c r="A293" t="str">
        <f>IFERROR(__xludf.DUMMYFUNCTION("""COMPUTED_VALUE"""),"AI governance")</f>
        <v>AI governance</v>
      </c>
      <c r="B293" t="str">
        <f>IFERROR(__xludf.DUMMYFUNCTION("""COMPUTED_VALUE"""),"")</f>
        <v/>
      </c>
      <c r="C293" s="3" t="str">
        <f>IFERROR(__xludf.DUMMYFUNCTION("""COMPUTED_VALUE"""),"Artificial Intelligence and International Affairs: Disruption Anticipated")</f>
        <v>Artificial Intelligence and International Affairs: Disruption Anticipated</v>
      </c>
      <c r="D293" t="str">
        <f>IFERROR(__xludf.DUMMYFUNCTION("""COMPUTED_VALUE"""),"Chatham House")</f>
        <v>Chatham House</v>
      </c>
      <c r="E293" t="str">
        <f>IFERROR(__xludf.DUMMYFUNCTION("""COMPUTED_VALUE"""),"Chatham House")</f>
        <v>Chatham House</v>
      </c>
      <c r="F293">
        <f>IFERROR(__xludf.DUMMYFUNCTION("""COMPUTED_VALUE"""),2018.0)</f>
        <v>2018</v>
      </c>
      <c r="H293" s="3" t="str">
        <f>IFERROR(__xludf.DUMMYFUNCTION("""COMPUTED_VALUE"""),"AN #11")</f>
        <v>AN #11</v>
      </c>
    </row>
    <row r="294">
      <c r="A294" t="str">
        <f>IFERROR(__xludf.DUMMYFUNCTION("""COMPUTED_VALUE"""),"AI governance")</f>
        <v>AI governance</v>
      </c>
      <c r="B294" t="str">
        <f>IFERROR(__xludf.DUMMYFUNCTION("""COMPUTED_VALUE"""),"")</f>
        <v/>
      </c>
      <c r="C294" s="3" t="str">
        <f>IFERROR(__xludf.DUMMYFUNCTION("""COMPUTED_VALUE"""),"India's National Strategy for Artificial Intelligence")</f>
        <v>India's National Strategy for Artificial Intelligence</v>
      </c>
      <c r="F294">
        <f>IFERROR(__xludf.DUMMYFUNCTION("""COMPUTED_VALUE"""),2018.0)</f>
        <v>2018</v>
      </c>
      <c r="H294" s="3" t="str">
        <f>IFERROR(__xludf.DUMMYFUNCTION("""COMPUTED_VALUE"""),"AN #11")</f>
        <v>AN #11</v>
      </c>
    </row>
    <row r="295">
      <c r="A295" t="str">
        <f>IFERROR(__xludf.DUMMYFUNCTION("""COMPUTED_VALUE"""),"AI governance")</f>
        <v>AI governance</v>
      </c>
      <c r="B295" t="str">
        <f>IFERROR(__xludf.DUMMYFUNCTION("""COMPUTED_VALUE"""),"")</f>
        <v/>
      </c>
      <c r="C295" s="3" t="str">
        <f>IFERROR(__xludf.DUMMYFUNCTION("""COMPUTED_VALUE"""),"Tianjin city in China eyes US$16 billion fund for AI work, dwarfing EU’s plan to spend US$1.78 billion")</f>
        <v>Tianjin city in China eyes US$16 billion fund for AI work, dwarfing EU’s plan to spend US$1.78 billion</v>
      </c>
      <c r="D295" t="str">
        <f>IFERROR(__xludf.DUMMYFUNCTION("""COMPUTED_VALUE"""),"Meng Jing")</f>
        <v>Meng Jing</v>
      </c>
      <c r="E295" t="str">
        <f>IFERROR(__xludf.DUMMYFUNCTION("""COMPUTED_VALUE"""),"South China Morning Post")</f>
        <v>South China Morning Post</v>
      </c>
      <c r="F295">
        <f>IFERROR(__xludf.DUMMYFUNCTION("""COMPUTED_VALUE"""),2018.0)</f>
        <v>2018</v>
      </c>
      <c r="H295" s="3" t="str">
        <f>IFERROR(__xludf.DUMMYFUNCTION("""COMPUTED_VALUE"""),"AN #10")</f>
        <v>AN #10</v>
      </c>
    </row>
    <row r="296">
      <c r="A296" t="str">
        <f>IFERROR(__xludf.DUMMYFUNCTION("""COMPUTED_VALUE"""),"AI governance")</f>
        <v>AI governance</v>
      </c>
      <c r="B296" t="str">
        <f>IFERROR(__xludf.DUMMYFUNCTION("""COMPUTED_VALUE"""),"")</f>
        <v/>
      </c>
      <c r="C296" s="3" t="str">
        <f>IFERROR(__xludf.DUMMYFUNCTION("""COMPUTED_VALUE"""),"Initial Reference Architecture of an Intelligent Autonomous Agent for Cyber Defense")</f>
        <v>Initial Reference Architecture of an Intelligent Autonomous Agent for Cyber Defense</v>
      </c>
      <c r="D296" t="str">
        <f>IFERROR(__xludf.DUMMYFUNCTION("""COMPUTED_VALUE"""),"Alexander Kott, Luigi V Mancini, Paul Théron, Martin Drašar, Edlira Dushku, Heiko Günther, Markus Kont, Benoît LeBlanc, Agostino Panico, Mauno Pihelgas, Krzysztof Rzadca")</f>
        <v>Alexander Kott, Luigi V Mancini, Paul Théron, Martin Drašar, Edlira Dushku, Heiko Günther, Markus Kont, Benoît LeBlanc, Agostino Panico, Mauno Pihelgas, Krzysztof Rzadca</v>
      </c>
      <c r="E296" t="str">
        <f>IFERROR(__xludf.DUMMYFUNCTION("""COMPUTED_VALUE"""),"arXiv")</f>
        <v>arXiv</v>
      </c>
      <c r="F296">
        <f>IFERROR(__xludf.DUMMYFUNCTION("""COMPUTED_VALUE"""),2018.0)</f>
        <v>2018</v>
      </c>
      <c r="H296" s="3" t="str">
        <f>IFERROR(__xludf.DUMMYFUNCTION("""COMPUTED_VALUE"""),"AN #1")</f>
        <v>AN #1</v>
      </c>
      <c r="I296" t="str">
        <f>IFERROR(__xludf.DUMMYFUNCTION("""COMPUTED_VALUE"""),"Rohin")</f>
        <v>Rohin</v>
      </c>
      <c r="J296" t="str">
        <f>IFERROR(__xludf.DUMMYFUNCTION("""COMPUTED_VALUE"""),"See [Import AI's summary](https://jack-clark.net/2018/04/02/importai-88-nato-designs-a-cyber-defense-ai-object-detection-improves-with-yolov3-france-unveils-its-national-ai-strategy/).")</f>
        <v>See [Import AI's summary](https://jack-clark.net/2018/04/02/importai-88-nato-designs-a-cyber-defense-ai-object-detection-improves-with-yolov3-france-unveils-its-national-ai-strategy/).</v>
      </c>
    </row>
    <row r="297">
      <c r="A297" t="str">
        <f>IFERROR(__xludf.DUMMYFUNCTION("""COMPUTED_VALUE"""),"AI governance")</f>
        <v>AI governance</v>
      </c>
      <c r="B297" t="str">
        <f>IFERROR(__xludf.DUMMYFUNCTION("""COMPUTED_VALUE"""),"")</f>
        <v/>
      </c>
      <c r="C297" s="3" t="str">
        <f>IFERROR(__xludf.DUMMYFUNCTION("""COMPUTED_VALUE"""),"France's AI strategy")</f>
        <v>France's AI strategy</v>
      </c>
      <c r="F297">
        <f>IFERROR(__xludf.DUMMYFUNCTION("""COMPUTED_VALUE"""),2018.0)</f>
        <v>2018</v>
      </c>
      <c r="H297" s="3" t="str">
        <f>IFERROR(__xludf.DUMMYFUNCTION("""COMPUTED_VALUE"""),"AN #1")</f>
        <v>AN #1</v>
      </c>
      <c r="I297" t="str">
        <f>IFERROR(__xludf.DUMMYFUNCTION("""COMPUTED_VALUE"""),"Rohin")</f>
        <v>Rohin</v>
      </c>
      <c r="J297" t="str">
        <f>IFERROR(__xludf.DUMMYFUNCTION("""COMPUTED_VALUE"""),"See [Import AI's summary](https://jack-clark.net/2018/04/02/importai-88-nato-designs-a-cyber-defense-ai-object-detection-improves-with-yolov3-france-unveils-its-national-ai-strategy/).")</f>
        <v>See [Import AI's summary](https://jack-clark.net/2018/04/02/importai-88-nato-designs-a-cyber-defense-ai-object-detection-improves-with-yolov3-france-unveils-its-national-ai-strategy/).</v>
      </c>
    </row>
    <row r="298">
      <c r="A298" t="str">
        <f>IFERROR(__xludf.DUMMYFUNCTION("""COMPUTED_VALUE"""),"AISFP blog posts")</f>
        <v>AISFP blog posts</v>
      </c>
      <c r="B298" t="str">
        <f>IFERROR(__xludf.DUMMYFUNCTION("""COMPUTED_VALUE"""),"")</f>
        <v/>
      </c>
      <c r="C298" s="3" t="str">
        <f>IFERROR(__xludf.DUMMYFUNCTION("""COMPUTED_VALUE"""),"Clarifying Consequentialists in the Solomonoff Prior")</f>
        <v>Clarifying Consequentialists in the Solomonoff Prior</v>
      </c>
      <c r="D298" t="str">
        <f>IFERROR(__xludf.DUMMYFUNCTION("""COMPUTED_VALUE"""),"vlad_m")</f>
        <v>vlad_m</v>
      </c>
      <c r="E298" t="str">
        <f>IFERROR(__xludf.DUMMYFUNCTION("""COMPUTED_VALUE"""),"LessWrong")</f>
        <v>LessWrong</v>
      </c>
      <c r="F298">
        <f>IFERROR(__xludf.DUMMYFUNCTION("""COMPUTED_VALUE"""),2018.0)</f>
        <v>2018</v>
      </c>
      <c r="H298" s="3" t="str">
        <f>IFERROR(__xludf.DUMMYFUNCTION("""COMPUTED_VALUE"""),"AN #15")</f>
        <v>AN #15</v>
      </c>
      <c r="I298" t="str">
        <f>IFERROR(__xludf.DUMMYFUNCTION("""COMPUTED_VALUE"""),"Rohin")</f>
        <v>Rohin</v>
      </c>
      <c r="J298" t="str">
        <f>IFERROR(__xludf.DUMMYFUNCTION("""COMPUTED_VALUE"""),"In the universal Solomonoff prior, since there is no time bound on how long the Turing machines can run for, some short Turing machines could encode universes in which life develops, figures out that it can influence us through the prior, and starts to pr"&amp;"edict strings that we care about but changes them slightly to influence our decisions. These could be much shorter than the intended ""natural"" Turing machine that ""correctly"" predicts the string.")</f>
        <v>In the universal Solomonoff prior, since there is no time bound on how long the Turing machines can run for, some short Turing machines could encode universes in which life develops, figures out that it can influence us through the prior, and starts to predict strings that we care about but changes them slightly to influence our decisions. These could be much shorter than the intended "natural" Turing machine that "correctly" predicts the string.</v>
      </c>
      <c r="K298" t="str">
        <f>IFERROR(__xludf.DUMMYFUNCTION("""COMPUTED_VALUE"""),"This is a more accessible introduction to the weirdness of the universal prior than the [original post](https://ordinaryideas.wordpress.com/2016/11/30/what-does-the-universal-prior-actually-look-like/), but I think it is missing a lot of details that were"&amp;" present, so if you're confused by some aspect, it may be worth checking out the original post.")</f>
        <v>This is a more accessible introduction to the weirdness of the universal prior than the [original post](https://ordinaryideas.wordpress.com/2016/11/30/what-does-the-universal-prior-actually-look-like/), but I think it is missing a lot of details that were present, so if you're confused by some aspect, it may be worth checking out the original post.</v>
      </c>
      <c r="M298" s="3" t="str">
        <f>IFERROR(__xludf.DUMMYFUNCTION("""COMPUTED_VALUE"""),"What does the universal prior actually look like?")</f>
        <v>What does the universal prior actually look like?</v>
      </c>
    </row>
    <row r="299">
      <c r="A299" t="str">
        <f>IFERROR(__xludf.DUMMYFUNCTION("""COMPUTED_VALUE"""),"AISFP blog posts")</f>
        <v>AISFP blog posts</v>
      </c>
      <c r="B299" t="str">
        <f>IFERROR(__xludf.DUMMYFUNCTION("""COMPUTED_VALUE"""),"")</f>
        <v/>
      </c>
      <c r="C299" t="str">
        <f>IFERROR(__xludf.DUMMYFUNCTION("""COMPUTED_VALUE"""),"[Probability is fake, frequency is real](https://www.lesswrong.com/posts/vmfW2qTac4vF3YS3J/probability-is-fake-frequency-is-real) and [Repeated (and improved) Sleeping Beauty problem](https://www.lesswrong.com/posts/KZh9eKCkBRbevkGnP/repeated-and-improved"&amp;"-sleeping-beauty-problem)")</f>
        <v>[Probability is fake, frequency is real](https://www.lesswrong.com/posts/vmfW2qTac4vF3YS3J/probability-is-fake-frequency-is-real) and [Repeated (and improved) Sleeping Beauty problem](https://www.lesswrong.com/posts/KZh9eKCkBRbevkGnP/repeated-and-improved-sleeping-beauty-problem)</v>
      </c>
      <c r="D299" t="str">
        <f>IFERROR(__xludf.DUMMYFUNCTION("""COMPUTED_VALUE"""),"Linda Linsefors")</f>
        <v>Linda Linsefors</v>
      </c>
      <c r="E299" t="str">
        <f>IFERROR(__xludf.DUMMYFUNCTION("""COMPUTED_VALUE"""),"LessWrong")</f>
        <v>LessWrong</v>
      </c>
      <c r="F299">
        <f>IFERROR(__xludf.DUMMYFUNCTION("""COMPUTED_VALUE"""),2018.0)</f>
        <v>2018</v>
      </c>
      <c r="H299" s="3" t="str">
        <f>IFERROR(__xludf.DUMMYFUNCTION("""COMPUTED_VALUE"""),"AN #15")</f>
        <v>AN #15</v>
      </c>
      <c r="I299" t="str">
        <f>IFERROR(__xludf.DUMMYFUNCTION("""COMPUTED_VALUE"""),"Rohin")</f>
        <v>Rohin</v>
      </c>
      <c r="J299" t="str">
        <f>IFERROR(__xludf.DUMMYFUNCTION("""COMPUTED_VALUE"""),"Attacks the Sleeping Beauty problem in anthropics.")</f>
        <v>Attacks the Sleeping Beauty problem in anthropics.</v>
      </c>
      <c r="K299" t="str">
        <f>IFERROR(__xludf.DUMMYFUNCTION("""COMPUTED_VALUE"""),"Anthropics confuses me and I haven't prioritized understanding it yet, so I'm going to abstain.")</f>
        <v>Anthropics confuses me and I haven't prioritized understanding it yet, so I'm going to abstain.</v>
      </c>
    </row>
    <row r="300">
      <c r="A300" t="str">
        <f>IFERROR(__xludf.DUMMYFUNCTION("""COMPUTED_VALUE"""),"AISFP blog posts")</f>
        <v>AISFP blog posts</v>
      </c>
      <c r="B300" t="str">
        <f>IFERROR(__xludf.DUMMYFUNCTION("""COMPUTED_VALUE"""),"")</f>
        <v/>
      </c>
      <c r="C300" s="3" t="str">
        <f>IFERROR(__xludf.DUMMYFUNCTION("""COMPUTED_VALUE"""),"A framework for thinking about wireheading")</f>
        <v>A framework for thinking about wireheading</v>
      </c>
      <c r="D300" t="str">
        <f>IFERROR(__xludf.DUMMYFUNCTION("""COMPUTED_VALUE"""),"theotherotheralex")</f>
        <v>theotherotheralex</v>
      </c>
      <c r="E300" t="str">
        <f>IFERROR(__xludf.DUMMYFUNCTION("""COMPUTED_VALUE"""),"LessWrong")</f>
        <v>LessWrong</v>
      </c>
      <c r="F300">
        <f>IFERROR(__xludf.DUMMYFUNCTION("""COMPUTED_VALUE"""),2018.0)</f>
        <v>2018</v>
      </c>
      <c r="H300" s="3" t="str">
        <f>IFERROR(__xludf.DUMMYFUNCTION("""COMPUTED_VALUE"""),"AN #15")</f>
        <v>AN #15</v>
      </c>
      <c r="I300" t="str">
        <f>IFERROR(__xludf.DUMMYFUNCTION("""COMPUTED_VALUE"""),"Rohin")</f>
        <v>Rohin</v>
      </c>
      <c r="J300" t="str">
        <f>IFERROR(__xludf.DUMMYFUNCTION("""COMPUTED_VALUE"""),"Humans don't wirehead (take heroin, which gives huge positive reward) because it does not further their current goals. Maybe analogously we could design an AI that realizes that wireheading would not help it achieve its current goals and so wouldn't wireh"&amp;"ead.")</f>
        <v>Humans don't wirehead (take heroin, which gives huge positive reward) because it does not further their current goals. Maybe analogously we could design an AI that realizes that wireheading would not help it achieve its current goals and so wouldn't wirehead.</v>
      </c>
      <c r="K300" t="str">
        <f>IFERROR(__xludf.DUMMYFUNCTION("""COMPUTED_VALUE"""),"I think this is anthropomorphizing the AI too much. To the extent that a (current) reinforcement learning system can be said to ""have goals"", the goal is to maximize reward, so wireheading actually is furthering its current goal. It might be that in the"&amp;" future the systems we design are more analogous to humans and then such an approach might be useful.")</f>
        <v>I think this is anthropomorphizing the AI too much. To the extent that a (current) reinforcement learning system can be said to "have goals", the goal is to maximize reward, so wireheading actually is furthering its current goal. It might be that in the future the systems we design are more analogous to humans and then such an approach might be useful.</v>
      </c>
    </row>
    <row r="301">
      <c r="A301" t="str">
        <f>IFERROR(__xludf.DUMMYFUNCTION("""COMPUTED_VALUE"""),"AISFP blog posts")</f>
        <v>AISFP blog posts</v>
      </c>
      <c r="B301" t="str">
        <f>IFERROR(__xludf.DUMMYFUNCTION("""COMPUTED_VALUE"""),"")</f>
        <v/>
      </c>
      <c r="C301" s="3" t="str">
        <f>IFERROR(__xludf.DUMMYFUNCTION("""COMPUTED_VALUE"""),"Agents That Learn From Human Behavior Can't Learn Human Values That Humans Haven't Learned Yet")</f>
        <v>Agents That Learn From Human Behavior Can't Learn Human Values That Humans Haven't Learned Yet</v>
      </c>
      <c r="D301" t="str">
        <f>IFERROR(__xludf.DUMMYFUNCTION("""COMPUTED_VALUE"""),"steven0461")</f>
        <v>steven0461</v>
      </c>
      <c r="E301" t="str">
        <f>IFERROR(__xludf.DUMMYFUNCTION("""COMPUTED_VALUE"""),"LessWrong")</f>
        <v>LessWrong</v>
      </c>
      <c r="F301">
        <f>IFERROR(__xludf.DUMMYFUNCTION("""COMPUTED_VALUE"""),2018.0)</f>
        <v>2018</v>
      </c>
      <c r="H301" s="3" t="str">
        <f>IFERROR(__xludf.DUMMYFUNCTION("""COMPUTED_VALUE"""),"AN #15")</f>
        <v>AN #15</v>
      </c>
      <c r="I301" t="str">
        <f>IFERROR(__xludf.DUMMYFUNCTION("""COMPUTED_VALUE"""),"Rohin")</f>
        <v>Rohin</v>
      </c>
      <c r="J301" t="str">
        <f>IFERROR(__xludf.DUMMYFUNCTION("""COMPUTED_VALUE"""),"Suppose Alice has moral uncertainty over five utility functions, and so optimizes a weighted combination of them; while Bob's true utility function is the same weighted combination of the utility functions. Alice and Bob will mostly act the same, and so a"&amp;" value learning agent wouldn't be able to distinguish between them.")</f>
        <v>Suppose Alice has moral uncertainty over five utility functions, and so optimizes a weighted combination of them; while Bob's true utility function is the same weighted combination of the utility functions. Alice and Bob will mostly act the same, and so a value learning agent wouldn't be able to distinguish between them.</v>
      </c>
      <c r="K301" t="str">
        <f>IFERROR(__xludf.DUMMYFUNCTION("""COMPUTED_VALUE"""),"The post, and a [comment](https://www.lesswrong.com/posts/DfewqowdzDdCD7S9y/agents-that-learn-from-human-behavior-can-t-learn-human#EeG2tLbzc3W2yuLX7), note that the difference between Alice and Bob is that if Alice received further information (from a mo"&amp;"ral philosopher, maybe), she'd start maximizing a specific one of the utility functions. The value learning agent could notice this and correctly infer the utility function. It could also actively propose the information to Alice and see how she responds.")</f>
        <v>The post, and a [comment](https://www.lesswrong.com/posts/DfewqowdzDdCD7S9y/agents-that-learn-from-human-behavior-can-t-learn-human#EeG2tLbzc3W2yuLX7), note that the difference between Alice and Bob is that if Alice received further information (from a moral philosopher, maybe), she'd start maximizing a specific one of the utility functions. The value learning agent could notice this and correctly infer the utility function. It could also actively propose the information to Alice and see how she responds.</v>
      </c>
    </row>
    <row r="302">
      <c r="A302" t="str">
        <f>IFERROR(__xludf.DUMMYFUNCTION("""COMPUTED_VALUE"""),"AISFP blog posts")</f>
        <v>AISFP blog posts</v>
      </c>
      <c r="B302" t="str">
        <f>IFERROR(__xludf.DUMMYFUNCTION("""COMPUTED_VALUE"""),"")</f>
        <v/>
      </c>
      <c r="C302" s="3" t="str">
        <f>IFERROR(__xludf.DUMMYFUNCTION("""COMPUTED_VALUE"""),"An environment for studying counterfactuals")</f>
        <v>An environment for studying counterfactuals</v>
      </c>
      <c r="D302" t="str">
        <f>IFERROR(__xludf.DUMMYFUNCTION("""COMPUTED_VALUE"""),"Nisan")</f>
        <v>Nisan</v>
      </c>
      <c r="E302" t="str">
        <f>IFERROR(__xludf.DUMMYFUNCTION("""COMPUTED_VALUE"""),"LessWrong")</f>
        <v>LessWrong</v>
      </c>
      <c r="F302">
        <f>IFERROR(__xludf.DUMMYFUNCTION("""COMPUTED_VALUE"""),2018.0)</f>
        <v>2018</v>
      </c>
      <c r="H302" s="3" t="str">
        <f>IFERROR(__xludf.DUMMYFUNCTION("""COMPUTED_VALUE"""),"AN #15")</f>
        <v>AN #15</v>
      </c>
      <c r="I302" t="str">
        <f>IFERROR(__xludf.DUMMYFUNCTION("""COMPUTED_VALUE"""),"Rohin")</f>
        <v>Rohin</v>
      </c>
      <c r="J302" t="str">
        <f>IFERROR(__xludf.DUMMYFUNCTION("""COMPUTED_VALUE"""),"Proposes a class of environments in which the agent is tasked with predicting the utility of every action, in addition to maximizing expected utility. It is evaluated on the utility achieved as well as correctly predicting the utility it gets. Epsilon-exp"&amp;"loration is required, so for every action there is always some chance that the agent will be tested on predicting the utility of that action. The agent is also provided a prior P about the world, including what the agent will do (which exists due to a fix"&amp;"ed-point theorem).")</f>
        <v>Proposes a class of environments in which the agent is tasked with predicting the utility of every action, in addition to maximizing expected utility. It is evaluated on the utility achieved as well as correctly predicting the utility it gets. Epsilon-exploration is required, so for every action there is always some chance that the agent will be tested on predicting the utility of that action. The agent is also provided a prior P about the world, including what the agent will do (which exists due to a fixed-point theorem).</v>
      </c>
      <c r="K302" t="str">
        <f>IFERROR(__xludf.DUMMYFUNCTION("""COMPUTED_VALUE"""),"I'm confused (I'm not an expert in this field), but I'm not sure what I'm confused about. Is there a dynamics model? Given that the agent gets access to a prior, can it find Pr(U | o, a) and choose the a with maximum expected utility? Why are we including"&amp;" reflection? There are often many fixed points, which one do we pick?")</f>
        <v>I'm confused (I'm not an expert in this field), but I'm not sure what I'm confused about. Is there a dynamics model? Given that the agent gets access to a prior, can it find Pr(U | o, a) and choose the a with maximum expected utility? Why are we including reflection? There are often many fixed points, which one do we pick?</v>
      </c>
    </row>
    <row r="303">
      <c r="A303" t="str">
        <f>IFERROR(__xludf.DUMMYFUNCTION("""COMPUTED_VALUE"""),"AISFP blog posts")</f>
        <v>AISFP blog posts</v>
      </c>
      <c r="B303" t="str">
        <f>IFERROR(__xludf.DUMMYFUNCTION("""COMPUTED_VALUE"""),"")</f>
        <v/>
      </c>
      <c r="C303" s="3" t="str">
        <f>IFERROR(__xludf.DUMMYFUNCTION("""COMPUTED_VALUE"""),"Bounding Goodhart's Law")</f>
        <v>Bounding Goodhart's Law</v>
      </c>
      <c r="D303" t="str">
        <f>IFERROR(__xludf.DUMMYFUNCTION("""COMPUTED_VALUE"""),"Eric Langlois")</f>
        <v>Eric Langlois</v>
      </c>
      <c r="E303" t="str">
        <f>IFERROR(__xludf.DUMMYFUNCTION("""COMPUTED_VALUE"""),"LessWrong")</f>
        <v>LessWrong</v>
      </c>
      <c r="F303">
        <f>IFERROR(__xludf.DUMMYFUNCTION("""COMPUTED_VALUE"""),2018.0)</f>
        <v>2018</v>
      </c>
      <c r="H303" s="3" t="str">
        <f>IFERROR(__xludf.DUMMYFUNCTION("""COMPUTED_VALUE"""),"AN #15")</f>
        <v>AN #15</v>
      </c>
      <c r="I303" t="str">
        <f>IFERROR(__xludf.DUMMYFUNCTION("""COMPUTED_VALUE"""),"Rohin")</f>
        <v>Rohin</v>
      </c>
      <c r="J303" t="str">
        <f>IFERROR(__xludf.DUMMYFUNCTION("""COMPUTED_VALUE"""),"Derives a bound on the regret from having a misspecified reward function. Essentially the regret comes from two main sources -- cases where the misspecified reward assigns too high a reward to states that the misspecified policy visits a lot, and cases wh"&amp;"ere the misspecified reward assigns too low a probability to states that the true best policy would visit a lot. The post also proposes an algorithm for reward learning that takes into account these insights.")</f>
        <v>Derives a bound on the regret from having a misspecified reward function. Essentially the regret comes from two main sources -- cases where the misspecified reward assigns too high a reward to states that the misspecified policy visits a lot, and cases where the misspecified reward assigns too low a probability to states that the true best policy would visit a lot. The post also proposes an algorithm for reward learning that takes into account these insights.</v>
      </c>
      <c r="K303" t="str">
        <f>IFERROR(__xludf.DUMMYFUNCTION("""COMPUTED_VALUE"""),"This shows that, for a particular class of ways that the reward function might be wrong, the corresponding policy is still only slightly suboptimal. This doesn't make me feel much better about having an incorrect reward function, as it feels like this cla"&amp;"ss of ways is a small subset of the ways in which we'll be wrong in practice. I do think the identification of what has to go wrong for really bad outcomes is useful, and I'd be interested to see experiments with the proposed reward learning algorithm.")</f>
        <v>This shows that, for a particular class of ways that the reward function might be wrong, the corresponding policy is still only slightly suboptimal. This doesn't make me feel much better about having an incorrect reward function, as it feels like this class of ways is a small subset of the ways in which we'll be wrong in practice. I do think the identification of what has to go wrong for really bad outcomes is useful, and I'd be interested to see experiments with the proposed reward learning algorithm.</v>
      </c>
    </row>
    <row r="304">
      <c r="A304" t="str">
        <f>IFERROR(__xludf.DUMMYFUNCTION("""COMPUTED_VALUE"""),"AISFP blog posts")</f>
        <v>AISFP blog posts</v>
      </c>
      <c r="B304" t="str">
        <f>IFERROR(__xludf.DUMMYFUNCTION("""COMPUTED_VALUE"""),"")</f>
        <v/>
      </c>
      <c r="C304" s="3" t="str">
        <f>IFERROR(__xludf.DUMMYFUNCTION("""COMPUTED_VALUE"""),"Choosing to Choose?")</f>
        <v>Choosing to Choose?</v>
      </c>
      <c r="D304" t="str">
        <f>IFERROR(__xludf.DUMMYFUNCTION("""COMPUTED_VALUE"""),"Whispermute")</f>
        <v>Whispermute</v>
      </c>
      <c r="E304" t="str">
        <f>IFERROR(__xludf.DUMMYFUNCTION("""COMPUTED_VALUE"""),"LessWrong")</f>
        <v>LessWrong</v>
      </c>
      <c r="F304">
        <f>IFERROR(__xludf.DUMMYFUNCTION("""COMPUTED_VALUE"""),2018.0)</f>
        <v>2018</v>
      </c>
      <c r="H304" s="3" t="str">
        <f>IFERROR(__xludf.DUMMYFUNCTION("""COMPUTED_VALUE"""),"AN #15")</f>
        <v>AN #15</v>
      </c>
      <c r="I304" t="str">
        <f>IFERROR(__xludf.DUMMYFUNCTION("""COMPUTED_VALUE"""),"Rohin")</f>
        <v>Rohin</v>
      </c>
      <c r="J304" t="str">
        <f>IFERROR(__xludf.DUMMYFUNCTION("""COMPUTED_VALUE"""),"If it is possible for your utility function to change, then should you optimize for your current utility function, or your expected future utility function? The post gives an argument for both sides, and ultimately says that you should optimize for your c"&amp;"urrent utility function, but notes some problems with the proposed argument for it.")</f>
        <v>If it is possible for your utility function to change, then should you optimize for your current utility function, or your expected future utility function? The post gives an argument for both sides, and ultimately says that you should optimize for your current utility function, but notes some problems with the proposed argument for it.</v>
      </c>
      <c r="K304" t="str">
        <f>IFERROR(__xludf.DUMMYFUNCTION("""COMPUTED_VALUE"""),"I think that it is correct to optimize for your current utility function, and I didn't find the argument for the other side convincing (and wrote a comment on the post with more details).")</f>
        <v>I think that it is correct to optimize for your current utility function, and I didn't find the argument for the other side convincing (and wrote a comment on the post with more details).</v>
      </c>
      <c r="M304" s="3" t="str">
        <f>IFERROR(__xludf.DUMMYFUNCTION("""COMPUTED_VALUE"""),"Self-Modification of Policy and Utility Function in Rational Agents")</f>
        <v>Self-Modification of Policy and Utility Function in Rational Agents</v>
      </c>
    </row>
    <row r="305">
      <c r="A305" t="str">
        <f>IFERROR(__xludf.DUMMYFUNCTION("""COMPUTED_VALUE"""),"AISFP blog posts")</f>
        <v>AISFP blog posts</v>
      </c>
      <c r="B305" t="str">
        <f>IFERROR(__xludf.DUMMYFUNCTION("""COMPUTED_VALUE"""),"")</f>
        <v/>
      </c>
      <c r="C305" s="3" t="str">
        <f>IFERROR(__xludf.DUMMYFUNCTION("""COMPUTED_VALUE"""),"Conditioning, Counterfactuals, Exploration, and Gears")</f>
        <v>Conditioning, Counterfactuals, Exploration, and Gears</v>
      </c>
      <c r="D305" t="str">
        <f>IFERROR(__xludf.DUMMYFUNCTION("""COMPUTED_VALUE"""),"Diffractor")</f>
        <v>Diffractor</v>
      </c>
      <c r="E305" t="str">
        <f>IFERROR(__xludf.DUMMYFUNCTION("""COMPUTED_VALUE"""),"LessWrong")</f>
        <v>LessWrong</v>
      </c>
      <c r="F305">
        <f>IFERROR(__xludf.DUMMYFUNCTION("""COMPUTED_VALUE"""),2018.0)</f>
        <v>2018</v>
      </c>
      <c r="H305" s="3" t="str">
        <f>IFERROR(__xludf.DUMMYFUNCTION("""COMPUTED_VALUE"""),"AN #15")</f>
        <v>AN #15</v>
      </c>
      <c r="I305" t="str">
        <f>IFERROR(__xludf.DUMMYFUNCTION("""COMPUTED_VALUE"""),"Rohin")</f>
        <v>Rohin</v>
      </c>
      <c r="J305" t="str">
        <f>IFERROR(__xludf.DUMMYFUNCTION("""COMPUTED_VALUE"""),"One way that you can think about counterfactuals is to _condition_ on some low probability state, and then look at the probability distribution that implies. This seems like the most general version of counterfactuals, but it doesn't match what we intuiti"&amp;"vely mean by counterfactuals, which is more like ""suppose that by fiat this constraint were met, but don't consider what would have caused it, now predict the consequences"". This sort of imputing only works because there are very simple rules governing "&amp;"our universe, so that there are strong correlations between different experiences and so it actually is possible to generalize to very new situations. It seems very important to use this idea in order to advance beyond epsilon-exploration for new situatio"&amp;"ns.")</f>
        <v>One way that you can think about counterfactuals is to _condition_ on some low probability state, and then look at the probability distribution that implies. This seems like the most general version of counterfactuals, but it doesn't match what we intuitively mean by counterfactuals, which is more like "suppose that by fiat this constraint were met, but don't consider what would have caused it, now predict the consequences". This sort of imputing only works because there are very simple rules governing our universe, so that there are strong correlations between different experiences and so it actually is possible to generalize to very new situations. It seems very important to use this idea in order to advance beyond epsilon-exploration for new situations.</v>
      </c>
      <c r="K305" t="str">
        <f>IFERROR(__xludf.DUMMYFUNCTION("""COMPUTED_VALUE"""),"I agree that this is an important idea, and it has arisen elsewhere -- in ML, this is part of the thinking on the problem of generalization. There are no-free-lunch theorems that say you cannot do well in arbitrary environments, where the constructions ty"&amp;"pically violate the ""strong correlation between different experiences"" heuristic. In philosophy, this is the problem of induction.")</f>
        <v>I agree that this is an important idea, and it has arisen elsewhere -- in ML, this is part of the thinking on the problem of generalization. There are no-free-lunch theorems that say you cannot do well in arbitrary environments, where the constructions typically violate the "strong correlation between different experiences" heuristic. In philosophy, this is the problem of induction.</v>
      </c>
      <c r="M305" s="3" t="str">
        <f>IFERROR(__xludf.DUMMYFUNCTION("""COMPUTED_VALUE"""),"Don't Condition on no Catastrophes")</f>
        <v>Don't Condition on no Catastrophes</v>
      </c>
    </row>
    <row r="306">
      <c r="A306" t="str">
        <f>IFERROR(__xludf.DUMMYFUNCTION("""COMPUTED_VALUE"""),"AISFP blog posts")</f>
        <v>AISFP blog posts</v>
      </c>
      <c r="B306" t="str">
        <f>IFERROR(__xludf.DUMMYFUNCTION("""COMPUTED_VALUE"""),"")</f>
        <v/>
      </c>
      <c r="C306" s="3" t="str">
        <f>IFERROR(__xludf.DUMMYFUNCTION("""COMPUTED_VALUE"""),"Conditions under which misaligned subagents can (not) arise in classifiers")</f>
        <v>Conditions under which misaligned subagents can (not) arise in classifiers</v>
      </c>
      <c r="D306" t="str">
        <f>IFERROR(__xludf.DUMMYFUNCTION("""COMPUTED_VALUE"""),"anon1")</f>
        <v>anon1</v>
      </c>
      <c r="E306" t="str">
        <f>IFERROR(__xludf.DUMMYFUNCTION("""COMPUTED_VALUE"""),"LessWrong")</f>
        <v>LessWrong</v>
      </c>
      <c r="F306">
        <f>IFERROR(__xludf.DUMMYFUNCTION("""COMPUTED_VALUE"""),2018.0)</f>
        <v>2018</v>
      </c>
      <c r="H306" s="3" t="str">
        <f>IFERROR(__xludf.DUMMYFUNCTION("""COMPUTED_VALUE"""),"AN #15")</f>
        <v>AN #15</v>
      </c>
      <c r="I306" t="str">
        <f>IFERROR(__xludf.DUMMYFUNCTION("""COMPUTED_VALUE"""),"Rohin")</f>
        <v>Rohin</v>
      </c>
      <c r="J306" t="str">
        <f>IFERROR(__xludf.DUMMYFUNCTION("""COMPUTED_VALUE"""),"Agents or subagents with ""goals"" are only likely to arise when you are considering tasks where it is important to keep state/memory, because past inputs are informative about future inputs. So, unaligned subagents are unlikely to arise for eg. classific"&amp;"ation tasks where it is not necessary to model how things change over time.")</f>
        <v>Agents or subagents with "goals" are only likely to arise when you are considering tasks where it is important to keep state/memory, because past inputs are informative about future inputs. So, unaligned subagents are unlikely to arise for eg. classification tasks where it is not necessary to model how things change over time.</v>
      </c>
      <c r="K306" t="str">
        <f>IFERROR(__xludf.DUMMYFUNCTION("""COMPUTED_VALUE"""),"I do think that classifiers with a bounded task that run for a bounded amount of time are unlikely to develop unaligned subagents with memory. However, I still feel very unclear on the term ""unaligned subagent"", so I'm not very confident in this assessm"&amp;"ent.")</f>
        <v>I do think that classifiers with a bounded task that run for a bounded amount of time are unlikely to develop unaligned subagents with memory. However, I still feel very unclear on the term "unaligned subagent", so I'm not very confident in this assessment.</v>
      </c>
    </row>
    <row r="307">
      <c r="A307" t="str">
        <f>IFERROR(__xludf.DUMMYFUNCTION("""COMPUTED_VALUE"""),"AISFP blog posts")</f>
        <v>AISFP blog posts</v>
      </c>
      <c r="B307" t="str">
        <f>IFERROR(__xludf.DUMMYFUNCTION("""COMPUTED_VALUE"""),"")</f>
        <v/>
      </c>
      <c r="C307" s="3" t="str">
        <f>IFERROR(__xludf.DUMMYFUNCTION("""COMPUTED_VALUE"""),"Decision-theoretic problems and Theories; An (Incomplete) comparative list")</f>
        <v>Decision-theoretic problems and Theories; An (Incomplete) comparative list</v>
      </c>
      <c r="D307" t="str">
        <f>IFERROR(__xludf.DUMMYFUNCTION("""COMPUTED_VALUE"""),"somervta")</f>
        <v>somervta</v>
      </c>
      <c r="E307" t="str">
        <f>IFERROR(__xludf.DUMMYFUNCTION("""COMPUTED_VALUE"""),"LessWrong")</f>
        <v>LessWrong</v>
      </c>
      <c r="F307">
        <f>IFERROR(__xludf.DUMMYFUNCTION("""COMPUTED_VALUE"""),2018.0)</f>
        <v>2018</v>
      </c>
      <c r="H307" s="3" t="str">
        <f>IFERROR(__xludf.DUMMYFUNCTION("""COMPUTED_VALUE"""),"AN #15")</f>
        <v>AN #15</v>
      </c>
      <c r="I307" t="str">
        <f>IFERROR(__xludf.DUMMYFUNCTION("""COMPUTED_VALUE"""),"Rohin")</f>
        <v>Rohin</v>
      </c>
      <c r="J307" t="str">
        <f>IFERROR(__xludf.DUMMYFUNCTION("""COMPUTED_VALUE"""),"It's just what it says in the title -- a list of problems in decision theory, and what particular decision theories recommend for those problems.")</f>
        <v>It's just what it says in the title -- a list of problems in decision theory, and what particular decision theories recommend for those problems.</v>
      </c>
    </row>
    <row r="308">
      <c r="A308" t="str">
        <f>IFERROR(__xludf.DUMMYFUNCTION("""COMPUTED_VALUE"""),"AISFP blog posts")</f>
        <v>AISFP blog posts</v>
      </c>
      <c r="B308" t="str">
        <f>IFERROR(__xludf.DUMMYFUNCTION("""COMPUTED_VALUE"""),"")</f>
        <v/>
      </c>
      <c r="C308" s="3" t="str">
        <f>IFERROR(__xludf.DUMMYFUNCTION("""COMPUTED_VALUE"""),"Dependent Type Theory and Zero-Shot Reasoning")</f>
        <v>Dependent Type Theory and Zero-Shot Reasoning</v>
      </c>
      <c r="D308" t="str">
        <f>IFERROR(__xludf.DUMMYFUNCTION("""COMPUTED_VALUE"""),"evhub")</f>
        <v>evhub</v>
      </c>
      <c r="E308" t="str">
        <f>IFERROR(__xludf.DUMMYFUNCTION("""COMPUTED_VALUE"""),"LessWrong")</f>
        <v>LessWrong</v>
      </c>
      <c r="F308">
        <f>IFERROR(__xludf.DUMMYFUNCTION("""COMPUTED_VALUE"""),2018.0)</f>
        <v>2018</v>
      </c>
      <c r="H308" s="3" t="str">
        <f>IFERROR(__xludf.DUMMYFUNCTION("""COMPUTED_VALUE"""),"AN #15")</f>
        <v>AN #15</v>
      </c>
      <c r="I308" t="str">
        <f>IFERROR(__xludf.DUMMYFUNCTION("""COMPUTED_VALUE"""),"Rohin")</f>
        <v>Rohin</v>
      </c>
      <c r="J308" t="str">
        <f>IFERROR(__xludf.DUMMYFUNCTION("""COMPUTED_VALUE"""),"Humans can do zero-shot reasoning (in the sense of writing down proofs) by ""running a type checker in their head"" (analogous to theorem provers like Lean). The post gives an example of this, using Lean syntax. However, humans seem to have very different"&amp;" ways of thinking -- for example, you could either generate ideas for solutions to a problem, see if they work, and iterate, or you could start proving some facts about the problem, and keep on proving things until you have proved a solution. These feel l"&amp;"ike many-shot reasoning and zero-shot reasoning respectively, even though they are both attempting a zero-shot task. This is one way to understand the difference between Iterated distillation and amplification, and Agent foundations -- the former is many-"&amp;"shot and the latter is zero-shot, even though both are attempting a zero-shot task.")</f>
        <v>Humans can do zero-shot reasoning (in the sense of writing down proofs) by "running a type checker in their head" (analogous to theorem provers like Lean). The post gives an example of this, using Lean syntax. However, humans seem to have very different ways of thinking -- for example, you could either generate ideas for solutions to a problem, see if they work, and iterate, or you could start proving some facts about the problem, and keep on proving things until you have proved a solution. These feel like many-shot reasoning and zero-shot reasoning respectively, even though they are both attempting a zero-shot task. This is one way to understand the difference between Iterated distillation and amplification, and Agent foundations -- the former is many-shot and the latter is zero-shot, even though both are attempting a zero-shot task.</v>
      </c>
      <c r="K308" t="str">
        <f>IFERROR(__xludf.DUMMYFUNCTION("""COMPUTED_VALUE"""),"I found the part about how people prove things to be the most interesting part of the post, because my own method seems different from both. I usually alternate between searching for solutions, counterexamples to solutions, and proving that solutions must"&amp;" satisfy some property.")</f>
        <v>I found the part about how people prove things to be the most interesting part of the post, because my own method seems different from both. I usually alternate between searching for solutions, counterexamples to solutions, and proving that solutions must satisfy some property.</v>
      </c>
    </row>
    <row r="309">
      <c r="A309" t="str">
        <f>IFERROR(__xludf.DUMMYFUNCTION("""COMPUTED_VALUE"""),"AISFP blog posts")</f>
        <v>AISFP blog posts</v>
      </c>
      <c r="B309" t="str">
        <f>IFERROR(__xludf.DUMMYFUNCTION("""COMPUTED_VALUE"""),"")</f>
        <v/>
      </c>
      <c r="C309" s="3" t="str">
        <f>IFERROR(__xludf.DUMMYFUNCTION("""COMPUTED_VALUE"""),"Logical Uncertainty and Functional Decision Theory")</f>
        <v>Logical Uncertainty and Functional Decision Theory</v>
      </c>
      <c r="D309" t="str">
        <f>IFERROR(__xludf.DUMMYFUNCTION("""COMPUTED_VALUE"""),"swordsintoploughshares")</f>
        <v>swordsintoploughshares</v>
      </c>
      <c r="E309" t="str">
        <f>IFERROR(__xludf.DUMMYFUNCTION("""COMPUTED_VALUE"""),"LessWrong")</f>
        <v>LessWrong</v>
      </c>
      <c r="F309">
        <f>IFERROR(__xludf.DUMMYFUNCTION("""COMPUTED_VALUE"""),2018.0)</f>
        <v>2018</v>
      </c>
      <c r="H309" s="3" t="str">
        <f>IFERROR(__xludf.DUMMYFUNCTION("""COMPUTED_VALUE"""),"AN #15")</f>
        <v>AN #15</v>
      </c>
      <c r="I309" t="str">
        <f>IFERROR(__xludf.DUMMYFUNCTION("""COMPUTED_VALUE"""),"Rohin")</f>
        <v>Rohin</v>
      </c>
      <c r="J309" t="str">
        <f>IFERROR(__xludf.DUMMYFUNCTION("""COMPUTED_VALUE"""),"If an agent has logical uncertainty about what action it will take, then the agent seems more likely to reason about counterfactuals correctly. For example, this would likely solve the [5-and-10 problem](https://agentfoundations.org/item?id=1399). Without"&amp;" logical uncertainty, an agent that knows about itself can be one of many different fixed points, many of which can be quite bad.")</f>
        <v>If an agent has logical uncertainty about what action it will take, then the agent seems more likely to reason about counterfactuals correctly. For example, this would likely solve the [5-and-10 problem](https://agentfoundations.org/item?id=1399). Without logical uncertainty, an agent that knows about itself can be one of many different fixed points, many of which can be quite bad.</v>
      </c>
      <c r="K309" t="str">
        <f>IFERROR(__xludf.DUMMYFUNCTION("""COMPUTED_VALUE"""),"This isn't my area of expertise, but it seems right. It feels very weird to claim that having more knowledge makes you worse off in general, but doesn't seem impossible.")</f>
        <v>This isn't my area of expertise, but it seems right. It feels very weird to claim that having more knowledge makes you worse off in general, but doesn't seem impossible.</v>
      </c>
    </row>
    <row r="310">
      <c r="A310" t="str">
        <f>IFERROR(__xludf.DUMMYFUNCTION("""COMPUTED_VALUE"""),"AISFP blog posts")</f>
        <v>AISFP blog posts</v>
      </c>
      <c r="B310" t="str">
        <f>IFERROR(__xludf.DUMMYFUNCTION("""COMPUTED_VALUE"""),"")</f>
        <v/>
      </c>
      <c r="C310" s="3" t="str">
        <f>IFERROR(__xludf.DUMMYFUNCTION("""COMPUTED_VALUE"""),"Mathematical Mindset")</f>
        <v>Mathematical Mindset</v>
      </c>
      <c r="D310" t="str">
        <f>IFERROR(__xludf.DUMMYFUNCTION("""COMPUTED_VALUE"""),"komponisto")</f>
        <v>komponisto</v>
      </c>
      <c r="E310" t="str">
        <f>IFERROR(__xludf.DUMMYFUNCTION("""COMPUTED_VALUE"""),"LessWrong")</f>
        <v>LessWrong</v>
      </c>
      <c r="F310">
        <f>IFERROR(__xludf.DUMMYFUNCTION("""COMPUTED_VALUE"""),2018.0)</f>
        <v>2018</v>
      </c>
      <c r="H310" s="3" t="str">
        <f>IFERROR(__xludf.DUMMYFUNCTION("""COMPUTED_VALUE"""),"AN #15")</f>
        <v>AN #15</v>
      </c>
      <c r="I310" t="str">
        <f>IFERROR(__xludf.DUMMYFUNCTION("""COMPUTED_VALUE"""),"Rohin")</f>
        <v>Rohin</v>
      </c>
      <c r="J310" t="str">
        <f>IFERROR(__xludf.DUMMYFUNCTION("""COMPUTED_VALUE"""),"Introduces a new term, ""mathematical mindset"", which is about finding good _definitions_ or _models_ that make it easier for you to reason about them. For example, you expect proofs with a newer definition to be shorter or more general. Key quote: ""Hav"&amp;"ing a “mathematical mindset” means being comfortable with words being redefined. This is because it means being comfortable with models being upgraded -- in particular, with models being related and compared to each other: the activity of theorization.""")</f>
        <v>Introduces a new term, "mathematical mindset", which is about finding good _definitions_ or _models_ that make it easier for you to reason about them. For example, you expect proofs with a newer definition to be shorter or more general. Key quote: "Having a “mathematical mindset” means being comfortable with words being redefined. This is because it means being comfortable with models being upgraded -- in particular, with models being related and compared to each other: the activity of theorization."</v>
      </c>
      <c r="K310" t="str">
        <f>IFERROR(__xludf.DUMMYFUNCTION("""COMPUTED_VALUE"""),"I'm all for having better definitions that make things clearer and easier to reason about. I don't know if ""ease of proofs"" is the right thing to aim for -- ""ease of reasoning"" is closer to what I care about, even if it's informal reasoning.")</f>
        <v>I'm all for having better definitions that make things clearer and easier to reason about. I don't know if "ease of proofs" is the right thing to aim for -- "ease of reasoning" is closer to what I care about, even if it's informal reasoning.</v>
      </c>
    </row>
    <row r="311">
      <c r="A311" t="str">
        <f>IFERROR(__xludf.DUMMYFUNCTION("""COMPUTED_VALUE"""),"AISFP blog posts")</f>
        <v>AISFP blog posts</v>
      </c>
      <c r="B311" t="str">
        <f>IFERROR(__xludf.DUMMYFUNCTION("""COMPUTED_VALUE"""),"")</f>
        <v/>
      </c>
      <c r="C311" s="3" t="str">
        <f>IFERROR(__xludf.DUMMYFUNCTION("""COMPUTED_VALUE"""),"Monk Treehouse: some problems defining simulation")</f>
        <v>Monk Treehouse: some problems defining simulation</v>
      </c>
      <c r="D311" t="str">
        <f>IFERROR(__xludf.DUMMYFUNCTION("""COMPUTED_VALUE"""),"dranorter")</f>
        <v>dranorter</v>
      </c>
      <c r="E311" t="str">
        <f>IFERROR(__xludf.DUMMYFUNCTION("""COMPUTED_VALUE"""),"LessWrong")</f>
        <v>LessWrong</v>
      </c>
      <c r="F311">
        <f>IFERROR(__xludf.DUMMYFUNCTION("""COMPUTED_VALUE"""),2018.0)</f>
        <v>2018</v>
      </c>
      <c r="H311" s="3" t="str">
        <f>IFERROR(__xludf.DUMMYFUNCTION("""COMPUTED_VALUE"""),"AN #15")</f>
        <v>AN #15</v>
      </c>
      <c r="I311" t="str">
        <f>IFERROR(__xludf.DUMMYFUNCTION("""COMPUTED_VALUE"""),"Rohin")</f>
        <v>Rohin</v>
      </c>
      <c r="J311" t="str">
        <f>IFERROR(__xludf.DUMMYFUNCTION("""COMPUTED_VALUE"""),"Some approaches to AI alignment require you to identify copies of programs in the environment, and it is not clear how to do this in full generality. Proposals so far have attempted to define two programs to be equivalent if they do the same thing now and"&amp;" would also do the same thing in counterfactual worlds. This post argues that such definitions don't work using an analogy where there are monks computing by moving heavy stones in a treehouse, that could unbalance it. In this setting, there are lots of c"&amp;"hecks and balances to make sure that the program does one and only one thing; any counterfactual you specify would lead to weird results (like the treehouse falling over from unbalanced stones, or monks noticing that something is off and correcting the re"&amp;"sult, etc.) and so it wouldn't be considered equivalent to the same program on a silicon-based computer.")</f>
        <v>Some approaches to AI alignment require you to identify copies of programs in the environment, and it is not clear how to do this in full generality. Proposals so far have attempted to define two programs to be equivalent if they do the same thing now and would also do the same thing in counterfactual worlds. This post argues that such definitions don't work using an analogy where there are monks computing by moving heavy stones in a treehouse, that could unbalance it. In this setting, there are lots of checks and balances to make sure that the program does one and only one thing; any counterfactual you specify would lead to weird results (like the treehouse falling over from unbalanced stones, or monks noticing that something is off and correcting the result, etc.) and so it wouldn't be considered equivalent to the same program on a silicon-based computer.</v>
      </c>
      <c r="K311" t="str">
        <f>IFERROR(__xludf.DUMMYFUNCTION("""COMPUTED_VALUE"""),"I don't know where a proposed definition is supposed to be used so it's hard for me to comment on how relevant this objection is.")</f>
        <v>I don't know where a proposed definition is supposed to be used so it's hard for me to comment on how relevant this objection is.</v>
      </c>
    </row>
    <row r="312">
      <c r="A312" t="str">
        <f>IFERROR(__xludf.DUMMYFUNCTION("""COMPUTED_VALUE"""),"AISFP blog posts")</f>
        <v>AISFP blog posts</v>
      </c>
      <c r="B312" t="str">
        <f>IFERROR(__xludf.DUMMYFUNCTION("""COMPUTED_VALUE"""),"")</f>
        <v/>
      </c>
      <c r="C312" s="3" t="str">
        <f>IFERROR(__xludf.DUMMYFUNCTION("""COMPUTED_VALUE"""),"No, I won't go there, it feels like you're trying to Pascal-mug me")</f>
        <v>No, I won't go there, it feels like you're trying to Pascal-mug me</v>
      </c>
      <c r="D312" t="str">
        <f>IFERROR(__xludf.DUMMYFUNCTION("""COMPUTED_VALUE"""),"Rupert")</f>
        <v>Rupert</v>
      </c>
      <c r="E312" t="str">
        <f>IFERROR(__xludf.DUMMYFUNCTION("""COMPUTED_VALUE"""),"LessWrong")</f>
        <v>LessWrong</v>
      </c>
      <c r="F312">
        <f>IFERROR(__xludf.DUMMYFUNCTION("""COMPUTED_VALUE"""),2018.0)</f>
        <v>2018</v>
      </c>
      <c r="H312" s="3" t="str">
        <f>IFERROR(__xludf.DUMMYFUNCTION("""COMPUTED_VALUE"""),"AN #15")</f>
        <v>AN #15</v>
      </c>
      <c r="I312" t="str">
        <f>IFERROR(__xludf.DUMMYFUNCTION("""COMPUTED_VALUE"""),"Rohin")</f>
        <v>Rohin</v>
      </c>
      <c r="J312" t="str">
        <f>IFERROR(__xludf.DUMMYFUNCTION("""COMPUTED_VALUE"""),"One explanation for why [Pascal's mugging](https://en.wikipedia.org/wiki/Pascal%27s_mugging) feels intuitively wrong is that if we were to pay the mugger, we would open ourselves up to exploitation by any other agent. [Logical induction](https://intellige"&amp;"nce.org/2016/09/12/new-paper-logical-induction/) puts uncertainties on statements in such a way that it isn't exploitable by polynomial-time traders. Perhaps there is a connection here that can help us create AIs that don't get mugged.")</f>
        <v>One explanation for why [Pascal's mugging](https://en.wikipedia.org/wiki/Pascal%27s_mugging) feels intuitively wrong is that if we were to pay the mugger, we would open ourselves up to exploitation by any other agent. [Logical induction](https://intelligence.org/2016/09/12/new-paper-logical-induction/) puts uncertainties on statements in such a way that it isn't exploitable by polynomial-time traders. Perhaps there is a connection here that can help us create AIs that don't get mugged.</v>
      </c>
      <c r="K312" t="str">
        <f>IFERROR(__xludf.DUMMYFUNCTION("""COMPUTED_VALUE"""),"Non-exploitability is my preferred resolution to Pascal's mugging. However, it seems like such an obvious solution, yet there's very little discussion of it, which makes me think that there's some fatal flaw that I'm not seeing.")</f>
        <v>Non-exploitability is my preferred resolution to Pascal's mugging. However, it seems like such an obvious solution, yet there's very little discussion of it, which makes me think that there's some fatal flaw that I'm not seeing.</v>
      </c>
    </row>
    <row r="313">
      <c r="A313" t="str">
        <f>IFERROR(__xludf.DUMMYFUNCTION("""COMPUTED_VALUE"""),"AISFP blog posts")</f>
        <v>AISFP blog posts</v>
      </c>
      <c r="B313" t="str">
        <f>IFERROR(__xludf.DUMMYFUNCTION("""COMPUTED_VALUE"""),"")</f>
        <v/>
      </c>
      <c r="C313" s="3" t="str">
        <f>IFERROR(__xludf.DUMMYFUNCTION("""COMPUTED_VALUE"""),"A universal score for optimizers")</f>
        <v>A universal score for optimizers</v>
      </c>
      <c r="D313" t="str">
        <f>IFERROR(__xludf.DUMMYFUNCTION("""COMPUTED_VALUE"""),"levin")</f>
        <v>levin</v>
      </c>
      <c r="E313" t="str">
        <f>IFERROR(__xludf.DUMMYFUNCTION("""COMPUTED_VALUE"""),"LessWrong")</f>
        <v>LessWrong</v>
      </c>
      <c r="F313">
        <f>IFERROR(__xludf.DUMMYFUNCTION("""COMPUTED_VALUE"""),2018.0)</f>
        <v>2018</v>
      </c>
      <c r="H313" s="3" t="str">
        <f>IFERROR(__xludf.DUMMYFUNCTION("""COMPUTED_VALUE"""),"AN #15")</f>
        <v>AN #15</v>
      </c>
      <c r="I313" t="str">
        <f>IFERROR(__xludf.DUMMYFUNCTION("""COMPUTED_VALUE"""),"Rohin")</f>
        <v>Rohin</v>
      </c>
      <c r="J313" t="str">
        <f>IFERROR(__xludf.DUMMYFUNCTION("""COMPUTED_VALUE"""),"We can measure the optimization power of an agent as the log probability that a random agent matches the outcome that the agent achieves.")</f>
        <v>We can measure the optimization power of an agent as the log probability that a random agent matches the outcome that the agent achieves.</v>
      </c>
      <c r="K313" t="str">
        <f>IFERROR(__xludf.DUMMYFUNCTION("""COMPUTED_VALUE"""),"Seems like a reasonable starting point to measure optimization power. As Alex Mennen [notes](https://www.lesswrong.com/posts/vWfFDahpnY3tnCLrp/a-universal-score-for-optimizers#e3Hsaqkc2xuWsHY2t), it's dependent on the specific action set chosen, and doesn"&amp;"'t take into account the strength of preferences, only their ranking.")</f>
        <v>Seems like a reasonable starting point to measure optimization power. As Alex Mennen [notes](https://www.lesswrong.com/posts/vWfFDahpnY3tnCLrp/a-universal-score-for-optimizers#e3Hsaqkc2xuWsHY2t), it's dependent on the specific action set chosen, and doesn't take into account the strength of preferences, only their ranking.</v>
      </c>
    </row>
    <row r="314">
      <c r="A314" t="str">
        <f>IFERROR(__xludf.DUMMYFUNCTION("""COMPUTED_VALUE"""),"AISFP blog posts")</f>
        <v>AISFP blog posts</v>
      </c>
      <c r="B314" t="str">
        <f>IFERROR(__xludf.DUMMYFUNCTION("""COMPUTED_VALUE"""),"")</f>
        <v/>
      </c>
      <c r="C314" s="3" t="str">
        <f>IFERROR(__xludf.DUMMYFUNCTION("""COMPUTED_VALUE"""),"Alignment problems for economists")</f>
        <v>Alignment problems for economists</v>
      </c>
      <c r="D314" t="str">
        <f>IFERROR(__xludf.DUMMYFUNCTION("""COMPUTED_VALUE"""),"Chavam")</f>
        <v>Chavam</v>
      </c>
      <c r="E314" t="str">
        <f>IFERROR(__xludf.DUMMYFUNCTION("""COMPUTED_VALUE"""),"LessWrong")</f>
        <v>LessWrong</v>
      </c>
      <c r="F314">
        <f>IFERROR(__xludf.DUMMYFUNCTION("""COMPUTED_VALUE"""),2018.0)</f>
        <v>2018</v>
      </c>
      <c r="H314" s="3" t="str">
        <f>IFERROR(__xludf.DUMMYFUNCTION("""COMPUTED_VALUE"""),"AN #15")</f>
        <v>AN #15</v>
      </c>
      <c r="I314" t="str">
        <f>IFERROR(__xludf.DUMMYFUNCTION("""COMPUTED_VALUE"""),"Rohin")</f>
        <v>Rohin</v>
      </c>
      <c r="J314" t="str">
        <f>IFERROR(__xludf.DUMMYFUNCTION("""COMPUTED_VALUE"""),"What AI alignment problems could we outsource to economists? There are some who would be interested in working on alignment, but don't because it would be too much of a career risk.")</f>
        <v>What AI alignment problems could we outsource to economists? There are some who would be interested in working on alignment, but don't because it would be too much of a career risk.</v>
      </c>
      <c r="K314" t="str">
        <f>IFERROR(__xludf.DUMMYFUNCTION("""COMPUTED_VALUE"""),"Unfortunately, the ""desirable properties"" for these problems all seem to conspire to make any particular problem fairly low impact.")</f>
        <v>Unfortunately, the "desirable properties" for these problems all seem to conspire to make any particular problem fairly low impact.</v>
      </c>
    </row>
    <row r="315">
      <c r="A315" t="str">
        <f>IFERROR(__xludf.DUMMYFUNCTION("""COMPUTED_VALUE"""),"AISFP blog posts")</f>
        <v>AISFP blog posts</v>
      </c>
      <c r="B315" t="str">
        <f>IFERROR(__xludf.DUMMYFUNCTION("""COMPUTED_VALUE"""),"")</f>
        <v/>
      </c>
      <c r="C315" s="3" t="str">
        <f>IFERROR(__xludf.DUMMYFUNCTION("""COMPUTED_VALUE"""),"Conceptual problems with utility functions")</f>
        <v>Conceptual problems with utility functions</v>
      </c>
      <c r="D315" t="str">
        <f>IFERROR(__xludf.DUMMYFUNCTION("""COMPUTED_VALUE"""),"Dacyn")</f>
        <v>Dacyn</v>
      </c>
      <c r="E315" t="str">
        <f>IFERROR(__xludf.DUMMYFUNCTION("""COMPUTED_VALUE"""),"LessWrong")</f>
        <v>LessWrong</v>
      </c>
      <c r="F315">
        <f>IFERROR(__xludf.DUMMYFUNCTION("""COMPUTED_VALUE"""),2018.0)</f>
        <v>2018</v>
      </c>
      <c r="H315" s="3" t="str">
        <f>IFERROR(__xludf.DUMMYFUNCTION("""COMPUTED_VALUE"""),"AN #15")</f>
        <v>AN #15</v>
      </c>
      <c r="I315" t="str">
        <f>IFERROR(__xludf.DUMMYFUNCTION("""COMPUTED_VALUE"""),"Rohin")</f>
        <v>Rohin</v>
      </c>
      <c r="J315" t="str">
        <f>IFERROR(__xludf.DUMMYFUNCTION("""COMPUTED_VALUE"""),"It's strange to use utility functions to model agents, because often utility functions do not determine the outcome in games with multiple agents, such as the Ultimatum game, and we have to resolve the situation with ""meta-values"" like fairness. So, ins"&amp;"tead of using utility functions, we need to have a conception of agency where the ""values"" are part of the decisionmaking process.")</f>
        <v>It's strange to use utility functions to model agents, because often utility functions do not determine the outcome in games with multiple agents, such as the Ultimatum game, and we have to resolve the situation with "meta-values" like fairness. So, instead of using utility functions, we need to have a conception of agency where the "values" are part of the decisionmaking process.</v>
      </c>
      <c r="K315" t="str">
        <f>IFERROR(__xludf.DUMMYFUNCTION("""COMPUTED_VALUE"""),"In any formally defined game where the agent has perfect information (including about other agents), utility functions do in fact determine what an agent should do -- but in many cases, this seems to go against our intuitions (as in the Ultimatum game, fo"&amp;"r example). I don't think that the way to resolve this is to introduce more values; I think it is that the maximization step in maximizing expected utility depends a lot on the environment you're in, and any formalization is going to miss out on some impo"&amp;"rtant aspects of the real world, leading to different answers. (For example, in a repeated Ultimatum game, I would expect fairness to arise naturally.)")</f>
        <v>In any formally defined game where the agent has perfect information (including about other agents), utility functions do in fact determine what an agent should do -- but in many cases, this seems to go against our intuitions (as in the Ultimatum game, for example). I don't think that the way to resolve this is to introduce more values; I think it is that the maximization step in maximizing expected utility depends a lot on the environment you're in, and any formalization is going to miss out on some important aspects of the real world, leading to different answers. (For example, in a repeated Ultimatum game, I would expect fairness to arise naturally.)</v>
      </c>
    </row>
    <row r="316">
      <c r="A316" t="str">
        <f>IFERROR(__xludf.DUMMYFUNCTION("""COMPUTED_VALUE"""),"AISFP blog posts")</f>
        <v>AISFP blog posts</v>
      </c>
      <c r="B316" t="str">
        <f>IFERROR(__xludf.DUMMYFUNCTION("""COMPUTED_VALUE"""),"")</f>
        <v/>
      </c>
      <c r="C316" s="3" t="str">
        <f>IFERROR(__xludf.DUMMYFUNCTION("""COMPUTED_VALUE"""),"On the Role of Counterfactuals in Learning")</f>
        <v>On the Role of Counterfactuals in Learning</v>
      </c>
      <c r="D316" t="str">
        <f>IFERROR(__xludf.DUMMYFUNCTION("""COMPUTED_VALUE"""),"Max Kanwal")</f>
        <v>Max Kanwal</v>
      </c>
      <c r="E316" t="str">
        <f>IFERROR(__xludf.DUMMYFUNCTION("""COMPUTED_VALUE"""),"LessWrong")</f>
        <v>LessWrong</v>
      </c>
      <c r="F316">
        <f>IFERROR(__xludf.DUMMYFUNCTION("""COMPUTED_VALUE"""),2018.0)</f>
        <v>2018</v>
      </c>
      <c r="H316" s="3" t="str">
        <f>IFERROR(__xludf.DUMMYFUNCTION("""COMPUTED_VALUE"""),"AN #15")</f>
        <v>AN #15</v>
      </c>
      <c r="I316" t="str">
        <f>IFERROR(__xludf.DUMMYFUNCTION("""COMPUTED_VALUE"""),"Rohin")</f>
        <v>Rohin</v>
      </c>
      <c r="J316" t="str">
        <f>IFERROR(__xludf.DUMMYFUNCTION("""COMPUTED_VALUE"""),"This post hypothesizes that since humans are computationally bounded, we infer causal models using approximate inference (eg. Gibbs sampling), as opposed to a full Bayesian update. However, approximate inference algorithms depend a lot on choosing a good "&amp;"initialization. Counterfactuals fill this role.")</f>
        <v>This post hypothesizes that since humans are computationally bounded, we infer causal models using approximate inference (eg. Gibbs sampling), as opposed to a full Bayesian update. However, approximate inference algorithms depend a lot on choosing a good initialization. Counterfactuals fill this role.</v>
      </c>
      <c r="K316" t="str">
        <f>IFERROR(__xludf.DUMMYFUNCTION("""COMPUTED_VALUE"""),"I think I've summarizes this post badly, because I didn't really understand it. In particular, I didn't understand the jump from ""humans do approximate inference over the space of models"" to ""counterfactuals form the initialization"".")</f>
        <v>I think I've summarizes this post badly, because I didn't really understand it. In particular, I didn't understand the jump from "humans do approximate inference over the space of models" to "counterfactuals form the initialization".</v>
      </c>
    </row>
    <row r="317">
      <c r="A317" t="str">
        <f>IFERROR(__xludf.DUMMYFUNCTION("""COMPUTED_VALUE"""),"AISFP blog posts")</f>
        <v>AISFP blog posts</v>
      </c>
      <c r="B317" t="str">
        <f>IFERROR(__xludf.DUMMYFUNCTION("""COMPUTED_VALUE"""),"")</f>
        <v/>
      </c>
      <c r="C317" s="3" t="str">
        <f>IFERROR(__xludf.DUMMYFUNCTION("""COMPUTED_VALUE"""),"The Intentional Agency Experiment")</f>
        <v>The Intentional Agency Experiment</v>
      </c>
      <c r="D317" t="str">
        <f>IFERROR(__xludf.DUMMYFUNCTION("""COMPUTED_VALUE"""),"Self-Embedded Agent")</f>
        <v>Self-Embedded Agent</v>
      </c>
      <c r="E317" t="str">
        <f>IFERROR(__xludf.DUMMYFUNCTION("""COMPUTED_VALUE"""),"LessWrong")</f>
        <v>LessWrong</v>
      </c>
      <c r="F317">
        <f>IFERROR(__xludf.DUMMYFUNCTION("""COMPUTED_VALUE"""),2018.0)</f>
        <v>2018</v>
      </c>
      <c r="H317" s="3" t="str">
        <f>IFERROR(__xludf.DUMMYFUNCTION("""COMPUTED_VALUE"""),"AN #15")</f>
        <v>AN #15</v>
      </c>
      <c r="I317" t="str">
        <f>IFERROR(__xludf.DUMMYFUNCTION("""COMPUTED_VALUE"""),"Rohin")</f>
        <v>Rohin</v>
      </c>
      <c r="J317" t="str">
        <f>IFERROR(__xludf.DUMMYFUNCTION("""COMPUTED_VALUE"""),"In order to determine whether an agent has some intention, we can check to see whether the agent would take actions that achieve the intent under a wide range of circumstances (either counterfactuals, or actual changes to the environment). For example, to"&amp;" show that an ant has agency and intends to find sugar, we could block its route to the sugar and notice that it finds a path around the obstacle.")</f>
        <v>In order to determine whether an agent has some intention, we can check to see whether the agent would take actions that achieve the intent under a wide range of circumstances (either counterfactuals, or actual changes to the environment). For example, to show that an ant has agency and intends to find sugar, we could block its route to the sugar and notice that it finds a path around the obstacle.</v>
      </c>
      <c r="K317" t="str">
        <f>IFERROR(__xludf.DUMMYFUNCTION("""COMPUTED_VALUE"""),"The motivation was to use this to deduce the intentions of a superintelligent AI system, but it seems that such an AI system could figure out it is being tested and respond in the ""expected"" way.")</f>
        <v>The motivation was to use this to deduce the intentions of a superintelligent AI system, but it seems that such an AI system could figure out it is being tested and respond in the "expected" way.</v>
      </c>
    </row>
    <row r="318">
      <c r="A318" t="str">
        <f>IFERROR(__xludf.DUMMYFUNCTION("""COMPUTED_VALUE"""),"AISFP blog posts")</f>
        <v>AISFP blog posts</v>
      </c>
      <c r="B318" t="str">
        <f>IFERROR(__xludf.DUMMYFUNCTION("""COMPUTED_VALUE"""),"")</f>
        <v/>
      </c>
      <c r="C318" s="3" t="str">
        <f>IFERROR(__xludf.DUMMYFUNCTION("""COMPUTED_VALUE"""),"Two agents can have the same source code and optimise different utility functions")</f>
        <v>Two agents can have the same source code and optimise different utility functions</v>
      </c>
      <c r="D318" t="str">
        <f>IFERROR(__xludf.DUMMYFUNCTION("""COMPUTED_VALUE"""),"Joar Skalse")</f>
        <v>Joar Skalse</v>
      </c>
      <c r="E318" t="str">
        <f>IFERROR(__xludf.DUMMYFUNCTION("""COMPUTED_VALUE"""),"LessWrong")</f>
        <v>LessWrong</v>
      </c>
      <c r="F318">
        <f>IFERROR(__xludf.DUMMYFUNCTION("""COMPUTED_VALUE"""),2018.0)</f>
        <v>2018</v>
      </c>
      <c r="H318" s="3" t="str">
        <f>IFERROR(__xludf.DUMMYFUNCTION("""COMPUTED_VALUE"""),"AN #15")</f>
        <v>AN #15</v>
      </c>
      <c r="I318" t="str">
        <f>IFERROR(__xludf.DUMMYFUNCTION("""COMPUTED_VALUE"""),"Rohin")</f>
        <v>Rohin</v>
      </c>
      <c r="J318" t="str">
        <f>IFERROR(__xludf.DUMMYFUNCTION("""COMPUTED_VALUE"""),"Even if you have two agents with identical source code, their goals are in relation to themselves, so each agent will, for example, try to gain resources for itself. Since the two agents are now competing, they clearly have different utility functions.")</f>
        <v>Even if you have two agents with identical source code, their goals are in relation to themselves, so each agent will, for example, try to gain resources for itself. Since the two agents are now competing, they clearly have different utility functions.</v>
      </c>
      <c r="K318" t="str">
        <f>IFERROR(__xludf.DUMMYFUNCTION("""COMPUTED_VALUE"""),"I'm somewhat confused -- I'm not sure what the point is here.")</f>
        <v>I'm somewhat confused -- I'm not sure what the point is here.</v>
      </c>
    </row>
    <row r="319">
      <c r="A319" t="str">
        <f>IFERROR(__xludf.DUMMYFUNCTION("""COMPUTED_VALUE"""),"Applications")</f>
        <v>Applications</v>
      </c>
      <c r="B319" t="str">
        <f>IFERROR(__xludf.DUMMYFUNCTION("""COMPUTED_VALUE"""),"")</f>
        <v/>
      </c>
      <c r="C319" s="3" t="str">
        <f>IFERROR(__xludf.DUMMYFUNCTION("""COMPUTED_VALUE"""),"AlphaFold: Using AI for scientific discovery")</f>
        <v>AlphaFold: Using AI for scientific discovery</v>
      </c>
      <c r="D319" t="str">
        <f>IFERROR(__xludf.DUMMYFUNCTION("""COMPUTED_VALUE"""),"Andrew Senior, John Jumper and Demis Hassabis")</f>
        <v>Andrew Senior, John Jumper and Demis Hassabis</v>
      </c>
      <c r="E319" t="str">
        <f>IFERROR(__xludf.DUMMYFUNCTION("""COMPUTED_VALUE"""),"DeepMind Blog")</f>
        <v>DeepMind Blog</v>
      </c>
      <c r="F319">
        <f>IFERROR(__xludf.DUMMYFUNCTION("""COMPUTED_VALUE"""),2018.0)</f>
        <v>2018</v>
      </c>
      <c r="H319" s="3" t="str">
        <f>IFERROR(__xludf.DUMMYFUNCTION("""COMPUTED_VALUE"""),"AN #36")</f>
        <v>AN #36</v>
      </c>
      <c r="I319" t="str">
        <f>IFERROR(__xludf.DUMMYFUNCTION("""COMPUTED_VALUE"""),"Rohin")</f>
        <v>Rohin</v>
      </c>
      <c r="J319" t="str">
        <f>IFERROR(__xludf.DUMMYFUNCTION("""COMPUTED_VALUE"""),"This post briefly describes AlphaFold, a system that does well at the protein folding problem. They train neural networks that can be used to evaluate how good a particular proposed protein structure is. This can be used to guide an evolutionary search th"&amp;"at repeatedly replaces pieces of a protein structure with new protein fragments from a generative model. Alternatively, it can be used to construct a loss function for entire proteins, which allows us to use gradient descent to optimize the protein struct"&amp;"ure.")</f>
        <v>This post briefly describes AlphaFold, a system that does well at the protein folding problem. They train neural networks that can be used to evaluate how good a particular proposed protein structure is. This can be used to guide an evolutionary search that repeatedly replaces pieces of a protein structure with new protein fragments from a generative model. Alternatively, it can be used to construct a loss function for entire proteins, which allows us to use gradient descent to optimize the protein structure.</v>
      </c>
      <c r="K319" t="str">
        <f>IFERROR(__xludf.DUMMYFUNCTION("""COMPUTED_VALUE"""),"The approach here is to learn heuristics that can guide a top-level search algorithm, which is the sort of thing that I think deep learning is particularly well poised to improve right now. Note that gradient descent is a top-level search algorithm here, "&amp;"because a separate loss function is constructed _for every protein_, rather than having a single loss function that is used to train a network that works on all proteins. However, unlike other applications such as SMT solvers, the top-level search algorit"&amp;"hm does not have some sort of ""correctness"" guarantee.")</f>
        <v>The approach here is to learn heuristics that can guide a top-level search algorithm, which is the sort of thing that I think deep learning is particularly well poised to improve right now. Note that gradient descent is a top-level search algorithm here, because a separate loss function is constructed _for every protein_, rather than having a single loss function that is used to train a network that works on all proteins. However, unlike other applications such as SMT solvers, the top-level search algorithm does not have some sort of "correctness" guarantee.</v>
      </c>
    </row>
    <row r="320">
      <c r="A320" t="str">
        <f>IFERROR(__xludf.DUMMYFUNCTION("""COMPUTED_VALUE"""),"Applications")</f>
        <v>Applications</v>
      </c>
      <c r="B320" t="str">
        <f>IFERROR(__xludf.DUMMYFUNCTION("""COMPUTED_VALUE"""),"")</f>
        <v/>
      </c>
      <c r="C320" s="3" t="str">
        <f>IFERROR(__xludf.DUMMYFUNCTION("""COMPUTED_VALUE"""),"Neural-Augmented Static Analysis of Android Communication")</f>
        <v>Neural-Augmented Static Analysis of Android Communication</v>
      </c>
      <c r="D320" t="str">
        <f>IFERROR(__xludf.DUMMYFUNCTION("""COMPUTED_VALUE"""),"Jinman Zhao, Aws Albarghouthi, Vaibhav Rastogi, Somesh Jha, Damien Octeau")</f>
        <v>Jinman Zhao, Aws Albarghouthi, Vaibhav Rastogi, Somesh Jha, Damien Octeau</v>
      </c>
      <c r="E320" t="str">
        <f>IFERROR(__xludf.DUMMYFUNCTION("""COMPUTED_VALUE"""),"COLING 2018")</f>
        <v>COLING 2018</v>
      </c>
      <c r="F320">
        <f>IFERROR(__xludf.DUMMYFUNCTION("""COMPUTED_VALUE"""),2018.0)</f>
        <v>2018</v>
      </c>
      <c r="H320" s="3" t="str">
        <f>IFERROR(__xludf.DUMMYFUNCTION("""COMPUTED_VALUE"""),"AN #25")</f>
        <v>AN #25</v>
      </c>
    </row>
    <row r="321">
      <c r="A321" t="str">
        <f>IFERROR(__xludf.DUMMYFUNCTION("""COMPUTED_VALUE"""),"Applications")</f>
        <v>Applications</v>
      </c>
      <c r="B321" t="str">
        <f>IFERROR(__xludf.DUMMYFUNCTION("""COMPUTED_VALUE"""),"")</f>
        <v/>
      </c>
      <c r="C321" s="3" t="str">
        <f>IFERROR(__xludf.DUMMYFUNCTION("""COMPUTED_VALUE"""),"LIFT: Reinforcement Learning in Computer Systems by Learning From Demonstrations")</f>
        <v>LIFT: Reinforcement Learning in Computer Systems by Learning From Demonstrations</v>
      </c>
      <c r="D321" t="str">
        <f>IFERROR(__xludf.DUMMYFUNCTION("""COMPUTED_VALUE"""),"Michael Schaarschmidt, Alexander Kuhnle, Ben Ellis, Kai Fricke, Felix Gessert, Eiko Yoneki")</f>
        <v>Michael Schaarschmidt, Alexander Kuhnle, Ben Ellis, Kai Fricke, Felix Gessert, Eiko Yoneki</v>
      </c>
      <c r="E321" t="str">
        <f>IFERROR(__xludf.DUMMYFUNCTION("""COMPUTED_VALUE"""),"ICLR 2018")</f>
        <v>ICLR 2018</v>
      </c>
      <c r="F321">
        <f>IFERROR(__xludf.DUMMYFUNCTION("""COMPUTED_VALUE"""),2018.0)</f>
        <v>2018</v>
      </c>
      <c r="H321" s="3" t="str">
        <f>IFERROR(__xludf.DUMMYFUNCTION("""COMPUTED_VALUE"""),"AN #22")</f>
        <v>AN #22</v>
      </c>
    </row>
    <row r="322">
      <c r="A322" t="str">
        <f>IFERROR(__xludf.DUMMYFUNCTION("""COMPUTED_VALUE"""),"Applications")</f>
        <v>Applications</v>
      </c>
      <c r="B322" t="str">
        <f>IFERROR(__xludf.DUMMYFUNCTION("""COMPUTED_VALUE"""),"")</f>
        <v/>
      </c>
      <c r="C322" s="3" t="str">
        <f>IFERROR(__xludf.DUMMYFUNCTION("""COMPUTED_VALUE"""),"A major milestone for the treatment of eye disease")</f>
        <v>A major milestone for the treatment of eye disease</v>
      </c>
      <c r="D322" t="str">
        <f>IFERROR(__xludf.DUMMYFUNCTION("""COMPUTED_VALUE"""),"Mustafa Suleyman")</f>
        <v>Mustafa Suleyman</v>
      </c>
      <c r="E322" t="str">
        <f>IFERROR(__xludf.DUMMYFUNCTION("""COMPUTED_VALUE"""),"DeepMind Blog")</f>
        <v>DeepMind Blog</v>
      </c>
      <c r="F322">
        <f>IFERROR(__xludf.DUMMYFUNCTION("""COMPUTED_VALUE"""),2018.0)</f>
        <v>2018</v>
      </c>
      <c r="H322" s="3" t="str">
        <f>IFERROR(__xludf.DUMMYFUNCTION("""COMPUTED_VALUE"""),"AN #20")</f>
        <v>AN #20</v>
      </c>
      <c r="I322" t="str">
        <f>IFERROR(__xludf.DUMMYFUNCTION("""COMPUTED_VALUE"""),"Rohin")</f>
        <v>Rohin</v>
      </c>
      <c r="J322" t="str">
        <f>IFERROR(__xludf.DUMMYFUNCTION("""COMPUTED_VALUE"""),"DeepMind's partnership with Moorfields Eye Hospital has resulted in an AI system that can recognize features of eye disease and recommend treatment. Interestingly, in order to get interpretability, they train two networks instead of one, where one predict"&amp;"s the features of eye disease for all of the tissue (eg. haemorrhages, lesions and irregular fluids), and the other then makes a recommendation for treatment. This required them to label a subset of the dataset with feature markers in order to train the f"&amp;"irst model.")</f>
        <v>DeepMind's partnership with Moorfields Eye Hospital has resulted in an AI system that can recognize features of eye disease and recommend treatment. Interestingly, in order to get interpretability, they train two networks instead of one, where one predicts the features of eye disease for all of the tissue (eg. haemorrhages, lesions and irregular fluids), and the other then makes a recommendation for treatment. This required them to label a subset of the dataset with feature markers in order to train the first model.</v>
      </c>
      <c r="K322" t="str">
        <f>IFERROR(__xludf.DUMMYFUNCTION("""COMPUTED_VALUE"""),"As interpretability goes, using a modular model with human-interpretable intermediate representations seems quite good -- it decouples the problem of understanding the model's output into two smaller problems. The big downside is that it requires a lot mo"&amp;"re labeling (877 segmented images in this case), and that the human-interpretable representation may not be the best one for the job. For example, if there are other visual cues besides the specific features DeepMind used that help with recommending treat"&amp;"ment, this model will not be able to take advantage of them, while an end-to-end trained system could.")</f>
        <v>As interpretability goes, using a modular model with human-interpretable intermediate representations seems quite good -- it decouples the problem of understanding the model's output into two smaller problems. The big downside is that it requires a lot more labeling (877 segmented images in this case), and that the human-interpretable representation may not be the best one for the job. For example, if there are other visual cues besides the specific features DeepMind used that help with recommending treatment, this model will not be able to take advantage of them, while an end-to-end trained system could.</v>
      </c>
    </row>
    <row r="323">
      <c r="A323" t="str">
        <f>IFERROR(__xludf.DUMMYFUNCTION("""COMPUTED_VALUE"""),"Applications")</f>
        <v>Applications</v>
      </c>
      <c r="B323" t="str">
        <f>IFERROR(__xludf.DUMMYFUNCTION("""COMPUTED_VALUE"""),"")</f>
        <v/>
      </c>
      <c r="C323" s="3" t="str">
        <f>IFERROR(__xludf.DUMMYFUNCTION("""COMPUTED_VALUE"""),"The Machine Learning Behind Android Smart Linkify")</f>
        <v>The Machine Learning Behind Android Smart Linkify</v>
      </c>
      <c r="D323" t="str">
        <f>IFERROR(__xludf.DUMMYFUNCTION("""COMPUTED_VALUE"""),"Lukas Zilka")</f>
        <v>Lukas Zilka</v>
      </c>
      <c r="E323" t="str">
        <f>IFERROR(__xludf.DUMMYFUNCTION("""COMPUTED_VALUE"""),"Google AI Blog")</f>
        <v>Google AI Blog</v>
      </c>
      <c r="F323">
        <f>IFERROR(__xludf.DUMMYFUNCTION("""COMPUTED_VALUE"""),2018.0)</f>
        <v>2018</v>
      </c>
      <c r="H323" s="3" t="str">
        <f>IFERROR(__xludf.DUMMYFUNCTION("""COMPUTED_VALUE"""),"AN #19")</f>
        <v>AN #19</v>
      </c>
      <c r="I323" t="str">
        <f>IFERROR(__xludf.DUMMYFUNCTION("""COMPUTED_VALUE"""),"Rohin")</f>
        <v>Rohin</v>
      </c>
      <c r="J323" t="str">
        <f>IFERROR(__xludf.DUMMYFUNCTION("""COMPUTED_VALUE"""),"Android now has Smart Linkify technology, which allows it to automatically find pieces of text that should link to another app (for example, addresses should link to Maps, dates and times to Calendar, etc). There are a lot of interesting details on what h"&amp;"ad to be done to get this to actually work in the real world. The system has two separate nets -- one which generates candidate entities, and another which says what kind of entity each one is. In between these two nets, we have a regular program that tak"&amp;"es the set of proposed entities, and prunes it so that no two entities overlap, and then sends it off to the entity classification net. There are a few tricks to get the memory requirements down, and many dataset augmentation tricks to get the nets to lea"&amp;"rn particular rules that it would not otherwise have learned.")</f>
        <v>Android now has Smart Linkify technology, which allows it to automatically find pieces of text that should link to another app (for example, addresses should link to Maps, dates and times to Calendar, etc). There are a lot of interesting details on what had to be done to get this to actually work in the real world. The system has two separate nets -- one which generates candidate entities, and another which says what kind of entity each one is. In between these two nets, we have a regular program that takes the set of proposed entities, and prunes it so that no two entities overlap, and then sends it off to the entity classification net. There are a few tricks to get the memory requirements down, and many dataset augmentation tricks to get the nets to learn particular rules that it would not otherwise have learned.</v>
      </c>
      <c r="K323" t="str">
        <f>IFERROR(__xludf.DUMMYFUNCTION("""COMPUTED_VALUE"""),"I take this as an example of what advanced AI systems will look like -- a system of different modules, each with its own job, passing around information appropriately in order to perform some broad task. Some of the modules could be neural nets (which can"&amp;" learn hard-to-program functions), while others could be classic programs (which generalize much better and are more efficient). OpenAI Five also has elements of this -- the drafting system is a classic program operating on the win probabilities from the "&amp;"neural net. It's also interesting how many tricks are required to get Smart Linkify to work -- I don't know whether to think that this means generally intelligent AI is further away, or that the generally intelligent AI that we build will rely on these so"&amp;"rts of tricks.")</f>
        <v>I take this as an example of what advanced AI systems will look like -- a system of different modules, each with its own job, passing around information appropriately in order to perform some broad task. Some of the modules could be neural nets (which can learn hard-to-program functions), while others could be classic programs (which generalize much better and are more efficient). OpenAI Five also has elements of this -- the drafting system is a classic program operating on the win probabilities from the neural net. It's also interesting how many tricks are required to get Smart Linkify to work -- I don't know whether to think that this means generally intelligent AI is further away, or that the generally intelligent AI that we build will rely on these sorts of tricks.</v>
      </c>
    </row>
    <row r="324">
      <c r="A324" t="str">
        <f>IFERROR(__xludf.DUMMYFUNCTION("""COMPUTED_VALUE"""),"Applications")</f>
        <v>Applications</v>
      </c>
      <c r="B324" t="str">
        <f>IFERROR(__xludf.DUMMYFUNCTION("""COMPUTED_VALUE"""),"")</f>
        <v/>
      </c>
      <c r="C324" s="3" t="str">
        <f>IFERROR(__xludf.DUMMYFUNCTION("""COMPUTED_VALUE"""),"Tackling Climate Change with Machine Learning")</f>
        <v>Tackling Climate Change with Machine Learning</v>
      </c>
      <c r="D324" t="str">
        <f>IFERROR(__xludf.DUMMYFUNCTION("""COMPUTED_VALUE"""),"David Rolnick, Priya L. Donti, Lynn H. Kaack, Kelly Kochanski, Alexandre Lacoste, Kris Sankaran, Andrew Slavin Ross, Nikola Milojevic-Dupont, Natasha Jaques, Anna Waldman-Brown, Alexandra Luccioni, Tegan Maharaj, Evan D. Sherwin, S. Karthik Mukkavilli, Ko"&amp;"nrad P. Kording, Carla Gomes, Andrew Y. Ng, Demis Hassabis, John C. Platt, Felix Creutzig, Jennifer Chayes, Yoshua Bengio")</f>
        <v>David Rolnick, Priya L. Donti, Lynn H. Kaack, Kelly Kochanski, Alexandre Lacoste, Kris Sankaran, Andrew Slavin Ross, Nikola Milojevic-Dupont, Natasha Jaques, Anna Waldman-Brown, Alexandra Luccioni, Tegan Maharaj, Evan D. Sherwin, S. Karthik Mukkavilli, Konrad P. Kording, Carla Gomes, Andrew Y. Ng, Demis Hassabis, John C. Platt, Felix Creutzig, Jennifer Chayes, Yoshua Bengio</v>
      </c>
      <c r="E324" t="str">
        <f>IFERROR(__xludf.DUMMYFUNCTION("""COMPUTED_VALUE"""),"arXiv")</f>
        <v>arXiv</v>
      </c>
      <c r="F324">
        <f>IFERROR(__xludf.DUMMYFUNCTION("""COMPUTED_VALUE"""),2019.0)</f>
        <v>2019</v>
      </c>
      <c r="H324" s="3" t="str">
        <f>IFERROR(__xludf.DUMMYFUNCTION("""COMPUTED_VALUE"""),"AN #65")</f>
        <v>AN #65</v>
      </c>
      <c r="I324" t="str">
        <f>IFERROR(__xludf.DUMMYFUNCTION("""COMPUTED_VALUE"""),"Rohin")</f>
        <v>Rohin</v>
      </c>
      <c r="J324" t="str">
        <f>IFERROR(__xludf.DUMMYFUNCTION("""COMPUTED_VALUE"""),"See [Import AI](https://jack-clark.net/2019/06/17/import-ai-151-us-army-trains-starcraft-ii-ai-teaching-drones-to-dodge-thrown-objects-and-fighting-climate-change-with-machine-learning/).")</f>
        <v>See [Import AI](https://jack-clark.net/2019/06/17/import-ai-151-us-army-trains-starcraft-ii-ai-teaching-drones-to-dodge-thrown-objects-and-fighting-climate-change-with-machine-learning/).</v>
      </c>
    </row>
    <row r="325">
      <c r="A325" t="str">
        <f>IFERROR(__xludf.DUMMYFUNCTION("""COMPUTED_VALUE"""),"Applications")</f>
        <v>Applications</v>
      </c>
      <c r="B325" t="str">
        <f>IFERROR(__xludf.DUMMYFUNCTION("""COMPUTED_VALUE"""),"")</f>
        <v/>
      </c>
      <c r="C325" s="3" t="str">
        <f>IFERROR(__xludf.DUMMYFUNCTION("""COMPUTED_VALUE"""),"Challenges of Real-World Reinforcement Learning")</f>
        <v>Challenges of Real-World Reinforcement Learning</v>
      </c>
      <c r="D325" t="str">
        <f>IFERROR(__xludf.DUMMYFUNCTION("""COMPUTED_VALUE"""),"Gabriel Dulac-Arnold, Daniel Mankowitz, Todd Hester")</f>
        <v>Gabriel Dulac-Arnold, Daniel Mankowitz, Todd Hester</v>
      </c>
      <c r="E325" t="str">
        <f>IFERROR(__xludf.DUMMYFUNCTION("""COMPUTED_VALUE"""),"arXiv")</f>
        <v>arXiv</v>
      </c>
      <c r="F325">
        <f>IFERROR(__xludf.DUMMYFUNCTION("""COMPUTED_VALUE"""),2019.0)</f>
        <v>2019</v>
      </c>
      <c r="H325" s="3" t="str">
        <f>IFERROR(__xludf.DUMMYFUNCTION("""COMPUTED_VALUE"""),"AN #57")</f>
        <v>AN #57</v>
      </c>
      <c r="I325" t="str">
        <f>IFERROR(__xludf.DUMMYFUNCTION("""COMPUTED_VALUE"""),"Cody")</f>
        <v>Cody</v>
      </c>
      <c r="J325" t="str">
        <f>IFERROR(__xludf.DUMMYFUNCTION("""COMPUTED_VALUE"""),"This paper is a fairly clear and well-done literature review focusing on the difficulties that will need to be overcome in order to train and deploy reinforcement learning on real-world problems. They describe each of these challenges - which range from s"&amp;"low simulation speeds, to the need to frequently learn off-policy, to the importance of safety in real world systems - and for each propose or refer to an existing metric to capture how well a given RL model addresses the challenge. Finally, they propose "&amp;"a modified version of a humanoid environment with some of these real-world-style challenges baked in, and encourage other researchers to test systems within this framework. ")</f>
        <v>This paper is a fairly clear and well-done literature review focusing on the difficulties that will need to be overcome in order to train and deploy reinforcement learning on real-world problems. They describe each of these challenges - which range from slow simulation speeds, to the need to frequently learn off-policy, to the importance of safety in real world systems - and for each propose or refer to an existing metric to capture how well a given RL model addresses the challenge. Finally, they propose a modified version of a humanoid environment with some of these real-world-style challenges baked in, and encourage other researchers to test systems within this framework. </v>
      </c>
      <c r="K325" t="str">
        <f>IFERROR(__xludf.DUMMYFUNCTION("""COMPUTED_VALUE"""),"This is a great introduction and overview for people who want to better understand the gaps between current RL and practically deployable RL. I do wish the authors had spent more time explaining and clarifying the design of their proposed testbed system, "&amp;"since the descriptions of it are all fairly high level. ")</f>
        <v>This is a great introduction and overview for people who want to better understand the gaps between current RL and practically deployable RL. I do wish the authors had spent more time explaining and clarifying the design of their proposed testbed system, since the descriptions of it are all fairly high level. </v>
      </c>
    </row>
    <row r="326">
      <c r="A326" t="str">
        <f>IFERROR(__xludf.DUMMYFUNCTION("""COMPUTED_VALUE"""),"Applications")</f>
        <v>Applications</v>
      </c>
      <c r="B326" t="str">
        <f>IFERROR(__xludf.DUMMYFUNCTION("""COMPUTED_VALUE"""),"")</f>
        <v/>
      </c>
      <c r="C326" s="3" t="str">
        <f>IFERROR(__xludf.DUMMYFUNCTION("""COMPUTED_VALUE"""),"Applying Deep Learning To Airbnb Search")</f>
        <v>Applying Deep Learning To Airbnb Search</v>
      </c>
      <c r="D326" t="str">
        <f>IFERROR(__xludf.DUMMYFUNCTION("""COMPUTED_VALUE"""),"Malay Haldar")</f>
        <v>Malay Haldar</v>
      </c>
      <c r="E326" t="str">
        <f>IFERROR(__xludf.DUMMYFUNCTION("""COMPUTED_VALUE"""),"arXiv")</f>
        <v>arXiv</v>
      </c>
      <c r="F326">
        <f>IFERROR(__xludf.DUMMYFUNCTION("""COMPUTED_VALUE"""),2018.0)</f>
        <v>2018</v>
      </c>
      <c r="H326" s="3" t="str">
        <f>IFERROR(__xludf.DUMMYFUNCTION("""COMPUTED_VALUE"""),"AN #30")</f>
        <v>AN #30</v>
      </c>
    </row>
    <row r="327">
      <c r="A327" t="str">
        <f>IFERROR(__xludf.DUMMYFUNCTION("""COMPUTED_VALUE"""),"Applications")</f>
        <v>Applications</v>
      </c>
      <c r="B327" t="str">
        <f>IFERROR(__xludf.DUMMYFUNCTION("""COMPUTED_VALUE"""),"")</f>
        <v/>
      </c>
      <c r="C327" s="3" t="str">
        <f>IFERROR(__xludf.DUMMYFUNCTION("""COMPUTED_VALUE"""),"Learning Scheduling Algorithms for Data Processing Clusters")</f>
        <v>Learning Scheduling Algorithms for Data Processing Clusters</v>
      </c>
      <c r="D327" t="str">
        <f>IFERROR(__xludf.DUMMYFUNCTION("""COMPUTED_VALUE"""),"Hongzi Mao, Malte Schwarzkopf, Shaileshh Bojja Venkatakrishnan, Zili Meng, Mohammad Alizadeh")</f>
        <v>Hongzi Mao, Malte Schwarzkopf, Shaileshh Bojja Venkatakrishnan, Zili Meng, Mohammad Alizadeh</v>
      </c>
      <c r="E327" t="str">
        <f>IFERROR(__xludf.DUMMYFUNCTION("""COMPUTED_VALUE"""),"AAAI-AIES2019")</f>
        <v>AAAI-AIES2019</v>
      </c>
      <c r="F327">
        <f>IFERROR(__xludf.DUMMYFUNCTION("""COMPUTED_VALUE"""),2018.0)</f>
        <v>2018</v>
      </c>
      <c r="H327" s="3" t="str">
        <f>IFERROR(__xludf.DUMMYFUNCTION("""COMPUTED_VALUE"""),"AN #28")</f>
        <v>AN #28</v>
      </c>
    </row>
    <row r="328">
      <c r="A328" t="str">
        <f>IFERROR(__xludf.DUMMYFUNCTION("""COMPUTED_VALUE"""),"Applications")</f>
        <v>Applications</v>
      </c>
      <c r="B328" t="str">
        <f>IFERROR(__xludf.DUMMYFUNCTION("""COMPUTED_VALUE"""),"")</f>
        <v/>
      </c>
      <c r="C328" s="3" t="str">
        <f>IFERROR(__xludf.DUMMYFUNCTION("""COMPUTED_VALUE"""),"Predicted Variables in Programming ")</f>
        <v>Predicted Variables in Programming </v>
      </c>
      <c r="D328" t="str">
        <f>IFERROR(__xludf.DUMMYFUNCTION("""COMPUTED_VALUE"""),"Victor Carbune, Thierry Coppey, Alexander Daryin, Thomas Deselaers, Nikhil Sarda, Jay Yagnik")</f>
        <v>Victor Carbune, Thierry Coppey, Alexander Daryin, Thomas Deselaers, Nikhil Sarda, Jay Yagnik</v>
      </c>
      <c r="E328" t="str">
        <f>IFERROR(__xludf.DUMMYFUNCTION("""COMPUTED_VALUE"""),"arXiv")</f>
        <v>arXiv</v>
      </c>
      <c r="F328">
        <f>IFERROR(__xludf.DUMMYFUNCTION("""COMPUTED_VALUE"""),2018.0)</f>
        <v>2018</v>
      </c>
      <c r="H328" s="3" t="str">
        <f>IFERROR(__xludf.DUMMYFUNCTION("""COMPUTED_VALUE"""),"AN #27")</f>
        <v>AN #27</v>
      </c>
    </row>
    <row r="329">
      <c r="A329" t="str">
        <f>IFERROR(__xludf.DUMMYFUNCTION("""COMPUTED_VALUE"""),"Critiques (AI)")</f>
        <v>Critiques (AI)</v>
      </c>
      <c r="B329" t="str">
        <f>IFERROR(__xludf.DUMMYFUNCTION("""COMPUTED_VALUE"""),"")</f>
        <v/>
      </c>
      <c r="C329" s="3" t="str">
        <f>IFERROR(__xludf.DUMMYFUNCTION("""COMPUTED_VALUE"""),"Evidence against current methods leading to human level artificial intelligence")</f>
        <v>Evidence against current methods leading to human level artificial intelligence</v>
      </c>
      <c r="D329" t="str">
        <f>IFERROR(__xludf.DUMMYFUNCTION("""COMPUTED_VALUE"""),"Asya Bergal and Robert Long")</f>
        <v>Asya Bergal and Robert Long</v>
      </c>
      <c r="E329" t="str">
        <f>IFERROR(__xludf.DUMMYFUNCTION("""COMPUTED_VALUE"""),"AI Impacts")</f>
        <v>AI Impacts</v>
      </c>
      <c r="F329">
        <f>IFERROR(__xludf.DUMMYFUNCTION("""COMPUTED_VALUE"""),2019.0)</f>
        <v>2019</v>
      </c>
      <c r="H329" s="3" t="str">
        <f>IFERROR(__xludf.DUMMYFUNCTION("""COMPUTED_VALUE"""),"AN #62")</f>
        <v>AN #62</v>
      </c>
      <c r="I329" t="str">
        <f>IFERROR(__xludf.DUMMYFUNCTION("""COMPUTED_VALUE"""),"Rohin")</f>
        <v>Rohin</v>
      </c>
      <c r="J329" t="str">
        <f>IFERROR(__xludf.DUMMYFUNCTION("""COMPUTED_VALUE"""),"This post briefly lists arguments that current AI techniques will not lead to high-level machine intelligence (HLMI), without taking a stance on how strong these arguments are.")</f>
        <v>This post briefly lists arguments that current AI techniques will not lead to high-level machine intelligence (HLMI), without taking a stance on how strong these arguments are.</v>
      </c>
    </row>
    <row r="330">
      <c r="A330" t="str">
        <f>IFERROR(__xludf.DUMMYFUNCTION("""COMPUTED_VALUE"""),"Critiques (AI)")</f>
        <v>Critiques (AI)</v>
      </c>
      <c r="B330" t="str">
        <f>IFERROR(__xludf.DUMMYFUNCTION("""COMPUTED_VALUE"""),"")</f>
        <v/>
      </c>
      <c r="C330" s="3" t="str">
        <f>IFERROR(__xludf.DUMMYFUNCTION("""COMPUTED_VALUE"""),"Artificial Intelligence — The Revolution Hasn’t Happened Yet")</f>
        <v>Artificial Intelligence — The Revolution Hasn’t Happened Yet</v>
      </c>
      <c r="D330" t="str">
        <f>IFERROR(__xludf.DUMMYFUNCTION("""COMPUTED_VALUE"""),"Michael Jordan")</f>
        <v>Michael Jordan</v>
      </c>
      <c r="E330" t="str">
        <f>IFERROR(__xludf.DUMMYFUNCTION("""COMPUTED_VALUE"""),"Medium")</f>
        <v>Medium</v>
      </c>
      <c r="F330">
        <f>IFERROR(__xludf.DUMMYFUNCTION("""COMPUTED_VALUE"""),2018.0)</f>
        <v>2018</v>
      </c>
      <c r="H330" s="3" t="str">
        <f>IFERROR(__xludf.DUMMYFUNCTION("""COMPUTED_VALUE"""),"AN #3")</f>
        <v>AN #3</v>
      </c>
      <c r="I330" t="str">
        <f>IFERROR(__xludf.DUMMYFUNCTION("""COMPUTED_VALUE"""),"Rohin")</f>
        <v>Rohin</v>
      </c>
      <c r="J330" t="str">
        <f>IFERROR(__xludf.DUMMYFUNCTION("""COMPUTED_VALUE"""),"There is a lot of hype at the moment around AI, particularly around creating AI systems that have human intelligence, since the thrill (and fear) of creating human intelligence in silicon causes overexuberance and excessive media attention. However, we _a"&amp;"ctually_ want to create AI systems that can help us improve our lives, often by doing things that humans are not capable of. In order to accomplish this, it is likely better to work directly on these problems, since human-like intelligence is neither nece"&amp;"ssary nor sufficient to build such systems. However, as with all new technologies, there are associated challenges and opportunities with these AI systems, and we are currently at risk of not seeing these because we are too focused on human intelligence i"&amp;"n particular.")</f>
        <v>There is a lot of hype at the moment around AI, particularly around creating AI systems that have human intelligence, since the thrill (and fear) of creating human intelligence in silicon causes overexuberance and excessive media attention. However, we _actually_ want to create AI systems that can help us improve our lives, often by doing things that humans are not capable of. In order to accomplish this, it is likely better to work directly on these problems, since human-like intelligence is neither necessary nor sufficient to build such systems. However, as with all new technologies, there are associated challenges and opportunities with these AI systems, and we are currently at risk of not seeing these because we are too focused on human intelligence in particular.</v>
      </c>
      <c r="K330" t="str">
        <f>IFERROR(__xludf.DUMMYFUNCTION("""COMPUTED_VALUE"""),"There certainly is a lot of hype both around putting human intelligence in silicon, as well as the risks that surround such an endeavor. Even though I focus on such risks, I agree with Jordan that these are overhyped in the media and we would benefit from"&amp;" having more faithful coverage of them. I do disagree on some specific points. For example, he says that human-imitative AI is not sufficient to build some AI systems such as self-driving cars, but why couldn't an AI with human intelligence just do whatev"&amp;"er humans would do to build self-driving cars? (I can think of answers, such as ""we don't know how to give the AI system access to all the data that humans have access to"", but I wish he had engaged more with this argument.) I do agree with the overall "&amp;"conclusion that in the near future humans will make progress on building such systems, and not by trying to give the systems ""human intelligence"". I also suspect that we disagree either on how close we are to human-imitative AI, or at what point it is w"&amp;"orth it to start thinking about the associated risks, but it's hard to tell more from the article.")</f>
        <v>There certainly is a lot of hype both around putting human intelligence in silicon, as well as the risks that surround such an endeavor. Even though I focus on such risks, I agree with Jordan that these are overhyped in the media and we would benefit from having more faithful coverage of them. I do disagree on some specific points. For example, he says that human-imitative AI is not sufficient to build some AI systems such as self-driving cars, but why couldn't an AI with human intelligence just do whatever humans would do to build self-driving cars? (I can think of answers, such as "we don't know how to give the AI system access to all the data that humans have access to", but I wish he had engaged more with this argument.) I do agree with the overall conclusion that in the near future humans will make progress on building such systems, and not by trying to give the systems "human intelligence". I also suspect that we disagree either on how close we are to human-imitative AI, or at what point it is worth it to start thinking about the associated risks, but it's hard to tell more from the article.</v>
      </c>
    </row>
    <row r="331">
      <c r="A331" t="str">
        <f>IFERROR(__xludf.DUMMYFUNCTION("""COMPUTED_VALUE"""),"Critiques (AI)")</f>
        <v>Critiques (AI)</v>
      </c>
      <c r="B331" t="str">
        <f>IFERROR(__xludf.DUMMYFUNCTION("""COMPUTED_VALUE"""),"")</f>
        <v/>
      </c>
      <c r="C331" s="3" t="str">
        <f>IFERROR(__xludf.DUMMYFUNCTION("""COMPUTED_VALUE"""),"Deep learning - deeper flaws?")</f>
        <v>Deep learning - deeper flaws?</v>
      </c>
      <c r="D331" t="str">
        <f>IFERROR(__xludf.DUMMYFUNCTION("""COMPUTED_VALUE"""),"Richard Ngo")</f>
        <v>Richard Ngo</v>
      </c>
      <c r="E331" t="str">
        <f>IFERROR(__xludf.DUMMYFUNCTION("""COMPUTED_VALUE"""),"LessWrong")</f>
        <v>LessWrong</v>
      </c>
      <c r="F331">
        <f>IFERROR(__xludf.DUMMYFUNCTION("""COMPUTED_VALUE"""),2018.0)</f>
        <v>2018</v>
      </c>
      <c r="H331" s="3" t="str">
        <f>IFERROR(__xludf.DUMMYFUNCTION("""COMPUTED_VALUE"""),"AN #26")</f>
        <v>AN #26</v>
      </c>
      <c r="I331" t="str">
        <f>IFERROR(__xludf.DUMMYFUNCTION("""COMPUTED_VALUE"""),"Rohin")</f>
        <v>Rohin</v>
      </c>
      <c r="J331" t="str">
        <f>IFERROR(__xludf.DUMMYFUNCTION("""COMPUTED_VALUE"""),"This post summarizes four pieces about the flaws of deep learning. I don't think they'll benefit from more summarization on my part.")</f>
        <v>This post summarizes four pieces about the flaws of deep learning. I don't think they'll benefit from more summarization on my part.</v>
      </c>
      <c r="K331" t="str">
        <f>IFERROR(__xludf.DUMMYFUNCTION("""COMPUTED_VALUE"""),"This is worth reading for the sake of knowing what deep learning cannot currently do, which I think the articles are correct about. Two of the pieces also predict that these flaws will continue in the future, but none of the arguments are very compelling "&amp;"to me -- I think the jury is out on that question, I could see it going either way. (This is based not on this post, but on my memories of three of the four linked pieces, which I had read before starting this newsletter.)")</f>
        <v>This is worth reading for the sake of knowing what deep learning cannot currently do, which I think the articles are correct about. Two of the pieces also predict that these flaws will continue in the future, but none of the arguments are very compelling to me -- I think the jury is out on that question, I could see it going either way. (This is based not on this post, but on my memories of three of the four linked pieces, which I had read before starting this newsletter.)</v>
      </c>
    </row>
    <row r="332">
      <c r="A332" t="str">
        <f>IFERROR(__xludf.DUMMYFUNCTION("""COMPUTED_VALUE"""),"Critiques (AI)")</f>
        <v>Critiques (AI)</v>
      </c>
      <c r="B332" t="str">
        <f>IFERROR(__xludf.DUMMYFUNCTION("""COMPUTED_VALUE"""),"")</f>
        <v/>
      </c>
      <c r="C332" s="3" t="str">
        <f>IFERROR(__xludf.DUMMYFUNCTION("""COMPUTED_VALUE"""),"A narrowing of AI research?")</f>
        <v>A narrowing of AI research?</v>
      </c>
      <c r="D332" t="str">
        <f>IFERROR(__xludf.DUMMYFUNCTION("""COMPUTED_VALUE"""),"Joel Klinger, Juan Mateos-Garcia, Konstantinos Stathoulopoulos")</f>
        <v>Joel Klinger, Juan Mateos-Garcia, Konstantinos Stathoulopoulos</v>
      </c>
      <c r="E332" t="str">
        <f>IFERROR(__xludf.DUMMYFUNCTION("""COMPUTED_VALUE"""),"arXiv")</f>
        <v>arXiv</v>
      </c>
      <c r="F332">
        <f>IFERROR(__xludf.DUMMYFUNCTION("""COMPUTED_VALUE"""),2020.0)</f>
        <v>2020</v>
      </c>
      <c r="H332" s="3" t="str">
        <f>IFERROR(__xludf.DUMMYFUNCTION("""COMPUTED_VALUE"""),"AN #134")</f>
        <v>AN #134</v>
      </c>
      <c r="I332" t="str">
        <f>IFERROR(__xludf.DUMMYFUNCTION("""COMPUTED_VALUE"""),"Rohin")</f>
        <v>Rohin</v>
      </c>
      <c r="J332" t="str">
        <f>IFERROR(__xludf.DUMMYFUNCTION("""COMPUTED_VALUE"""),"Technology development can often be _path-dependent_, where initial poorly-thought-out design choices can persist even after they are recognized as poorly thought out. For example, the QWERTY keyboard persists to this day, because once enough typists had "&amp;"learned to use it, there was too high a cost to switch over to a better-designed keyboard. This suggests that we want to maintain a diversity of approaches to AI so that we can choose amongst the best options, rather than getting locked into a suboptimal "&amp;"approach early on.
The paper then argues, based on an analysis of arXiv papers, that thematic diversity in AI has been going down over time, as more and more papers are focused on deep learning. Thus, we may want to have policies that encourage more dive"&amp;"rsity. It also has a lot of additional analysis of the arXiv dataset for those interested in a big-picture overview of what is happening in the entire field of AI.")</f>
        <v>Technology development can often be _path-dependent_, where initial poorly-thought-out design choices can persist even after they are recognized as poorly thought out. For example, the QWERTY keyboard persists to this day, because once enough typists had learned to use it, there was too high a cost to switch over to a better-designed keyboard. This suggests that we want to maintain a diversity of approaches to AI so that we can choose amongst the best options, rather than getting locked into a suboptimal approach early on.
The paper then argues, based on an analysis of arXiv papers, that thematic diversity in AI has been going down over time, as more and more papers are focused on deep learning. Thus, we may want to have policies that encourage more diversity. It also has a lot of additional analysis of the arXiv dataset for those interested in a big-picture overview of what is happening in the entire field of AI.</v>
      </c>
    </row>
    <row r="333">
      <c r="A333" t="str">
        <f>IFERROR(__xludf.DUMMYFUNCTION("""COMPUTED_VALUE"""),"Critiques (AI)")</f>
        <v>Critiques (AI)</v>
      </c>
      <c r="B333" t="str">
        <f>IFERROR(__xludf.DUMMYFUNCTION("""COMPUTED_VALUE"""),"")</f>
        <v/>
      </c>
      <c r="C333" s="3" t="str">
        <f>IFERROR(__xludf.DUMMYFUNCTION("""COMPUTED_VALUE"""),"To Build Truly Intelligent Machines, Teach Them Cause and Effect")</f>
        <v>To Build Truly Intelligent Machines, Teach Them Cause and Effect</v>
      </c>
      <c r="D333" t="str">
        <f>IFERROR(__xludf.DUMMYFUNCTION("""COMPUTED_VALUE"""),"Kevin Hartnett interviewing Judea Pearl")</f>
        <v>Kevin Hartnett interviewing Judea Pearl</v>
      </c>
      <c r="E333" t="str">
        <f>IFERROR(__xludf.DUMMYFUNCTION("""COMPUTED_VALUE"""),"Quanta")</f>
        <v>Quanta</v>
      </c>
      <c r="F333">
        <f>IFERROR(__xludf.DUMMYFUNCTION("""COMPUTED_VALUE"""),2018.0)</f>
        <v>2018</v>
      </c>
      <c r="H333" s="3" t="str">
        <f>IFERROR(__xludf.DUMMYFUNCTION("""COMPUTED_VALUE"""),"AN #7")</f>
        <v>AN #7</v>
      </c>
      <c r="I333" t="str">
        <f>IFERROR(__xludf.DUMMYFUNCTION("""COMPUTED_VALUE"""),"Rohin")</f>
        <v>Rohin</v>
      </c>
      <c r="J333" t="str">
        <f>IFERROR(__xludf.DUMMYFUNCTION("""COMPUTED_VALUE"""),"An interview with Judea Pearl about causality, deep learning, and where the field is going.")</f>
        <v>An interview with Judea Pearl about causality, deep learning, and where the field is going.</v>
      </c>
      <c r="K333" t="str">
        <f>IFERROR(__xludf.DUMMYFUNCTION("""COMPUTED_VALUE"""),"This is fairly superficial, if you've read any of the other things that Pearl himself has written about deep learning, you'll know all of this already.")</f>
        <v>This is fairly superficial, if you've read any of the other things that Pearl himself has written about deep learning, you'll know all of this already.</v>
      </c>
    </row>
    <row r="334">
      <c r="A334" t="str">
        <f>IFERROR(__xludf.DUMMYFUNCTION("""COMPUTED_VALUE"""),"Critiques (AI)")</f>
        <v>Critiques (AI)</v>
      </c>
      <c r="B334" t="str">
        <f>IFERROR(__xludf.DUMMYFUNCTION("""COMPUTED_VALUE"""),"")</f>
        <v/>
      </c>
      <c r="C334" s="3" t="str">
        <f>IFERROR(__xludf.DUMMYFUNCTION("""COMPUTED_VALUE"""),"The 30-Year Cycle In The AI Debate")</f>
        <v>The 30-Year Cycle In The AI Debate</v>
      </c>
      <c r="D334" t="str">
        <f>IFERROR(__xludf.DUMMYFUNCTION("""COMPUTED_VALUE"""),"Jean-Marie Chauvet")</f>
        <v>Jean-Marie Chauvet</v>
      </c>
      <c r="E334" t="str">
        <f>IFERROR(__xludf.DUMMYFUNCTION("""COMPUTED_VALUE"""),"arXiv")</f>
        <v>arXiv</v>
      </c>
      <c r="F334">
        <f>IFERROR(__xludf.DUMMYFUNCTION("""COMPUTED_VALUE"""),2018.0)</f>
        <v>2018</v>
      </c>
      <c r="H334" s="3" t="str">
        <f>IFERROR(__xludf.DUMMYFUNCTION("""COMPUTED_VALUE"""),"AN #29")</f>
        <v>AN #29</v>
      </c>
    </row>
    <row r="335">
      <c r="A335" t="str">
        <f>IFERROR(__xludf.DUMMYFUNCTION("""COMPUTED_VALUE"""),"Critiques (Alignment)")</f>
        <v>Critiques (Alignment)</v>
      </c>
      <c r="B335" t="str">
        <f>IFERROR(__xludf.DUMMYFUNCTION("""COMPUTED_VALUE"""),"Highlight")</f>
        <v>Highlight</v>
      </c>
      <c r="C335" s="3" t="str">
        <f>IFERROR(__xludf.DUMMYFUNCTION("""COMPUTED_VALUE"""),"Ben Garfinkel on scrutinising classic AI risk arguments")</f>
        <v>Ben Garfinkel on scrutinising classic AI risk arguments</v>
      </c>
      <c r="D335" t="str">
        <f>IFERROR(__xludf.DUMMYFUNCTION("""COMPUTED_VALUE"""),"Howie Lempel and Ben Garfinkel")</f>
        <v>Howie Lempel and Ben Garfinkel</v>
      </c>
      <c r="E335" t="str">
        <f>IFERROR(__xludf.DUMMYFUNCTION("""COMPUTED_VALUE"""),"80,000 Hours")</f>
        <v>80,000 Hours</v>
      </c>
      <c r="F335">
        <f>IFERROR(__xludf.DUMMYFUNCTION("""COMPUTED_VALUE"""),2020.0)</f>
        <v>2020</v>
      </c>
      <c r="H335" s="3" t="str">
        <f>IFERROR(__xludf.DUMMYFUNCTION("""COMPUTED_VALUE"""),"AN #108")</f>
        <v>AN #108</v>
      </c>
      <c r="I335" t="str">
        <f>IFERROR(__xludf.DUMMYFUNCTION("""COMPUTED_VALUE"""),"Asya")</f>
        <v>Asya</v>
      </c>
      <c r="J335" t="str">
        <f>IFERROR(__xludf.DUMMYFUNCTION("""COMPUTED_VALUE"""),"In this podcast, Ben Garfinkel goes through several reasons why he is skeptical of classic AI risk arguments (some previously discussed &lt;@here@&gt;(@How Sure are we about this AI Stuff?@)). The podcast has considerably more detail and nuance than this summar"&amp;"y.
Ben thinks that historically, it has been hard to affect transformative technologies in a way that was foreseeably good for the long-term-- it's hard e.g. to see what you could have done around the development of agriculture or industrialization that "&amp;"would have an impact on the world today. He thinks some potential avenues for long-term influence could be through addressing increased political instability or the possibility of lock-in, though he thinks that it’s unclear what we could do today to influ"&amp;"ence the outcome of a lock-in, especially if it’s far away.
In terms of alignment, Ben focuses on the standard set of arguments outlined in Nick Bostrom’s Superintelligence, because they are broadly influential and relatively fleshed out. Ben has several"&amp;" objections to these arguments:
- He thinks it isn't likely that there will be a sudden jump to extremely powerful and dangerous AI systems, and he thinks we have a much better chance of correcting problems as they come up if capabilities grow gradually.
"&amp;"- He thinks that making AI systems capable and making AI systems have the right goals are likely to go together.
- He thinks that just because there are many ways to create a system that behaves destructively doesn't mean that the engineering process crea"&amp;"ting that system is likely to be attracted to those destructive systems; it seems like we are unlikely to accidentally create systems that are destructive enough to end humanity.
Ben also spends a little time discussing &lt;@mesa-optimization@&gt;(@Risks from "&amp;"Learned Optimization in Advanced Machine Learning Systems@), a much newer argument for AI risk. He largely thinks that the case for mesa-optimization hasn’t yet been fleshed out sufficiently. He also thinks it’s plausible that learning incorrect goals may"&amp;" be a result of having systems that are insufficiently sophisticated to represent goals appropriately. With sufficient training, we may in fact converge to the system we want.
Given the current state of argumentation, Ben thinks that it's worth EA time t"&amp;"o flesh out newer arguments around AI risk, but also thinks that EAs who don't have a comparative advantage in AI-related topics shouldn't necessarily switch into AI. Ben thinks it's a moral outrage that we have spent less money on AI safety and governanc"&amp;"e than the 2017 movie 'The Boss Baby', starring Alec Baldwin.")</f>
        <v>In this podcast, Ben Garfinkel goes through several reasons why he is skeptical of classic AI risk arguments (some previously discussed &lt;@here@&gt;(@How Sure are we about this AI Stuff?@)). The podcast has considerably more detail and nuance than this summary.
Ben thinks that historically, it has been hard to affect transformative technologies in a way that was foreseeably good for the long-term-- it's hard e.g. to see what you could have done around the development of agriculture or industrialization that would have an impact on the world today. He thinks some potential avenues for long-term influence could be through addressing increased political instability or the possibility of lock-in, though he thinks that it’s unclear what we could do today to influence the outcome of a lock-in, especially if it’s far away.
In terms of alignment, Ben focuses on the standard set of arguments outlined in Nick Bostrom’s Superintelligence, because they are broadly influential and relatively fleshed out. Ben has several objections to these arguments:
- He thinks it isn't likely that there will be a sudden jump to extremely powerful and dangerous AI systems, and he thinks we have a much better chance of correcting problems as they come up if capabilities grow gradually.
- He thinks that making AI systems capable and making AI systems have the right goals are likely to go together.
- He thinks that just because there are many ways to create a system that behaves destructively doesn't mean that the engineering process creating that system is likely to be attracted to those destructive systems; it seems like we are unlikely to accidentally create systems that are destructive enough to end humanity.
Ben also spends a little time discussing &lt;@mesa-optimization@&gt;(@Risks from Learned Optimization in Advanced Machine Learning Systems@), a much newer argument for AI risk. He largely thinks that the case for mesa-optimization hasn’t yet been fleshed out sufficiently. He also thinks it’s plausible that learning incorrect goals may be a result of having systems that are insufficiently sophisticated to represent goals appropriately. With sufficient training, we may in fact converge to the system we want.
Given the current state of argumentation, Ben thinks that it's worth EA time to flesh out newer arguments around AI risk, but also thinks that EAs who don't have a comparative advantage in AI-related topics shouldn't necessarily switch into AI. Ben thinks it's a moral outrage that we have spent less money on AI safety and governance than the 2017 movie 'The Boss Baby', starring Alec Baldwin.</v>
      </c>
      <c r="K335" t="str">
        <f>IFERROR(__xludf.DUMMYFUNCTION("""COMPUTED_VALUE"""),"This podcast covers a really impressive breadth of the existing argumentation. A lot of the reasoning is similar to &lt;@that I’ve heard from other researchers@&gt;(@Takeaways from safety by default interviews@). I’m really glad that Ben and others are spending"&amp;" time critiquing these arguments; in addition to showing us where we’re wrong, it helps us steer towards more plausible risky scenarios.
I largely agree with Ben’s criticisms of the Bostrom AI model; I think mesa-optimization is the best current case for"&amp;" AI risk and am excited to see more work on it. The parts of the podcast where I most disagreed with Ben were:
- I think even in the absence of solid argumentation, I feel good about a prior where AI has a non-trivial chance of being existentially threate"&amp;"ning, partially because I think it’s reasonable to put AI in the reference class of ‘new intelligent species’ in addition to ‘new technology’.
- I’m not sure that institutions will address failures sufficiently, &lt;@even if progress is gradual and there are"&amp;" warnings@&gt;(@Possible takeaways from the coronavirus pandemic for slow AI takeoff@).
**Rohin's opinion:** I recommend listening to the full podcast, as it contains a lot of detail that wouldn't fit in this summary. Overall I agree pretty strongly with Be"&amp;"n. I do think that some of the counterarguments are coming from a different frame than the classic arguments. For example, a lot of the counterarguments involve an attempt to generalize from current ML practice to make claims about future AI systems. Howe"&amp;"ver, I usually imagine that the classic arguments are basically ignoring current ML, and instead claiming that if an AI system is superintelligent, then it must be goal-directed and have convergent instrumental subgoals. If current ML systems don't lead t"&amp;"o goal-directed behavior, I expect that proponents of the classic arguments would say that they also won't lead to superintelligent AI systems. I'm not particularly sold on this intuition either, but I can see its appeal.")</f>
        <v>This podcast covers a really impressive breadth of the existing argumentation. A lot of the reasoning is similar to &lt;@that I’ve heard from other researchers@&gt;(@Takeaways from safety by default interviews@). I’m really glad that Ben and others are spending time critiquing these arguments; in addition to showing us where we’re wrong, it helps us steer towards more plausible risky scenarios.
I largely agree with Ben’s criticisms of the Bostrom AI model; I think mesa-optimization is the best current case for AI risk and am excited to see more work on it. The parts of the podcast where I most disagreed with Ben were:
- I think even in the absence of solid argumentation, I feel good about a prior where AI has a non-trivial chance of being existentially threatening, partially because I think it’s reasonable to put AI in the reference class of ‘new intelligent species’ in addition to ‘new technology’.
- I’m not sure that institutions will address failures sufficiently, &lt;@even if progress is gradual and there are warnings@&gt;(@Possible takeaways from the coronavirus pandemic for slow AI takeoff@).
**Rohin's opinion:** I recommend listening to the full podcast, as it contains a lot of detail that wouldn't fit in this summary. Overall I agree pretty strongly with Ben. I do think that some of the counterarguments are coming from a different frame than the classic arguments. For example, a lot of the counterarguments involve an attempt to generalize from current ML practice to make claims about future AI systems. However, I usually imagine that the classic arguments are basically ignoring current ML, and instead claiming that if an AI system is superintelligent, then it must be goal-directed and have convergent instrumental subgoals. If current ML systems don't lead to goal-directed behavior, I expect that proponents of the classic arguments would say that they also won't lead to superintelligent AI systems. I'm not particularly sold on this intuition either, but I can see its appeal.</v>
      </c>
    </row>
    <row r="336">
      <c r="A336" t="str">
        <f>IFERROR(__xludf.DUMMYFUNCTION("""COMPUTED_VALUE"""),"Critiques (Alignment)")</f>
        <v>Critiques (Alignment)</v>
      </c>
      <c r="B336" t="str">
        <f>IFERROR(__xludf.DUMMYFUNCTION("""COMPUTED_VALUE"""),"")</f>
        <v/>
      </c>
      <c r="C336" s="3" t="str">
        <f>IFERROR(__xludf.DUMMYFUNCTION("""COMPUTED_VALUE"""),"We Shouldn’t be Scared by ‘Superintelligent A.I.’")</f>
        <v>We Shouldn’t be Scared by ‘Superintelligent A.I.’</v>
      </c>
      <c r="D336" t="str">
        <f>IFERROR(__xludf.DUMMYFUNCTION("""COMPUTED_VALUE"""),"Melanie Mitchell")</f>
        <v>Melanie Mitchell</v>
      </c>
      <c r="E336" t="str">
        <f>IFERROR(__xludf.DUMMYFUNCTION("""COMPUTED_VALUE"""),"New York Times")</f>
        <v>New York Times</v>
      </c>
      <c r="F336">
        <f>IFERROR(__xludf.DUMMYFUNCTION("""COMPUTED_VALUE"""),2019.0)</f>
        <v>2019</v>
      </c>
      <c r="H336" s="3" t="str">
        <f>IFERROR(__xludf.DUMMYFUNCTION("""COMPUTED_VALUE"""),"AN #76")</f>
        <v>AN #76</v>
      </c>
      <c r="I336" t="str">
        <f>IFERROR(__xludf.DUMMYFUNCTION("""COMPUTED_VALUE"""),"Rohin")</f>
        <v>Rohin</v>
      </c>
      <c r="J336" t="str">
        <f>IFERROR(__xludf.DUMMYFUNCTION("""COMPUTED_VALUE"""),"This review of &lt;@Human Compatible@&gt;(@Human Compatible: Artificial Intelligence and the Problem of Control@) argues that people worried about superintelligent AI are making a mistake by assuming that an AI system ""could surpass the generality and flexibil"&amp;"ity of human intelligence while seamlessly retaining the speed, precision and programmability of a computer"". It seems likely that human intelligence is strongly integrated, such that our emotions, desires, sense of autonomy, etc. are all _necessary_ for"&amp;" intelligence, and so general intelligence can't be separated from so-called ""irrational"" biases. Since we know so little about what intelligence actually looks like, we don't yet have enough information to create AI policy for the real world.")</f>
        <v>This review of &lt;@Human Compatible@&gt;(@Human Compatible: Artificial Intelligence and the Problem of Control@) argues that people worried about superintelligent AI are making a mistake by assuming that an AI system "could surpass the generality and flexibility of human intelligence while seamlessly retaining the speed, precision and programmability of a computer". It seems likely that human intelligence is strongly integrated, such that our emotions, desires, sense of autonomy, etc. are all _necessary_ for intelligence, and so general intelligence can't be separated from so-called "irrational" biases. Since we know so little about what intelligence actually looks like, we don't yet have enough information to create AI policy for the real world.</v>
      </c>
      <c r="K336" t="str">
        <f>IFERROR(__xludf.DUMMYFUNCTION("""COMPUTED_VALUE"""),"The only part of this review I disagree with is the title -- every sentence in the text seems quite reasonable. I in fact do not want policy that advocates for particular solutions now, precisely because it's not yet clear what the problem actually is. (M"&amp;"ore ""field-building"" type policy, such as increased investment in research, seems fine.)
The review never actually argues for its title -- you need some additional argument, such as ""and therefore, we will never achieve superintelligence"", or ""and s"&amp;"ince superintelligent AI will be like humans, they will be aligned by default"". For the first one, while I could believe that we'll never build ruthlessly goal-pursuing agents for the reasons outlined in the article, I'd be shocked if we couldn't build a"&amp;"gents that were more intelligent than us. For the second one, I agree with the outside view argument presented in _Human Compatible_: while humans might be aligned with each other (debatable, but for now let's accept it), humans are certainly not aligned "&amp;"with gorillas. We don't have a strong reason to say that our situation with superintelligent AI will be different from the gorillas' situation with us. (Obviously, we get to design AI systems, while gorillas didn't design us, but this is only useful if we"&amp;" actually have an argument why our design for AI systems will avoid the gorilla problem, and so far we don't have such an argument.)")</f>
        <v>The only part of this review I disagree with is the title -- every sentence in the text seems quite reasonable. I in fact do not want policy that advocates for particular solutions now, precisely because it's not yet clear what the problem actually is. (More "field-building" type policy, such as increased investment in research, seems fine.)
The review never actually argues for its title -- you need some additional argument, such as "and therefore, we will never achieve superintelligence", or "and since superintelligent AI will be like humans, they will be aligned by default". For the first one, while I could believe that we'll never build ruthlessly goal-pursuing agents for the reasons outlined in the article, I'd be shocked if we couldn't build agents that were more intelligent than us. For the second one, I agree with the outside view argument presented in _Human Compatible_: while humans might be aligned with each other (debatable, but for now let's accept it), humans are certainly not aligned with gorillas. We don't have a strong reason to say that our situation with superintelligent AI will be different from the gorillas' situation with us. (Obviously, we get to design AI systems, while gorillas didn't design us, but this is only useful if we actually have an argument why our design for AI systems will avoid the gorilla problem, and so far we don't have such an argument.)</v>
      </c>
    </row>
    <row r="337">
      <c r="A337" t="str">
        <f>IFERROR(__xludf.DUMMYFUNCTION("""COMPUTED_VALUE"""),"Critiques (Alignment)")</f>
        <v>Critiques (Alignment)</v>
      </c>
      <c r="B337" t="str">
        <f>IFERROR(__xludf.DUMMYFUNCTION("""COMPUTED_VALUE"""),"")</f>
        <v/>
      </c>
      <c r="C337" s="3" t="str">
        <f>IFERROR(__xludf.DUMMYFUNCTION("""COMPUTED_VALUE"""),"Debate on Instrumental Convergence between LeCun, Russell, Bengio, Zador, and More")</f>
        <v>Debate on Instrumental Convergence between LeCun, Russell, Bengio, Zador, and More</v>
      </c>
      <c r="E337" t="str">
        <f>IFERROR(__xludf.DUMMYFUNCTION("""COMPUTED_VALUE"""),"Alignment Forum")</f>
        <v>Alignment Forum</v>
      </c>
      <c r="F337">
        <f>IFERROR(__xludf.DUMMYFUNCTION("""COMPUTED_VALUE"""),2019.0)</f>
        <v>2019</v>
      </c>
      <c r="H337" s="3" t="str">
        <f>IFERROR(__xludf.DUMMYFUNCTION("""COMPUTED_VALUE"""),"AN #68")</f>
        <v>AN #68</v>
      </c>
      <c r="I337" t="str">
        <f>IFERROR(__xludf.DUMMYFUNCTION("""COMPUTED_VALUE"""),"Rohin")</f>
        <v>Rohin</v>
      </c>
      <c r="J337" t="str">
        <f>IFERROR(__xludf.DUMMYFUNCTION("""COMPUTED_VALUE"""),"See [Import AI](https://jack-clark.net/2019/10/07/import-ai-167-an-aerial-crowd-hunting-dataset-surveying-people-with-the-widerperson-dataset-and-testing-out-space-robots-for-bomb-disposal-on-earth/).")</f>
        <v>See [Import AI](https://jack-clark.net/2019/10/07/import-ai-167-an-aerial-crowd-hunting-dataset-surveying-people-with-the-widerperson-dataset-and-testing-out-space-robots-for-bomb-disposal-on-earth/).</v>
      </c>
    </row>
    <row r="338">
      <c r="A338" t="str">
        <f>IFERROR(__xludf.DUMMYFUNCTION("""COMPUTED_VALUE"""),"Critiques (Alignment)")</f>
        <v>Critiques (Alignment)</v>
      </c>
      <c r="B338" t="str">
        <f>IFERROR(__xludf.DUMMYFUNCTION("""COMPUTED_VALUE"""),"")</f>
        <v/>
      </c>
      <c r="C338" s="3" t="str">
        <f>IFERROR(__xludf.DUMMYFUNCTION("""COMPUTED_VALUE"""),"Conversation with Ernie Davis")</f>
        <v>Conversation with Ernie Davis</v>
      </c>
      <c r="D338" t="str">
        <f>IFERROR(__xludf.DUMMYFUNCTION("""COMPUTED_VALUE"""),"Robert Long and Ernie Davis")</f>
        <v>Robert Long and Ernie Davis</v>
      </c>
      <c r="E338" t="str">
        <f>IFERROR(__xludf.DUMMYFUNCTION("""COMPUTED_VALUE"""),"AI Impacts")</f>
        <v>AI Impacts</v>
      </c>
      <c r="F338">
        <f>IFERROR(__xludf.DUMMYFUNCTION("""COMPUTED_VALUE"""),2019.0)</f>
        <v>2019</v>
      </c>
      <c r="H338" s="3" t="str">
        <f>IFERROR(__xludf.DUMMYFUNCTION("""COMPUTED_VALUE"""),"AN #63")</f>
        <v>AN #63</v>
      </c>
    </row>
    <row r="339">
      <c r="A339" t="str">
        <f>IFERROR(__xludf.DUMMYFUNCTION("""COMPUTED_VALUE"""),"Critiques (Alignment)")</f>
        <v>Critiques (Alignment)</v>
      </c>
      <c r="B339" t="str">
        <f>IFERROR(__xludf.DUMMYFUNCTION("""COMPUTED_VALUE"""),"")</f>
        <v/>
      </c>
      <c r="C339" s="3" t="str">
        <f>IFERROR(__xludf.DUMMYFUNCTION("""COMPUTED_VALUE"""),"The seven deadly sins of AI predictions")</f>
        <v>The seven deadly sins of AI predictions</v>
      </c>
      <c r="D339" t="str">
        <f>IFERROR(__xludf.DUMMYFUNCTION("""COMPUTED_VALUE"""),"Rodney Brooks")</f>
        <v>Rodney Brooks</v>
      </c>
      <c r="F339">
        <f>IFERROR(__xludf.DUMMYFUNCTION("""COMPUTED_VALUE"""),2017.0)</f>
        <v>2017</v>
      </c>
      <c r="H339" s="3" t="str">
        <f>IFERROR(__xludf.DUMMYFUNCTION("""COMPUTED_VALUE"""),"AN #4")</f>
        <v>AN #4</v>
      </c>
      <c r="I339" t="str">
        <f>IFERROR(__xludf.DUMMYFUNCTION("""COMPUTED_VALUE"""),"Rohin")</f>
        <v>Rohin</v>
      </c>
      <c r="J339" t="str">
        <f>IFERROR(__xludf.DUMMYFUNCTION("""COMPUTED_VALUE"""),"This is an older article I was sent recently, that argues against AI risk and the idea that we will have AGI soon. It generally argues that AGI proponents are mistaken about current capabilities of AI and how long it will take to make progress in AGI rese"&amp;"arch.")</f>
        <v>This is an older article I was sent recently, that argues against AI risk and the idea that we will have AGI soon. It generally argues that AGI proponents are mistaken about current capabilities of AI and how long it will take to make progress in AGI research.</v>
      </c>
      <c r="K339" t="str">
        <f>IFERROR(__xludf.DUMMYFUNCTION("""COMPUTED_VALUE"""),"This article is aimed at refuting the superintelligent perfectly-rational agent model of AGI, and so feels to me like it's attacking a strawman of the argument for AI risk, but it does seem to me that many people do have beliefs similar to the ones he's a"&amp;"rguing against. I partially agree with some of his criticisms and disagree with others, but overall I think most of the arguments are reasonable ones and worth knowing about.")</f>
        <v>This article is aimed at refuting the superintelligent perfectly-rational agent model of AGI, and so feels to me like it's attacking a strawman of the argument for AI risk, but it does seem to me that many people do have beliefs similar to the ones he's arguing against. I partially agree with some of his criticisms and disagree with others, but overall I think most of the arguments are reasonable ones and worth knowing about.</v>
      </c>
    </row>
    <row r="340">
      <c r="A340" t="str">
        <f>IFERROR(__xludf.DUMMYFUNCTION("""COMPUTED_VALUE"""),"Deep learning")</f>
        <v>Deep learning</v>
      </c>
      <c r="B340" t="str">
        <f>IFERROR(__xludf.DUMMYFUNCTION("""COMPUTED_VALUE"""),"Highlight")</f>
        <v>Highlight</v>
      </c>
      <c r="C340" s="3" t="str">
        <f>IFERROR(__xludf.DUMMYFUNCTION("""COMPUTED_VALUE"""),"Scaling Laws for Neural Language Models")</f>
        <v>Scaling Laws for Neural Language Models</v>
      </c>
      <c r="D340" t="str">
        <f>IFERROR(__xludf.DUMMYFUNCTION("""COMPUTED_VALUE"""),"Jared Kaplan*, Sam McCandlish*, Tom Henighan, Tom B. Brown, Benjamin Chess, Rewon Child, Scott Gray, Alec Radford, Jeffrey Wu, Dario Amodei")</f>
        <v>Jared Kaplan*, Sam McCandlish*, Tom Henighan, Tom B. Brown, Benjamin Chess, Rewon Child, Scott Gray, Alec Radford, Jeffrey Wu, Dario Amodei</v>
      </c>
      <c r="E340" t="str">
        <f>IFERROR(__xludf.DUMMYFUNCTION("""COMPUTED_VALUE"""),"arXiv")</f>
        <v>arXiv</v>
      </c>
      <c r="F340">
        <f>IFERROR(__xludf.DUMMYFUNCTION("""COMPUTED_VALUE"""),2020.0)</f>
        <v>2020</v>
      </c>
      <c r="H340" s="3" t="str">
        <f>IFERROR(__xludf.DUMMYFUNCTION("""COMPUTED_VALUE"""),"AN #87")</f>
        <v>AN #87</v>
      </c>
      <c r="I340" t="str">
        <f>IFERROR(__xludf.DUMMYFUNCTION("""COMPUTED_VALUE"""),"Nicholas")</f>
        <v>Nicholas</v>
      </c>
      <c r="J340" t="str">
        <f>IFERROR(__xludf.DUMMYFUNCTION("""COMPUTED_VALUE"""),"This paper empirically measures the effect of scaling model complexity, data, and computation on the cross entropy loss for neural language models. A few results that I would highlight are:
_Performance depends strongly on scale, weakly on model shape:_ "&amp;"Loss depends more strongly on the number of parameters, the size of the dataset, and the amount of compute used for training than on architecture hyperparameters.
_Smooth power laws:_ All three of these show power-law relationships that don’t flatten out"&amp;" even at the highest performance they reached.
_Sample efficiency:_ Larger models are more efficient than small models in both compute and data. For maximum computation efficiency, it is better to train large models and stop before convergence.
There ar"&amp;"e lots of other interesting conclusions in the paper not included here; section 1.1 provides a very nice one page summary of these conclusions, which I'd recommend you read for more information.")</f>
        <v>This paper empirically measures the effect of scaling model complexity, data, and computation on the cross entropy loss for neural language models. A few results that I would highlight are:
_Performance depends strongly on scale, weakly on model shape:_ Loss depends more strongly on the number of parameters, the size of the dataset, and the amount of compute used for training than on architecture hyperparameters.
_Smooth power laws:_ All three of these show power-law relationships that don’t flatten out even at the highest performance they reached.
_Sample efficiency:_ Larger models are more efficient than small models in both compute and data. For maximum computation efficiency, it is better to train large models and stop before convergence.
There are lots of other interesting conclusions in the paper not included here; section 1.1 provides a very nice one page summary of these conclusions, which I'd recommend you read for more information.</v>
      </c>
      <c r="K340" t="str">
        <f>IFERROR(__xludf.DUMMYFUNCTION("""COMPUTED_VALUE"""),"This paper makes me very optimistic about improvements in language modelling; the consistency of the power law implies that language models can continue to improve just by increasing data, compute, and model size. However, I would be wary of generalizing "&amp;"these findings to make any claims about AGI, or even other narrow fields of AI. As they note in the paper, it would be interesting to see if similar results hold in other domains such as vision, audio processing, or RL.")</f>
        <v>This paper makes me very optimistic about improvements in language modelling; the consistency of the power law implies that language models can continue to improve just by increasing data, compute, and model size. However, I would be wary of generalizing these findings to make any claims about AGI, or even other narrow fields of AI. As they note in the paper, it would be interesting to see if similar results hold in other domains such as vision, audio processing, or RL.</v>
      </c>
    </row>
    <row r="341">
      <c r="A341" t="str">
        <f>IFERROR(__xludf.DUMMYFUNCTION("""COMPUTED_VALUE"""),"Deep learning")</f>
        <v>Deep learning</v>
      </c>
      <c r="B341" t="str">
        <f>IFERROR(__xludf.DUMMYFUNCTION("""COMPUTED_VALUE"""),"Highlight")</f>
        <v>Highlight</v>
      </c>
      <c r="C341" s="3" t="str">
        <f>IFERROR(__xludf.DUMMYFUNCTION("""COMPUTED_VALUE"""),"A Constructive Prediction of the Generalization Error Across Scales")</f>
        <v>A Constructive Prediction of the Generalization Error Across Scales</v>
      </c>
      <c r="D341" t="str">
        <f>IFERROR(__xludf.DUMMYFUNCTION("""COMPUTED_VALUE"""),"Jonathan S. Rosenfeld, Amir Rosenfeld, Yonatan Belinkov, Nir Shavit")</f>
        <v>Jonathan S. Rosenfeld, Amir Rosenfeld, Yonatan Belinkov, Nir Shavit</v>
      </c>
      <c r="E341" t="str">
        <f>IFERROR(__xludf.DUMMYFUNCTION("""COMPUTED_VALUE"""),"arXiv")</f>
        <v>arXiv</v>
      </c>
      <c r="F341">
        <f>IFERROR(__xludf.DUMMYFUNCTION("""COMPUTED_VALUE"""),2020.0)</f>
        <v>2020</v>
      </c>
      <c r="H341" s="3" t="str">
        <f>IFERROR(__xludf.DUMMYFUNCTION("""COMPUTED_VALUE"""),"AN #87")</f>
        <v>AN #87</v>
      </c>
      <c r="I341" t="str">
        <f>IFERROR(__xludf.DUMMYFUNCTION("""COMPUTED_VALUE"""),"Rohin")</f>
        <v>Rohin</v>
      </c>
      <c r="J341" t="str">
        <f>IFERROR(__xludf.DUMMYFUNCTION("""COMPUTED_VALUE"""),"This earlier paper also explicitly studies the relationship of test error to various inputs, on language models and image classification (the previous paper studied only language models). The conclusions agree with the previous paper quite well: it finds "&amp;"that smooth power laws are very good predictors for the influence of dataset size and model capacity. (It fixed the amount of compute, and so did not investigate whether there was a power law for compute, as the previous paper did.) Like the previous pape"&amp;"r, it found that it basically doesn't matter whether the model size is increased by scaling the width or the depth of the network.")</f>
        <v>This earlier paper also explicitly studies the relationship of test error to various inputs, on language models and image classification (the previous paper studied only language models). The conclusions agree with the previous paper quite well: it finds that smooth power laws are very good predictors for the influence of dataset size and model capacity. (It fixed the amount of compute, and so did not investigate whether there was a power law for compute, as the previous paper did.) Like the previous paper, it found that it basically doesn't matter whether the model size is increased by scaling the width or the depth of the network.</v>
      </c>
    </row>
    <row r="342">
      <c r="A342" t="str">
        <f>IFERROR(__xludf.DUMMYFUNCTION("""COMPUTED_VALUE"""),"Deep learning")</f>
        <v>Deep learning</v>
      </c>
      <c r="B342" t="str">
        <f>IFERROR(__xludf.DUMMYFUNCTION("""COMPUTED_VALUE"""),"Highlight")</f>
        <v>Highlight</v>
      </c>
      <c r="C342" s="3" t="str">
        <f>IFERROR(__xludf.DUMMYFUNCTION("""COMPUTED_VALUE"""),"ZeRO &amp; DeepSpeed: New system optimizations enable training models with over 100 billion parameters")</f>
        <v>ZeRO &amp; DeepSpeed: New system optimizations enable training models with over 100 billion parameters</v>
      </c>
      <c r="D342" t="str">
        <f>IFERROR(__xludf.DUMMYFUNCTION("""COMPUTED_VALUE"""),"Rangan Majumder, Junhua Wang")</f>
        <v>Rangan Majumder, Junhua Wang</v>
      </c>
      <c r="E342" t="str">
        <f>IFERROR(__xludf.DUMMYFUNCTION("""COMPUTED_VALUE"""),"Microsoft Research Blog")</f>
        <v>Microsoft Research Blog</v>
      </c>
      <c r="F342">
        <f>IFERROR(__xludf.DUMMYFUNCTION("""COMPUTED_VALUE"""),2020.0)</f>
        <v>2020</v>
      </c>
      <c r="H342" s="3" t="str">
        <f>IFERROR(__xludf.DUMMYFUNCTION("""COMPUTED_VALUE"""),"AN #87")</f>
        <v>AN #87</v>
      </c>
      <c r="I342" t="str">
        <f>IFERROR(__xludf.DUMMYFUNCTION("""COMPUTED_VALUE"""),"Asya")</f>
        <v>Asya</v>
      </c>
      <c r="J342" t="str">
        <f>IFERROR(__xludf.DUMMYFUNCTION("""COMPUTED_VALUE"""),"This paper introduces ZeRO and DeepSpeed, system optimizations that enable training significantly larger models than we have before.
_Data parallelism_ is a way of splitting data across multiple machines to increase training throughput. Instead of traini"&amp;"ng a model sequentially on one dataset, the dataset is split and models are trained in parallel. Resulting gradients on every machine are combined centrally and then used for back propagation. Previously, data parallelism approaches were memory-constraine"&amp;"d because the entire model still had to fit on each GPU, which becomes infeasible for billion to trillion-parameter models.
Instead of replicating each model on each machine, ZeRO partitions each model across machines and shares states, resulting in a pe"&amp;"r-machine memory reduction that is linear with the number of machines. (E.g., splitting across 64 GPUs yields a 64x memory reduction).
In addition to ZeRO, Microsoft is releasing DeepSpeed, a library which offers ZeRO as well as several other performance"&amp;" optimizations in an easy-to-use library for PyTorch, a popular open-source machine learning framework. They purport that their library allows for models that are 10x bigger, up to 5x faster to train, and up to 5x cheaper. They use DeepSpeed to train a [1"&amp;"7-billion-parameter language model](https://www.microsoft.com/en-us/research/blog/turing-nlg-a-17-billion-parameter-language-model-by-microsoft) which exceeds state-of-the-art results in natural language processing.")</f>
        <v>This paper introduces ZeRO and DeepSpeed, system optimizations that enable training significantly larger models than we have before.
_Data parallelism_ is a way of splitting data across multiple machines to increase training throughput. Instead of training a model sequentially on one dataset, the dataset is split and models are trained in parallel. Resulting gradients on every machine are combined centrally and then used for back propagation. Previously, data parallelism approaches were memory-constrained because the entire model still had to fit on each GPU, which becomes infeasible for billion to trillion-parameter models.
Instead of replicating each model on each machine, ZeRO partitions each model across machines and shares states, resulting in a per-machine memory reduction that is linear with the number of machines. (E.g., splitting across 64 GPUs yields a 64x memory reduction).
In addition to ZeRO, Microsoft is releasing DeepSpeed, a library which offers ZeRO as well as several other performance optimizations in an easy-to-use library for PyTorch, a popular open-source machine learning framework. They purport that their library allows for models that are 10x bigger, up to 5x faster to train, and up to 5x cheaper. They use DeepSpeed to train a [17-billion-parameter language model](https://www.microsoft.com/en-us/research/blog/turing-nlg-a-17-billion-parameter-language-model-by-microsoft) which exceeds state-of-the-art results in natural language processing.</v>
      </c>
      <c r="K342" t="str">
        <f>IFERROR(__xludf.DUMMYFUNCTION("""COMPUTED_VALUE"""),"I think this is a significant step in machine learning performance which may not be used heavily until average model sizes in general increase. The technique itself is pretty straightforward, which makes me think that as model sizes increase there may be "&amp;"a lot of similar ""low-hanging fruit"" that yield large performance gains.")</f>
        <v>I think this is a significant step in machine learning performance which may not be used heavily until average model sizes in general increase. The technique itself is pretty straightforward, which makes me think that as model sizes increase there may be a lot of similar "low-hanging fruit" that yield large performance gains.</v>
      </c>
    </row>
    <row r="343">
      <c r="A343" t="str">
        <f>IFERROR(__xludf.DUMMYFUNCTION("""COMPUTED_VALUE"""),"Deep learning")</f>
        <v>Deep learning</v>
      </c>
      <c r="B343" t="str">
        <f>IFERROR(__xludf.DUMMYFUNCTION("""COMPUTED_VALUE"""),"Highlight")</f>
        <v>Highlight</v>
      </c>
      <c r="C343" s="3" t="str">
        <f>IFERROR(__xludf.DUMMYFUNCTION("""COMPUTED_VALUE"""),"Towards a Human-like Open-Domain Chatbot")</f>
        <v>Towards a Human-like Open-Domain Chatbot</v>
      </c>
      <c r="D343" t="str">
        <f>IFERROR(__xludf.DUMMYFUNCTION("""COMPUTED_VALUE"""),"Daniel Adiwardana, Minh-Thang Luong, David R. So, Jamie Hall, Noah Fiedel, Romal Thoppilan, Zi Yang, Apoorv Kulshreshtha, Gaurav Nemade, Yifeng Lu, Quoc V. Le")</f>
        <v>Daniel Adiwardana, Minh-Thang Luong, David R. So, Jamie Hall, Noah Fiedel, Romal Thoppilan, Zi Yang, Apoorv Kulshreshtha, Gaurav Nemade, Yifeng Lu, Quoc V. Le</v>
      </c>
      <c r="E343" t="str">
        <f>IFERROR(__xludf.DUMMYFUNCTION("""COMPUTED_VALUE"""),"arXiv")</f>
        <v>arXiv</v>
      </c>
      <c r="F343">
        <f>IFERROR(__xludf.DUMMYFUNCTION("""COMPUTED_VALUE"""),2020.0)</f>
        <v>2020</v>
      </c>
      <c r="H343" s="3" t="str">
        <f>IFERROR(__xludf.DUMMYFUNCTION("""COMPUTED_VALUE"""),"AN #85")</f>
        <v>AN #85</v>
      </c>
      <c r="I343" t="str">
        <f>IFERROR(__xludf.DUMMYFUNCTION("""COMPUTED_VALUE"""),"Matthew")</f>
        <v>Matthew</v>
      </c>
      <c r="J343" t="str">
        <f>IFERROR(__xludf.DUMMYFUNCTION("""COMPUTED_VALUE"""),"This paper presents a chatbot called Meena that reaches near human-level performance for measures of human likeness. The authors mined social media to find 341 GB of public domain conversations, and trained an [evolved transformer](https://arxiv.org/abs/1"&amp;"901.11117) on those conversations. To test its performance, they devised a metric they call Sensibility and Specificity (SSA) which measures how much sense the chatbot's responses make in context, as well as whether they were specific. SSA was tightly cor"&amp;"related with perplexity and a subjective measure of human likeness, suggesting that optimizing for perplexity will translate to greater conversational ability. Meena substantially improved on the state of the art, including both hand-crafted bots like [Mi"&amp;"tsuku](https://en.wikipedia.org/wiki/Mitsuku) and the neural model [DialoGPT](https://arxiv.org/abs/1911.00536), though it still falls short of human performance. You can read some conversation transcrips [here](https://github.com/google-research/google-r"&amp;"esearch/blob/master/meena/meena.txt); many of the responses from Meena are very human-like.
See also [Import AI #183](https://jack-clark.net/2020/02/03/import-ai-183-curve-fitting-conversation-with-meena-gans-show-us-our-climate-change-future-and-what-co"&amp;"mpute-data-arbitrage-means/)")</f>
        <v>This paper presents a chatbot called Meena that reaches near human-level performance for measures of human likeness. The authors mined social media to find 341 GB of public domain conversations, and trained an [evolved transformer](https://arxiv.org/abs/1901.11117) on those conversations. To test its performance, they devised a metric they call Sensibility and Specificity (SSA) which measures how much sense the chatbot's responses make in context, as well as whether they were specific. SSA was tightly correlated with perplexity and a subjective measure of human likeness, suggesting that optimizing for perplexity will translate to greater conversational ability. Meena substantially improved on the state of the art, including both hand-crafted bots like [Mitsuku](https://en.wikipedia.org/wiki/Mitsuku) and the neural model [DialoGPT](https://arxiv.org/abs/1911.00536), though it still falls short of human performance. You can read some conversation transcrips [here](https://github.com/google-research/google-research/blob/master/meena/meena.txt); many of the responses from Meena are very human-like.
See also [Import AI #183](https://jack-clark.net/2020/02/03/import-ai-183-curve-fitting-conversation-with-meena-gans-show-us-our-climate-change-future-and-what-compute-data-arbitrage-means/)</v>
      </c>
      <c r="K343" t="str">
        <f>IFERROR(__xludf.DUMMYFUNCTION("""COMPUTED_VALUE"""),"Previously I believed that good chatbots would be hard to build, since it is challenging to find large datasets of high-quality published conversations. Given the very large dataset that the researchers were able to find, I no longer think this is a major"&amp;" barrier for chatbots. It's important to note that this result does not imply that a strong Turing test will soon be passed: the authors themselves note that SSA overestimates the abilities of Meena relative to humans. Since humans are often vague in thei"&amp;"r conversations, evaluating human conversation with SSA yields a relatively low score. Furthermore, a strong Turing test would involve a judge asking questions designed to trip AI systems, and we are not yet close to a system that could fool such judges.")</f>
        <v>Previously I believed that good chatbots would be hard to build, since it is challenging to find large datasets of high-quality published conversations. Given the very large dataset that the researchers were able to find, I no longer think this is a major barrier for chatbots. It's important to note that this result does not imply that a strong Turing test will soon be passed: the authors themselves note that SSA overestimates the abilities of Meena relative to humans. Since humans are often vague in their conversations, evaluating human conversation with SSA yields a relatively low score. Furthermore, a strong Turing test would involve a judge asking questions designed to trip AI systems, and we are not yet close to a system that could fool such judges.</v>
      </c>
    </row>
    <row r="344">
      <c r="A344" t="str">
        <f>IFERROR(__xludf.DUMMYFUNCTION("""COMPUTED_VALUE"""),"Deep learning")</f>
        <v>Deep learning</v>
      </c>
      <c r="B344" t="str">
        <f>IFERROR(__xludf.DUMMYFUNCTION("""COMPUTED_VALUE"""),"Highlight")</f>
        <v>Highlight</v>
      </c>
      <c r="C344" s="3" t="str">
        <f>IFERROR(__xludf.DUMMYFUNCTION("""COMPUTED_VALUE"""),"ReMixMatch: Semi-Supervised Learning with Distribution Alignment and Augmentation Anchoring")</f>
        <v>ReMixMatch: Semi-Supervised Learning with Distribution Alignment and Augmentation Anchoring</v>
      </c>
      <c r="D344" t="str">
        <f>IFERROR(__xludf.DUMMYFUNCTION("""COMPUTED_VALUE"""),"David Berthelot, Nicholas Carlini, Ekin D. Cubuk, Alex Kurakin, Kihyuk Sohn, Han Zhang, Colin Raffel")</f>
        <v>David Berthelot, Nicholas Carlini, Ekin D. Cubuk, Alex Kurakin, Kihyuk Sohn, Han Zhang, Colin Raffel</v>
      </c>
      <c r="E344" t="str">
        <f>IFERROR(__xludf.DUMMYFUNCTION("""COMPUTED_VALUE"""),"ICLR 2020")</f>
        <v>ICLR 2020</v>
      </c>
      <c r="F344">
        <f>IFERROR(__xludf.DUMMYFUNCTION("""COMPUTED_VALUE"""),2020.0)</f>
        <v>2020</v>
      </c>
      <c r="H344" s="3" t="str">
        <f>IFERROR(__xludf.DUMMYFUNCTION("""COMPUTED_VALUE"""),"AN #83")</f>
        <v>AN #83</v>
      </c>
      <c r="I344" t="str">
        <f>IFERROR(__xludf.DUMMYFUNCTION("""COMPUTED_VALUE"""),"Dan H")</f>
        <v>Dan H</v>
      </c>
      <c r="J344" t="str">
        <f>IFERROR(__xludf.DUMMYFUNCTION("""COMPUTED_VALUE"""),"A common criticism of deep learning is that it requires far too much training data. Some view this as a fundamental flaw that suggests we need a new approach. However, considerable data efficiency is possible with a new technique called ReMixMatch. ReMixM"&amp;"atch on CIFAR-10 obtains 84.92% accuracy using only 4 labeled examples per class. Using 250 labeled examples, or around 25 labeled examples per class, a ReMixMatch model on CIFAR-10 has 93.73% accuracy. This is approximately how well a vanilla ResNet does"&amp;" on CIFAR-10 with 50000 labeled examples. Two years ago, special techniques utilizing 250 CIFAR-10 labeled examples could enable an accuracy of approximately [53%](https://paperswithcode.com/sota/semi-supervised-image-classification-on-3). ReMixMatch buil"&amp;"ds on [MixMatch](https://arxiv.org/abs/1905.02249) and has several seemingly arbitrary design decisions, so I will refrain from describing its design. In short, deep networks do not necessarily require large labeled datasets.
And just yesterday, after th"&amp;"is summary was first written, the [FixMatch](https://arxiv.org/abs/2001.07685) paper got even better results.")</f>
        <v>A common criticism of deep learning is that it requires far too much training data. Some view this as a fundamental flaw that suggests we need a new approach. However, considerable data efficiency is possible with a new technique called ReMixMatch. ReMixMatch on CIFAR-10 obtains 84.92% accuracy using only 4 labeled examples per class. Using 250 labeled examples, or around 25 labeled examples per class, a ReMixMatch model on CIFAR-10 has 93.73% accuracy. This is approximately how well a vanilla ResNet does on CIFAR-10 with 50000 labeled examples. Two years ago, special techniques utilizing 250 CIFAR-10 labeled examples could enable an accuracy of approximately [53%](https://paperswithcode.com/sota/semi-supervised-image-classification-on-3). ReMixMatch builds on [MixMatch](https://arxiv.org/abs/1905.02249) and has several seemingly arbitrary design decisions, so I will refrain from describing its design. In short, deep networks do not necessarily require large labeled datasets.
And just yesterday, after this summary was first written, the [FixMatch](https://arxiv.org/abs/2001.07685) paper got even better results.</v>
      </c>
    </row>
    <row r="345">
      <c r="A345" t="str">
        <f>IFERROR(__xludf.DUMMYFUNCTION("""COMPUTED_VALUE"""),"Deep learning")</f>
        <v>Deep learning</v>
      </c>
      <c r="B345" t="str">
        <f>IFERROR(__xludf.DUMMYFUNCTION("""COMPUTED_VALUE"""),"Highlight")</f>
        <v>Highlight</v>
      </c>
      <c r="C345" s="3" t="str">
        <f>IFERROR(__xludf.DUMMYFUNCTION("""COMPUTED_VALUE"""),"Deep Double Descent")</f>
        <v>Deep Double Descent</v>
      </c>
      <c r="D345" t="str">
        <f>IFERROR(__xludf.DUMMYFUNCTION("""COMPUTED_VALUE"""),"Preetum Nakkiran, Gal Kaplun, Yamini Bansal, Tristan Yang, Boaz Barak, Ilya Sutskever")</f>
        <v>Preetum Nakkiran, Gal Kaplun, Yamini Bansal, Tristan Yang, Boaz Barak, Ilya Sutskever</v>
      </c>
      <c r="E345" t="str">
        <f>IFERROR(__xludf.DUMMYFUNCTION("""COMPUTED_VALUE"""),"OpenAI Blog")</f>
        <v>OpenAI Blog</v>
      </c>
      <c r="F345">
        <f>IFERROR(__xludf.DUMMYFUNCTION("""COMPUTED_VALUE"""),2019.0)</f>
        <v>2019</v>
      </c>
      <c r="H345" s="3" t="str">
        <f>IFERROR(__xludf.DUMMYFUNCTION("""COMPUTED_VALUE"""),"AN #77")</f>
        <v>AN #77</v>
      </c>
      <c r="I345" t="str">
        <f>IFERROR(__xludf.DUMMYFUNCTION("""COMPUTED_VALUE"""),"Rohin")</f>
        <v>Rohin</v>
      </c>
      <c r="J345" t="str">
        <f>IFERROR(__xludf.DUMMYFUNCTION("""COMPUTED_VALUE"""),"This blog post provides empirical evidence for the existence of the _double descent_ phenomenon, proposed in an earlier paper summarized below. Define the _effective model complexity_ (EMC) of a training procedure and a dataset to be the maximum size of t"&amp;"raining set such that the training procedure achieves a _train_ error of at most ε (they use ε = 0.1). Let's suppose you start with a small, underparameterized model with low EMC. Then initially, as you increase the EMC, the model will achieve a better fi"&amp;"t to the data, leading to lower test error. However, once the EMC is approximately equal to the size of the actual training set, then the model can ""just barely"" fit the training set, and the test error can increase or decrease. Finally, as you increase"&amp;" the EMC even further, so that the training procedure can easily fit the training set, the test error will once again _decrease_, causing a second descent in test error. This unifies the perspectives of statistics, where larger models are predicted to ove"&amp;"rfit, leading to increasing test error with higher EMC, and modern machine learning, where the common empirical wisdom is to make models as big as possible and test error will continue decreasing.
They show that this pattern arises in a variety of simple"&amp;" settings. As you increase the width of a ResNet up to 64, you can observe double descent in the final test error of the trained model. In addition, if you fix a large overparameterized model and change the number of epochs for which it is trained, you se"&amp;"e another double descent curve, which means that simply training longer can actually _correct overfitting_. Finally, if you fix a training procedure and change the size of the dataset, you can see a double descent curve as the size of the dataset decrease"&amp;"s. This actually implies that there are points in which _more data is worse_, because the training procedure is in the critical interpolation region where test error can increase. Note that most of these results only occur when there is _label noise_ pres"&amp;"ent, that is, some proportion of the training set (usually 10-20%) is given random incorrect labels. Some results still occur without label noise, but the resulting double descent peak is quite small. The authors hypothesize that label noise leads to the "&amp;"effect because double descent occurs when the model is misspecified, though it is not clear to me what it means for a model to be misspecified in this context.")</f>
        <v>This blog post provides empirical evidence for the existence of the _double descent_ phenomenon, proposed in an earlier paper summarized below. Define the _effective model complexity_ (EMC) of a training procedure and a dataset to be the maximum size of training set such that the training procedure achieves a _train_ error of at most ε (they use ε = 0.1). Let's suppose you start with a small, underparameterized model with low EMC. Then initially, as you increase the EMC, the model will achieve a better fit to the data, leading to lower test error. However, once the EMC is approximately equal to the size of the actual training set, then the model can "just barely" fit the training set, and the test error can increase or decrease. Finally, as you increase the EMC even further, so that the training procedure can easily fit the training set, the test error will once again _decrease_, causing a second descent in test error. This unifies the perspectives of statistics, where larger models are predicted to overfit, leading to increasing test error with higher EMC, and modern machine learning, where the common empirical wisdom is to make models as big as possible and test error will continue decreasing.
They show that this pattern arises in a variety of simple settings. As you increase the width of a ResNet up to 64, you can observe double descent in the final test error of the trained model. In addition, if you fix a large overparameterized model and change the number of epochs for which it is trained, you see another double descent curve, which means that simply training longer can actually _correct overfitting_. Finally, if you fix a training procedure and change the size of the dataset, you can see a double descent curve as the size of the dataset decreases. This actually implies that there are points in which _more data is worse_, because the training procedure is in the critical interpolation region where test error can increase. Note that most of these results only occur when there is _label noise_ present, that is, some proportion of the training set (usually 10-20%) is given random incorrect labels. Some results still occur without label noise, but the resulting double descent peak is quite small. The authors hypothesize that label noise leads to the effect because double descent occurs when the model is misspecified, though it is not clear to me what it means for a model to be misspecified in this context.</v>
      </c>
      <c r="K345" t="str">
        <f>IFERROR(__xludf.DUMMYFUNCTION("""COMPUTED_VALUE"""),"While I previously didn't think that double descent was a real phenomenon (see summaries later in this email for details), these experiments convinced me that I was wrong and in fact there is something real going on. Note that the settings studied in this"&amp;" work are still not fully representative of typical use of neural nets today; the label noise is the most obvious difference, but also e.g. ResNets are usually trained with higher widths than studied in this paper. So the phenomenon might not generalize t"&amp;"o neural nets as used in practice, but nonetheless, there's _some_ real phenomenon here, which flies in the face of all of my intuitions. 
The authors don't really suggest an explanation; the closest they come is speculating that at the interpolation thr"&amp;"eshold there's only ~one model that can fit the data, which may be overfit, but then as you increase further the training procedure can ""choose"" from the various models that all fit the data, and that ""choice"" leads to better generalization. But this "&amp;"doesn't make sense to me, because whatever is being used to ""choose"" the better model applies throughout training, and so even at the interpolation threshold the model should have been selected throughout training to be the type of model that generalize"&amp;"d well. (For example, if you think that regularization is providing a simplicity bias that leads to better generalization, the regularization should also help models at the interpolation threshold, since you always regularize throughout training.)
Perhap"&amp;"s one explanation could be that in order for the regularization to work, there needs to be a ""direction"" in the space of model parameters that doesn't lead to increased training error, so that the model can move along that direction towards a simpler mo"&amp;"del. Each training data point defines a particular direction in which training error will increase. So, when the number of training points is equal to the number of parameters, the training points just barely cover all of the directions, and then as you i"&amp;"ncrease the number of parameters further, that starts creating new directions that are not constrained by the training points, allowing the regularization to work much better. (In fact, the [original paper](https://arxiv.org/abs/1812.11118), summarized be"&amp;"low, _defined_ the interpolation threshold as the point where number of parameters equals the size of the training dataset.) However, while this could explain model-wise double descent and training-set-size double descent, it's not a great explanation for"&amp;" epoch-wise double descent.")</f>
        <v>While I previously didn't think that double descent was a real phenomenon (see summaries later in this email for details), these experiments convinced me that I was wrong and in fact there is something real going on. Note that the settings studied in this work are still not fully representative of typical use of neural nets today; the label noise is the most obvious difference, but also e.g. ResNets are usually trained with higher widths than studied in this paper. So the phenomenon might not generalize to neural nets as used in practice, but nonetheless, there's _some_ real phenomenon here, which flies in the face of all of my intuitions. 
The authors don't really suggest an explanation; the closest they come is speculating that at the interpolation threshold there's only ~one model that can fit the data, which may be overfit, but then as you increase further the training procedure can "choose" from the various models that all fit the data, and that "choice" leads to better generalization. But this doesn't make sense to me, because whatever is being used to "choose" the better model applies throughout training, and so even at the interpolation threshold the model should have been selected throughout training to be the type of model that generalized well. (For example, if you think that regularization is providing a simplicity bias that leads to better generalization, the regularization should also help models at the interpolation threshold, since you always regularize throughout training.)
Perhaps one explanation could be that in order for the regularization to work, there needs to be a "direction" in the space of model parameters that doesn't lead to increased training error, so that the model can move along that direction towards a simpler model. Each training data point defines a particular direction in which training error will increase. So, when the number of training points is equal to the number of parameters, the training points just barely cover all of the directions, and then as you increase the number of parameters further, that starts creating new directions that are not constrained by the training points, allowing the regularization to work much better. (In fact, the [original paper](https://arxiv.org/abs/1812.11118), summarized below, _defined_ the interpolation threshold as the point where number of parameters equals the size of the training dataset.) However, while this could explain model-wise double descent and training-set-size double descent, it's not a great explanation for epoch-wise double descent.</v>
      </c>
      <c r="M345" s="3" t="str">
        <f>IFERROR(__xludf.DUMMYFUNCTION("""COMPUTED_VALUE"""),"Paper: Deep Double Descent: Where Bigger Models and More Data Hurt")</f>
        <v>Paper: Deep Double Descent: Where Bigger Models and More Data Hurt</v>
      </c>
    </row>
    <row r="346">
      <c r="A346" t="str">
        <f>IFERROR(__xludf.DUMMYFUNCTION("""COMPUTED_VALUE"""),"Deep learning")</f>
        <v>Deep learning</v>
      </c>
      <c r="B346" t="str">
        <f>IFERROR(__xludf.DUMMYFUNCTION("""COMPUTED_VALUE"""),"Highlight")</f>
        <v>Highlight</v>
      </c>
      <c r="C346" s="3" t="str">
        <f>IFERROR(__xludf.DUMMYFUNCTION("""COMPUTED_VALUE"""),"Are Deep Neural Networks Dramatically Overfitted?")</f>
        <v>Are Deep Neural Networks Dramatically Overfitted?</v>
      </c>
      <c r="D346" t="str">
        <f>IFERROR(__xludf.DUMMYFUNCTION("""COMPUTED_VALUE"""),"Lilian Weng")</f>
        <v>Lilian Weng</v>
      </c>
      <c r="E346" t="str">
        <f>IFERROR(__xludf.DUMMYFUNCTION("""COMPUTED_VALUE"""),"Author's Website")</f>
        <v>Author's Website</v>
      </c>
      <c r="F346">
        <f>IFERROR(__xludf.DUMMYFUNCTION("""COMPUTED_VALUE"""),2019.0)</f>
        <v>2019</v>
      </c>
      <c r="H346" s="3" t="str">
        <f>IFERROR(__xludf.DUMMYFUNCTION("""COMPUTED_VALUE"""),"AN #53")</f>
        <v>AN #53</v>
      </c>
      <c r="I346" t="str">
        <f>IFERROR(__xludf.DUMMYFUNCTION("""COMPUTED_VALUE"""),"Rohin")</f>
        <v>Rohin</v>
      </c>
      <c r="J346" t="str">
        <f>IFERROR(__xludf.DUMMYFUNCTION("""COMPUTED_VALUE"""),"The concepts of underfitting and overfitting, and their relation to the bias-variance tradeoff, are fundamental to standard machine learning theory. Roughly, for a fixed amount of data, there is an optimal model complexity for learning from that data: any"&amp;" less complex and the model won't be able to fit the data, and any more complex and it will overfit to noise in the data. This means that as you increase model complexity, training error will go down to zero, but validation error will go down and then sta"&amp;"rt turning back up once the model is overfitting.
We know that neural networks are much more expressive than the theory would predict is optimal, both from theorems showing that neural networks can learn any function (including one that provides a rather"&amp;" tight bound on number of parameters), as well as a [paper](https://arxiv.org/abs/1611.03530) showing that neural nets can learn random noise. Yet they work well in practice, achieving good within-distribution generalization.
The post starts with a brief"&amp;" summary of topics that readers of this newsletter are probably familiar with: Occam's razor, the Minimum Description Length principle, Kolmogorov Complexity, and Solomonoff Induction. If you don't know these, I strongly recommend learning them if you car"&amp;"e about understanding within-distribution generalization. The post then looks at a few recent informative papers, and tries to reproduce them.
The [first one](https://arxiv.org/abs/1812.11118) is the most surprising: they find that as you increase the mo"&amp;"del complexity, your validation error goes down and then back up, as expected, but then at some point it enters a new regime and goes down again. However, the author notes that you have to set up the experiments just right to get the smooth curves the pap"&amp;"er got, and her own attempts at reproducing the result are not nearly as dramatic.
Another [paper](https://arxiv.org/abs/1804.08838) measures the difficulty of a task based on its ""intrinsic dimension"", which Cody has summarized separately in this news"&amp;"letter.
The [last paper](https://arxiv.org/abs/1902.01996) looks at what happens if you (a) reset some layer's parameters to the initial parameters and (b) randomize some layer's parameters. They find that randomizing always destroys performance, but res"&amp;"etting to initial parameters doesn't make much of a difference for later layers, while being bad for earlier layers. This was easy to reproduce, and the findings reemerge very clearly.")</f>
        <v>The concepts of underfitting and overfitting, and their relation to the bias-variance tradeoff, are fundamental to standard machine learning theory. Roughly, for a fixed amount of data, there is an optimal model complexity for learning from that data: any less complex and the model won't be able to fit the data, and any more complex and it will overfit to noise in the data. This means that as you increase model complexity, training error will go down to zero, but validation error will go down and then start turning back up once the model is overfitting.
We know that neural networks are much more expressive than the theory would predict is optimal, both from theorems showing that neural networks can learn any function (including one that provides a rather tight bound on number of parameters), as well as a [paper](https://arxiv.org/abs/1611.03530) showing that neural nets can learn random noise. Yet they work well in practice, achieving good within-distribution generalization.
The post starts with a brief summary of topics that readers of this newsletter are probably familiar with: Occam's razor, the Minimum Description Length principle, Kolmogorov Complexity, and Solomonoff Induction. If you don't know these, I strongly recommend learning them if you care about understanding within-distribution generalization. The post then looks at a few recent informative papers, and tries to reproduce them.
The [first one](https://arxiv.org/abs/1812.11118) is the most surprising: they find that as you increase the model complexity, your validation error goes down and then back up, as expected, but then at some point it enters a new regime and goes down again. However, the author notes that you have to set up the experiments just right to get the smooth curves the paper got, and her own attempts at reproducing the result are not nearly as dramatic.
Another [paper](https://arxiv.org/abs/1804.08838) measures the difficulty of a task based on its "intrinsic dimension", which Cody has summarized separately in this newsletter.
The [last paper](https://arxiv.org/abs/1902.01996) looks at what happens if you (a) reset some layer's parameters to the initial parameters and (b) randomize some layer's parameters. They find that randomizing always destroys performance, but resetting to initial parameters doesn't make much of a difference for later layers, while being bad for earlier layers. This was easy to reproduce, and the findings reemerge very clearly.</v>
      </c>
      <c r="K346" t="str">
        <f>IFERROR(__xludf.DUMMYFUNCTION("""COMPUTED_VALUE"""),"I'm very interested in this problem, and this post does a great job of introducing it and summarizing some of the recent work. I especially appreciated the attempts at reproducing the results.
On the papers themselves, a regime where you already have ~ze"&amp;"ro training error but validation error goes _down_ as you increase model expressivity is exceedingly strange. Skimming the paper, it seems that the idea is that in the normal ML regime, you are only minimizing training error -- but once you can get the tr"&amp;"aining error to zero, you can then optimize for the ""simplest"" model with zero training error, which by Occam's Razor-style arguments should be the best one and lead to better validation performance. This makes sense in the theoretical model that they u"&amp;"se, but it's not clear to me how this applies to neural nets, where you aren't explicitly optimizing for simplicity after getting zero training error. (Techniques like regularization don't result in one-after-the-other optimization -- you're optimizing fo"&amp;"r both simplicity and low training error simultaneously, so you wouldn't expect this critical point at which you enter a new regime.) So I still don't understand these results. That said, given the difficulty with reproducing them, I'm not going to put to"&amp;"o much weight on these results now.
I tried to predict the results of the last paper and correctly predicted that randomizing would always destroy performance, but predicted that resetting to initialization would be okay for _early_ layers instead of lat"&amp;"er layers. I had a couple of reasons for the wrong prediction. First, there had been a few papers that showed good results even with random features, suggesting the initial layers aren't too important, and so maybe don't get updated too much. Second, the "&amp;"gradient of the loss w.r.t later layers requires only a few backpropagation steps, and so probably provides a clear, consistent direction moving it far away from the initial configuration, while the gradient w.r.t earlier layers factors through the later "&amp;"layers which may have weird or wrong values and so might push in an unusual direction that might get cancelled out across multiple gradient updates. I skimmed the paper and it doesn't really speculate on why this happens, and my thoughts still seem reason"&amp;"able to me, so this is another fact that I have yet to explain.")</f>
        <v>I'm very interested in this problem, and this post does a great job of introducing it and summarizing some of the recent work. I especially appreciated the attempts at reproducing the results.
On the papers themselves, a regime where you already have ~zero training error but validation error goes _down_ as you increase model expressivity is exceedingly strange. Skimming the paper, it seems that the idea is that in the normal ML regime, you are only minimizing training error -- but once you can get the training error to zero, you can then optimize for the "simplest" model with zero training error, which by Occam's Razor-style arguments should be the best one and lead to better validation performance. This makes sense in the theoretical model that they use, but it's not clear to me how this applies to neural nets, where you aren't explicitly optimizing for simplicity after getting zero training error. (Techniques like regularization don't result in one-after-the-other optimization -- you're optimizing for both simplicity and low training error simultaneously, so you wouldn't expect this critical point at which you enter a new regime.) So I still don't understand these results. That said, given the difficulty with reproducing them, I'm not going to put too much weight on these results now.
I tried to predict the results of the last paper and correctly predicted that randomizing would always destroy performance, but predicted that resetting to initialization would be okay for _early_ layers instead of later layers. I had a couple of reasons for the wrong prediction. First, there had been a few papers that showed good results even with random features, suggesting the initial layers aren't too important, and so maybe don't get updated too much. Second, the gradient of the loss w.r.t later layers requires only a few backpropagation steps, and so probably provides a clear, consistent direction moving it far away from the initial configuration, while the gradient w.r.t earlier layers factors through the later layers which may have weird or wrong values and so might push in an unusual direction that might get cancelled out across multiple gradient updates. I skimmed the paper and it doesn't really speculate on why this happens, and my thoughts still seem reasonable to me, so this is another fact that I have yet to explain.</v>
      </c>
    </row>
    <row r="347">
      <c r="A347" t="str">
        <f>IFERROR(__xludf.DUMMYFUNCTION("""COMPUTED_VALUE"""),"Deep learning")</f>
        <v>Deep learning</v>
      </c>
      <c r="B347" t="str">
        <f>IFERROR(__xludf.DUMMYFUNCTION("""COMPUTED_VALUE"""),"Highlight")</f>
        <v>Highlight</v>
      </c>
      <c r="C347" s="3" t="str">
        <f>IFERROR(__xludf.DUMMYFUNCTION("""COMPUTED_VALUE"""),"Better Language Models and Their Implications")</f>
        <v>Better Language Models and Their Implications</v>
      </c>
      <c r="D347" t="str">
        <f>IFERROR(__xludf.DUMMYFUNCTION("""COMPUTED_VALUE"""),"Alec Radford, Jeffrey Wu, Dario Amodei, Daniela Amodei, Jack Clark, Miles Brundage,and Ilya Sutskever")</f>
        <v>Alec Radford, Jeffrey Wu, Dario Amodei, Daniela Amodei, Jack Clark, Miles Brundage,and Ilya Sutskever</v>
      </c>
      <c r="E347" t="str">
        <f>IFERROR(__xludf.DUMMYFUNCTION("""COMPUTED_VALUE"""),"OpenAI Blog")</f>
        <v>OpenAI Blog</v>
      </c>
      <c r="F347">
        <f>IFERROR(__xludf.DUMMYFUNCTION("""COMPUTED_VALUE"""),2019.0)</f>
        <v>2019</v>
      </c>
      <c r="H347" s="3" t="str">
        <f>IFERROR(__xludf.DUMMYFUNCTION("""COMPUTED_VALUE"""),"AN #46")</f>
        <v>AN #46</v>
      </c>
      <c r="I347" t="str">
        <f>IFERROR(__xludf.DUMMYFUNCTION("""COMPUTED_VALUE"""),"Rohin")</f>
        <v>Rohin</v>
      </c>
      <c r="J347" t="str">
        <f>IFERROR(__xludf.DUMMYFUNCTION("""COMPUTED_VALUE"""),"OpenAI has trained a scaled up GPT model using unsupervised learning (specifically, predicting the next word given a very large context) on a very large dataset with presumably very large compute. The resulting language model can produce impressive langua"&amp;"ge samples (with some cherry-picking) that to my eye are particularly good at handling long-range dependencies, which makes sense since it is based on the [Transformer](https://arxiv.org/abs/1706.03762) (see Transformer-XL entry in [AN #44](https://mailch"&amp;"i.mp/6bfac400a0c3/alignment-newsletter-44)). It sets new state of the art performance on 7 out of 8 language modeling tasks, including difficult datasets such as [LAMBADA](https://arxiv.org/abs/1606.06031), _without using the training data for those tasks"&amp;"_. It can also be used for more structured tasks by providing a particular context -- for example, to summarize a document, you can provide the document followed by ""TL;DR:"" in order to induce GPT-2 to ""predict"" a summary. (They use a different predic"&amp;"tion algorithm in order to improve summarization results, but I suspect even with regular prediction you'd get something in the right ballpark.) On these more structured tasks, it doesn't get anywhere near the state of the art set by specialized systems -"&amp;"- but again, this is without any finetuning for the specific task that we are testing.
The [paper](https://d4mucfpksywv.cloudfront.net/better-language-models/language-models.pdf) argues that in order to get generally capable AI systems, we will need to t"&amp;"rain them on many different tasks, as in meta-learning. However, we might expect that we need hundreds of thousands of tasks in order to learn something general, just as we need hundreds of thousands of examples in order to develop good classifiers. Predi"&amp;"ction of the next word in natural language is particularly good for this, because in order to predict well across a huge variety of text, you need to become good at many different tasks such as question answering, summarization, and even translation. The "&amp;"biggest challenge is in creating a dataset that has sufficient diversity -- they do this by scraping all outbound links from Reddit with at least 3 karma.
Unusually for research, but in accordance with [its charter](https://blog.openai.com/openai-charter"&amp;"/) ([AN #2](https://mailchi.mp/14782876a85d/alignment-newsletter-2)), OpenAI has decided not to release the model publicly, citing the possibility of malicious uses of the model. This has been controversial, with the debate raging for days on Twitter. I h"&amp;"aven't paid enough attention to the debate to give a reasonable summary so you'll have to rely on other sources for that.")</f>
        <v>OpenAI has trained a scaled up GPT model using unsupervised learning (specifically, predicting the next word given a very large context) on a very large dataset with presumably very large compute. The resulting language model can produce impressive language samples (with some cherry-picking) that to my eye are particularly good at handling long-range dependencies, which makes sense since it is based on the [Transformer](https://arxiv.org/abs/1706.03762) (see Transformer-XL entry in [AN #44](https://mailchi.mp/6bfac400a0c3/alignment-newsletter-44)). It sets new state of the art performance on 7 out of 8 language modeling tasks, including difficult datasets such as [LAMBADA](https://arxiv.org/abs/1606.06031), _without using the training data for those tasks_. It can also be used for more structured tasks by providing a particular context -- for example, to summarize a document, you can provide the document followed by "TL;DR:" in order to induce GPT-2 to "predict" a summary. (They use a different prediction algorithm in order to improve summarization results, but I suspect even with regular prediction you'd get something in the right ballpark.) On these more structured tasks, it doesn't get anywhere near the state of the art set by specialized systems -- but again, this is without any finetuning for the specific task that we are testing.
The [paper](https://d4mucfpksywv.cloudfront.net/better-language-models/language-models.pdf) argues that in order to get generally capable AI systems, we will need to train them on many different tasks, as in meta-learning. However, we might expect that we need hundreds of thousands of tasks in order to learn something general, just as we need hundreds of thousands of examples in order to develop good classifiers. Prediction of the next word in natural language is particularly good for this, because in order to predict well across a huge variety of text, you need to become good at many different tasks such as question answering, summarization, and even translation. The biggest challenge is in creating a dataset that has sufficient diversity -- they do this by scraping all outbound links from Reddit with at least 3 karma.
Unusually for research, but in accordance with [its charter](https://blog.openai.com/openai-charter/) ([AN #2](https://mailchi.mp/14782876a85d/alignment-newsletter-2)), OpenAI has decided not to release the model publicly, citing the possibility of malicious uses of the model. This has been controversial, with the debate raging for days on Twitter. I haven't paid enough attention to the debate to give a reasonable summary so you'll have to rely on other sources for that.</v>
      </c>
      <c r="K347" t="str">
        <f>IFERROR(__xludf.DUMMYFUNCTION("""COMPUTED_VALUE"""),"These are some pretty impressive results. I'm surprised that all of this came from a single order of magnitude more data and model size, I would have expected it to take more than that. I think this lends a lot of support to the hypothesis that unsupervis"&amp;"ed learning with sufficient amounts of compute and diverse data can lead to generally capable AI systems. (See this [SlateStarCodex post](https://slatestarcodex.com/2019/02/19/gpt-2-as-step-toward-general-intelligence/) for a more detailed version of this"&amp;" take.) This is also some evidence that we will have AI systems that can pass the Turing Test before we have general AI systems, that is, the Turing Test is not AI-complete.")</f>
        <v>These are some pretty impressive results. I'm surprised that all of this came from a single order of magnitude more data and model size, I would have expected it to take more than that. I think this lends a lot of support to the hypothesis that unsupervised learning with sufficient amounts of compute and diverse data can lead to generally capable AI systems. (See this [SlateStarCodex post](https://slatestarcodex.com/2019/02/19/gpt-2-as-step-toward-general-intelligence/) for a more detailed version of this take.) This is also some evidence that we will have AI systems that can pass the Turing Test before we have general AI systems, that is, the Turing Test is not AI-complete.</v>
      </c>
      <c r="M347" s="3" t="str">
        <f>IFERROR(__xludf.DUMMYFUNCTION("""COMPUTED_VALUE"""),"Language Models are Unsupervised Multitask Learners")</f>
        <v>Language Models are Unsupervised Multitask Learners</v>
      </c>
    </row>
    <row r="348">
      <c r="A348" t="str">
        <f>IFERROR(__xludf.DUMMYFUNCTION("""COMPUTED_VALUE"""),"Deep learning")</f>
        <v>Deep learning</v>
      </c>
      <c r="B348" t="str">
        <f>IFERROR(__xludf.DUMMYFUNCTION("""COMPUTED_VALUE"""),"Highlight")</f>
        <v>Highlight</v>
      </c>
      <c r="C348" s="3" t="str">
        <f>IFERROR(__xludf.DUMMYFUNCTION("""COMPUTED_VALUE"""),"Transformer-XL: Unleashing the Potential of Attention Models")</f>
        <v>Transformer-XL: Unleashing the Potential of Attention Models</v>
      </c>
      <c r="D348" t="str">
        <f>IFERROR(__xludf.DUMMYFUNCTION("""COMPUTED_VALUE"""),"Zihang Dai, Zhilin Yang and 
Quoc Le, Google AI")</f>
        <v>Zihang Dai, Zhilin Yang and 
Quoc Le, Google AI</v>
      </c>
      <c r="E348" t="str">
        <f>IFERROR(__xludf.DUMMYFUNCTION("""COMPUTED_VALUE"""),"Google AI Blog")</f>
        <v>Google AI Blog</v>
      </c>
      <c r="F348">
        <f>IFERROR(__xludf.DUMMYFUNCTION("""COMPUTED_VALUE"""),2019.0)</f>
        <v>2019</v>
      </c>
      <c r="H348" s="3" t="str">
        <f>IFERROR(__xludf.DUMMYFUNCTION("""COMPUTED_VALUE"""),"AN #44")</f>
        <v>AN #44</v>
      </c>
      <c r="I348" t="str">
        <f>IFERROR(__xludf.DUMMYFUNCTION("""COMPUTED_VALUE"""),"Rohin")</f>
        <v>Rohin</v>
      </c>
      <c r="J348" t="str">
        <f>IFERROR(__xludf.DUMMYFUNCTION("""COMPUTED_VALUE"""),"[Transformer](https://ai.googleblog.com/2017/08/transformer-novel-neural-network.html) architectures have become all the rage recently, showing better performance on many tasks compared to CNNs and RNNs. This post introduces Transformer-XL, an improvement"&amp;" on the Transformer architecture for very long sequences.
The key idea with the original Transformer architecture is to use self-attention layers to analyze sequences instead of something recurrent like an RNN, which has problems with vanishing and explo"&amp;"ding gradients. An attention layer takes as input a query q and key-value pairs (K, V). The query q is ""compared"" against every key k, and that is used to decide whether to return the corresponding value v. In their particular implementation, for each k"&amp;"ey k, you take the dot product of q and k to get a ""weight"", which is then used to return the weighted average of all of the values. So, you can think of the attention layer as taking in a query q, and returning the ""average"" value corresponding to ke"&amp;"ys that are ""similar"" to q (since dot product is a measure of how aligned two vectors are). Typically, in an attention layer, some subset of Q, K and V will be learned. With _self-attention_, Q, K and V are all sourced from _the same place_ -- the resul"&amp;"t of the previous layer (or the input if this is the first layer). Of course, it's not exactly the output from the previous layer -- if that were the case, there would be no parameters to learn. They instead learn three _linear projections_ (i.e. matrices"&amp;") that map from the output of the previous layer to Q, K and V respectively, and then feed the generated Q, K and V into a self-attention layer to compute the final output. And actually, instead of having a single set of projections, they have multiple se"&amp;"ts that each contain three learned linear projections, that are all then used for attention, and then combined together for the next layer by another learned matrix. This is called _multi-head attention_.
Of course, with attention, you are treating your "&amp;"data as a set of key-value pairs, which means that the order of the key value pairs does not matter. However, the order of words in a sentence is obviously important. To allow the model to make use of position information, they augment each word and add p"&amp;"osition information to it. You could do this just by literally appending a single number to each word embedding representing its absolute position, but then it would be hard for the neural net to ask about a word that was ""3 words prior"". To make this e"&amp;"asier for the net to learn, they create a vector of numbers to represent the absolute position based on sinusoids such that ""go back 3 words"" can be computed by a linear function, which should be easy to learn, and add _(not concatenate!)_ it elementwis"&amp;"e to the word embedding.
This model works great when you are working with a single sentence, where you can attend over the entire sentence at once, but doesn't work as well when you are working with eg. entire documents. So far, people have simply broken"&amp;" up documents into segments of a particular size N and trained Transformer models over these segments. Then, at test time, for each word, they use the past N - 1 words as context and run the model over all N words to get the output. This cannot model any "&amp;"dependencies that have range larger than N. The Transformer-XL model fixes this issue by taking the segments that vanilla Transformers use, and adding recurrence. Now, in addition to the normal output predictions we get from segments, we also get as outpu"&amp;"t a new hidden state, that is then passed in to the next segment's Transformer layer. This allows for arbitrarily far long-range dependencies. However, this screws up our position information -- each word in each segment is augmented with _absolute_ posit"&amp;"ion information, but this doesn't make sense across segments, since there will now be multiple words at (say) position 2 -- one for each segment. At this point, we actually want _relative_ positions instead of absolute ones. They show how to do this -- it"&amp;"'s quite cool but I don't know how to explain it without going into the math and this has gotten long already. Suffice it to say that they look at the interaction between arbitrary words x_i and x_j, see the terms that arise in the computation when you ad"&amp;"d absolute position embeddings to each of them, and then change the terms so that they only depend on the difference j - i, which is a relative position.
This new model is state of the art on several tasks, though I don't know what the standard benchmark"&amp;"s are here so I don't know how impressed I should be.")</f>
        <v>[Transformer](https://ai.googleblog.com/2017/08/transformer-novel-neural-network.html) architectures have become all the rage recently, showing better performance on many tasks compared to CNNs and RNNs. This post introduces Transformer-XL, an improvement on the Transformer architecture for very long sequences.
The key idea with the original Transformer architecture is to use self-attention layers to analyze sequences instead of something recurrent like an RNN, which has problems with vanishing and exploding gradients. An attention layer takes as input a query q and key-value pairs (K, V). The query q is "compared" against every key k, and that is used to decide whether to return the corresponding value v. In their particular implementation, for each key k, you take the dot product of q and k to get a "weight", which is then used to return the weighted average of all of the values. So, you can think of the attention layer as taking in a query q, and returning the "average" value corresponding to keys that are "similar" to q (since dot product is a measure of how aligned two vectors are). Typically, in an attention layer, some subset of Q, K and V will be learned. With _self-attention_, Q, K and V are all sourced from _the same place_ -- the result of the previous layer (or the input if this is the first layer). Of course, it's not exactly the output from the previous layer -- if that were the case, there would be no parameters to learn. They instead learn three _linear projections_ (i.e. matrices) that map from the output of the previous layer to Q, K and V respectively, and then feed the generated Q, K and V into a self-attention layer to compute the final output. And actually, instead of having a single set of projections, they have multiple sets that each contain three learned linear projections, that are all then used for attention, and then combined together for the next layer by another learned matrix. This is called _multi-head attention_.
Of course, with attention, you are treating your data as a set of key-value pairs, which means that the order of the key value pairs does not matter. However, the order of words in a sentence is obviously important. To allow the model to make use of position information, they augment each word and add position information to it. You could do this just by literally appending a single number to each word embedding representing its absolute position, but then it would be hard for the neural net to ask about a word that was "3 words prior". To make this easier for the net to learn, they create a vector of numbers to represent the absolute position based on sinusoids such that "go back 3 words" can be computed by a linear function, which should be easy to learn, and add _(not concatenate!)_ it elementwise to the word embedding.
This model works great when you are working with a single sentence, where you can attend over the entire sentence at once, but doesn't work as well when you are working with eg. entire documents. So far, people have simply broken up documents into segments of a particular size N and trained Transformer models over these segments. Then, at test time, for each word, they use the past N - 1 words as context and run the model over all N words to get the output. This cannot model any dependencies that have range larger than N. The Transformer-XL model fixes this issue by taking the segments that vanilla Transformers use, and adding recurrence. Now, in addition to the normal output predictions we get from segments, we also get as output a new hidden state, that is then passed in to the next segment's Transformer layer. This allows for arbitrarily far long-range dependencies. However, this screws up our position information -- each word in each segment is augmented with _absolute_ position information, but this doesn't make sense across segments, since there will now be multiple words at (say) position 2 -- one for each segment. At this point, we actually want _relative_ positions instead of absolute ones. They show how to do this -- it's quite cool but I don't know how to explain it without going into the math and this has gotten long already. Suffice it to say that they look at the interaction between arbitrary words x_i and x_j, see the terms that arise in the computation when you add absolute position embeddings to each of them, and then change the terms so that they only depend on the difference j - i, which is a relative position.
This new model is state of the art on several tasks, though I don't know what the standard benchmarks are here so I don't know how impressed I should be.</v>
      </c>
      <c r="K348" t="str">
        <f>IFERROR(__xludf.DUMMYFUNCTION("""COMPUTED_VALUE"""),"It's quite interesting that even though the point of Transformer was to get away from recurrent structures, adding them back in leads to significant improvements. Of course, the recurrent structure is now at the higher level of segments, rather than at th"&amp;"e word or character level. This reminds me a lot of hierarchy -- it seems like we're using the Transformer as a basic building block that works on the ~sentence level so that our RNN-like structure can deal with a higher level of abstraction (which of cou"&amp;"rse also helps with vanishing/exploding gradients).
There's an interesting pattern where hierarchy and structure seem to be a good inductive bias, that let you get good performance with limited compute and data, but as those limits subside, you're better"&amp;" off doing something that has less bias. This would predict that as we get more data and compute, we would want larger Transformer models (i.e. longer segments) and less recurrence. It would be interesting to see if that actually holds.")</f>
        <v>It's quite interesting that even though the point of Transformer was to get away from recurrent structures, adding them back in leads to significant improvements. Of course, the recurrent structure is now at the higher level of segments, rather than at the word or character level. This reminds me a lot of hierarchy -- it seems like we're using the Transformer as a basic building block that works on the ~sentence level so that our RNN-like structure can deal with a higher level of abstraction (which of course also helps with vanishing/exploding gradients).
There's an interesting pattern where hierarchy and structure seem to be a good inductive bias, that let you get good performance with limited compute and data, but as those limits subside, you're better off doing something that has less bias. This would predict that as we get more data and compute, we would want larger Transformer models (i.e. longer segments) and less recurrence. It would be interesting to see if that actually holds.</v>
      </c>
    </row>
    <row r="349">
      <c r="A349" t="str">
        <f>IFERROR(__xludf.DUMMYFUNCTION("""COMPUTED_VALUE"""),"Deep learning")</f>
        <v>Deep learning</v>
      </c>
      <c r="B349" t="str">
        <f>IFERROR(__xludf.DUMMYFUNCTION("""COMPUTED_VALUE"""),"Highlight")</f>
        <v>Highlight</v>
      </c>
      <c r="C349" s="3" t="str">
        <f>IFERROR(__xludf.DUMMYFUNCTION("""COMPUTED_VALUE"""),"Reptile: A Scalable Meta-Learning Algorithm")</f>
        <v>Reptile: A Scalable Meta-Learning Algorithm</v>
      </c>
      <c r="D349" t="str">
        <f>IFERROR(__xludf.DUMMYFUNCTION("""COMPUTED_VALUE"""),"Alex Nichol and John Schulman")</f>
        <v>Alex Nichol and John Schulman</v>
      </c>
      <c r="E349" t="str">
        <f>IFERROR(__xludf.DUMMYFUNCTION("""COMPUTED_VALUE"""),"OpenAI Blog")</f>
        <v>OpenAI Blog</v>
      </c>
      <c r="F349">
        <f>IFERROR(__xludf.DUMMYFUNCTION("""COMPUTED_VALUE"""),2018.0)</f>
        <v>2018</v>
      </c>
      <c r="I349" t="str">
        <f>IFERROR(__xludf.DUMMYFUNCTION("""COMPUTED_VALUE"""),"Rohin")</f>
        <v>Rohin</v>
      </c>
      <c r="J349" t="str">
        <f>IFERROR(__xludf.DUMMYFUNCTION("""COMPUTED_VALUE"""),"I somehow forgot to include this in past emails, so I'm including it now. Reptile is an algorithm for meta-learning, and in this paper is applied to few-shot classification, where given a few examples of different classes, you must learn a good classifica"&amp;"tion algorithm for those classes. The authors show using a Taylor expansion that [MAML](https://arxiv.org/abs/1703.03400) and Reptile have very similar gradients to first order in alpha, the step size. Their evaluation shows that for the few-shot classifi"&amp;"cation case, Reptile and MAML perform similarly (though they do not evaluate on reinforcement learning tasks, as in the MAML paper).")</f>
        <v>I somehow forgot to include this in past emails, so I'm including it now. Reptile is an algorithm for meta-learning, and in this paper is applied to few-shot classification, where given a few examples of different classes, you must learn a good classification algorithm for those classes. The authors show using a Taylor expansion that [MAML](https://arxiv.org/abs/1703.03400) and Reptile have very similar gradients to first order in alpha, the step size. Their evaluation shows that for the few-shot classification case, Reptile and MAML perform similarly (though they do not evaluate on reinforcement learning tasks, as in the MAML paper).</v>
      </c>
      <c r="K349" t="str">
        <f>IFERROR(__xludf.DUMMYFUNCTION("""COMPUTED_VALUE"""),"This seems like an important advance in meta-learning, as it is much more computationally efficient than MAML while still achieving similar levels of performance.")</f>
        <v>This seems like an important advance in meta-learning, as it is much more computationally efficient than MAML while still achieving similar levels of performance.</v>
      </c>
      <c r="M349" s="3" t="str">
        <f>IFERROR(__xludf.DUMMYFUNCTION("""COMPUTED_VALUE"""),"Model-Agnostic Meta-Learning for Fast Adaptation of Deep Networks")</f>
        <v>Model-Agnostic Meta-Learning for Fast Adaptation of Deep Networks</v>
      </c>
    </row>
    <row r="350">
      <c r="A350" t="str">
        <f>IFERROR(__xludf.DUMMYFUNCTION("""COMPUTED_VALUE"""),"Deep learning")</f>
        <v>Deep learning</v>
      </c>
      <c r="B350" t="str">
        <f>IFERROR(__xludf.DUMMYFUNCTION("""COMPUTED_VALUE"""),"Highlight")</f>
        <v>Highlight</v>
      </c>
      <c r="C350" s="3" t="str">
        <f>IFERROR(__xludf.DUMMYFUNCTION("""COMPUTED_VALUE"""),"Relational inductive biases, deep learning, and graph networks")</f>
        <v>Relational inductive biases, deep learning, and graph networks</v>
      </c>
      <c r="D350" t="str">
        <f>IFERROR(__xludf.DUMMYFUNCTION("""COMPUTED_VALUE"""),"Peter W. Battaglia, Jessica B. Hamrick, Victor Bapst, Alvaro Sanchez-Gonzalez, Vinicius Zambaldi, Mateusz Malinowski, Andrea Tacchetti, David Raposo, Adam Santoro, Ryan Faulkner, Caglar Gulcehre, Francis Song, Andrew Ballard, Justin Gilmer, George Dahl, A"&amp;"shish Vaswani, Kelsey Allen, Charles Nash, Victoria Langston, Chris Dyer, Nicolas Heess, Daan Wierstra, Pushmeet Kohli, Matt Botvinick, Oriol Vinyals, Yujia Li, Razvan Pascanu")</f>
        <v>Peter W. Battaglia, Jessica B. Hamrick, Victor Bapst, Alvaro Sanchez-Gonzalez, Vinicius Zambaldi, Mateusz Malinowski, Andrea Tacchetti, David Raposo, Adam Santoro, Ryan Faulkner, Caglar Gulcehre, Francis Song, Andrew Ballard, Justin Gilmer, George Dahl, Ashish Vaswani, Kelsey Allen, Charles Nash, Victoria Langston, Chris Dyer, Nicolas Heess, Daan Wierstra, Pushmeet Kohli, Matt Botvinick, Oriol Vinyals, Yujia Li, Razvan Pascanu</v>
      </c>
      <c r="E350" t="str">
        <f>IFERROR(__xludf.DUMMYFUNCTION("""COMPUTED_VALUE"""),"ICLR 2018")</f>
        <v>ICLR 2018</v>
      </c>
      <c r="F350">
        <f>IFERROR(__xludf.DUMMYFUNCTION("""COMPUTED_VALUE"""),2018.0)</f>
        <v>2018</v>
      </c>
      <c r="H350" s="3" t="str">
        <f>IFERROR(__xludf.DUMMYFUNCTION("""COMPUTED_VALUE"""),"AN #30")</f>
        <v>AN #30</v>
      </c>
      <c r="I350" t="str">
        <f>IFERROR(__xludf.DUMMYFUNCTION("""COMPUTED_VALUE"""),"Richard")</f>
        <v>Richard</v>
      </c>
      <c r="J350" t="str">
        <f>IFERROR(__xludf.DUMMYFUNCTION("""COMPUTED_VALUE"""),"""Part position paper, part review, and part unification"", this paper emphasises the importance of combinatorial generalisation, which is key to how humans understand the world. It argues for approaches which perform computation over discrete entities an"&amp;"d the relations between them, such as graph networks. The authors claim that CNNs and RNNs are so successful due to relational inductive biases - for example, the bias towards local structure induced by convolutional layers. Graph networks are promising b"&amp;"ecause they can express arbitrary relational biases: any nodes can be connected with any others depending on the structure of the problem. Further, since graph networks learn functions which are reused for all nodes and edges, each one can be applied to g"&amp;"raphs of any shape and size: a form of combinatorial generalisation.
In this paper's framework, each 'graph block' does computations over an input graph and returns an output graph. The relevant part of the output might be the values of edges, or those o"&amp;"f nodes, or 'global' properties of the overall graph. Graph blocks can be implemented by standard neural network architectures or more unusual ones such as message-passing neural networks or non-local neural networks. The authors note some major open ques"&amp;"tions: how to generate the graphs in the first place, and how to adaptively modify them during the course of computation.")</f>
        <v>"Part position paper, part review, and part unification", this paper emphasises the importance of combinatorial generalisation, which is key to how humans understand the world. It argues for approaches which perform computation over discrete entities and the relations between them, such as graph networks. The authors claim that CNNs and RNNs are so successful due to relational inductive biases - for example, the bias towards local structure induced by convolutional layers. Graph networks are promising because they can express arbitrary relational biases: any nodes can be connected with any others depending on the structure of the problem. Further, since graph networks learn functions which are reused for all nodes and edges, each one can be applied to graphs of any shape and size: a form of combinatorial generalisation.
In this paper's framework, each 'graph block' does computations over an input graph and returns an output graph. The relevant part of the output might be the values of edges, or those of nodes, or 'global' properties of the overall graph. Graph blocks can be implemented by standard neural network architectures or more unusual ones such as message-passing neural networks or non-local neural networks. The authors note some major open questions: how to generate the graphs in the first place, and how to adaptively modify them during the course of computation.</v>
      </c>
      <c r="K350" t="str">
        <f>IFERROR(__xludf.DUMMYFUNCTION("""COMPUTED_VALUE"""),"This paper is an excellent holistic discussion of graph networks and reasons to think they are promising. I'm glad that it also mentioned the open problems, though, since I think they're pretty crucial to using graphs in deep learning, and current approac"&amp;"hes in this area (e.g. capsule networks' dynamic control flow) aren't satisfactory.")</f>
        <v>This paper is an excellent holistic discussion of graph networks and reasons to think they are promising. I'm glad that it also mentioned the open problems, though, since I think they're pretty crucial to using graphs in deep learning, and current approaches in this area (e.g. capsule networks' dynamic control flow) aren't satisfactory.</v>
      </c>
    </row>
    <row r="351">
      <c r="A351" t="str">
        <f>IFERROR(__xludf.DUMMYFUNCTION("""COMPUTED_VALUE"""),"Deep learning")</f>
        <v>Deep learning</v>
      </c>
      <c r="B351" t="str">
        <f>IFERROR(__xludf.DUMMYFUNCTION("""COMPUTED_VALUE"""),"Highlight")</f>
        <v>Highlight</v>
      </c>
      <c r="C351" s="3" t="str">
        <f>IFERROR(__xludf.DUMMYFUNCTION("""COMPUTED_VALUE"""),"Scaling Language Models: Methods, Analysis &amp; Insights from Training Gopher")</f>
        <v>Scaling Language Models: Methods, Analysis &amp; Insights from Training Gopher</v>
      </c>
      <c r="D351" t="str">
        <f>IFERROR(__xludf.DUMMYFUNCTION("""COMPUTED_VALUE"""),"Jack W. Rae, Sebastian Borgeaud, Trevor Cai, Katie Millican, Jordan Hoffmann, Francis Song, John Aslanides, Sarah Henderson, Roman Ring, Susannah Young, Eliza Rutherford, Tom Hennigan, Jacob Menick, Albin Cassirer, Richard Powell, George van den Driessche"&amp;", Lisa Anne Hendricks, Maribeth Rauh, Po-Sen Huang, Amelia Glaese, Johannes Welbl, Sumanth Dathathri, Saffron Huang, Jonathan Uesato, John Mellor, Irina Higgins, Antonia Creswell, Nat McAleese, Amy Wu, Erich Elsen, Siddhant Jayakumar, Elena Buchatskaya, D"&amp;"avid Budden, Esme Sutherland, Karen Simonyan, Michela Paganini, Laurent Sifre, Lena Martens, Xiang Lorraine Li, Adhiguna Kuncoro, Aida Nematzadeh, Elena Gribovskaya, Domenic Donato, Angeliki Lazaridou, Arthur Mensch, Jean-Baptiste Lespiau, Maria Tsimpouke"&amp;"lli, Nikolai Grigorev, Doug Fritz, Thibault Sottiaux, Mantas Pajarskas, Toby Pohlen, Zhitao Gong, Daniel Toyama, Cyprien de Masson d’Autume, Yujia Li, Tayfun Terzi, Vladimir Mikulik, Igor Babuschkin, Aidan Clark, Diego de Las Casas, Aurelia Guy, Chris Jon"&amp;"es, James Bradbury, Matthew Johnson, Blake Hechtman, Laura Weidinger, Iason Gabriel, William Isaac, Ed Lockhart, Simon Osindero, Laura Rimell, Chris Dyer, Oriol Vinyals, Kareem Ayoub, Jeff Stanway, Lorrayne Bennett, Demis Hassabis, Koray Kavukcuoglu, Geof"&amp;"frey Irving")</f>
        <v>Jack W. Rae, Sebastian Borgeaud, Trevor Cai, Katie Millican, Jordan Hoffmann, Francis Song, John Aslanides, Sarah Henderson, Roman Ring, Susannah Young, Eliza Rutherford, Tom Hennigan, Jacob Menick, Albin Cassirer, Richard Powell, George van den Driessche, Lisa Anne Hendricks, Maribeth Rauh, Po-Sen Huang, Amelia Glaese, Johannes Welbl, Sumanth Dathathri, Saffron Huang, Jonathan Uesato, John Mellor, Irina Higgins, Antonia Creswell, Nat McAleese, Amy Wu, Erich Elsen, Siddhant Jayakumar, Elena Buchatskaya, David Budden, Esme Sutherland, Karen Simonyan, Michela Paganini, Laurent Sifre, Lena Martens, Xiang Lorraine Li, Adhiguna Kuncoro, Aida Nematzadeh, Elena Gribovskaya, Domenic Donato, Angeliki Lazaridou, Arthur Mensch, Jean-Baptiste Lespiau, Maria Tsimpoukelli, Nikolai Grigorev, Doug Fritz, Thibault Sottiaux, Mantas Pajarskas, Toby Pohlen, Zhitao Gong, Daniel Toyama, Cyprien de Masson d’Autume, Yujia Li, Tayfun Terzi, Vladimir Mikulik, Igor Babuschkin, Aidan Clark, Diego de Las Casas, Aurelia Guy, Chris Jones, James Bradbury, Matthew Johnson, Blake Hechtman, Laura Weidinger, Iason Gabriel, William Isaac, Ed Lockhart, Simon Osindero, Laura Rimell, Chris Dyer, Oriol Vinyals, Kareem Ayoub, Jeff Stanway, Lorrayne Bennett, Demis Hassabis, Koray Kavukcuoglu, Geoffrey Irving</v>
      </c>
      <c r="E351" t="str">
        <f>IFERROR(__xludf.DUMMYFUNCTION("""COMPUTED_VALUE"""),"DeepMind Website")</f>
        <v>DeepMind Website</v>
      </c>
      <c r="F351">
        <f>IFERROR(__xludf.DUMMYFUNCTION("""COMPUTED_VALUE"""),2021.0)</f>
        <v>2021</v>
      </c>
      <c r="H351" s="3" t="str">
        <f>IFERROR(__xludf.DUMMYFUNCTION("""COMPUTED_VALUE"""),"AN #173")</f>
        <v>AN #173</v>
      </c>
      <c r="I351" t="str">
        <f>IFERROR(__xludf.DUMMYFUNCTION("""COMPUTED_VALUE"""),"Rohin")</f>
        <v>Rohin</v>
      </c>
      <c r="J351" t="str">
        <f>IFERROR(__xludf.DUMMYFUNCTION("""COMPUTED_VALUE"""),"This paper details the training of the Gopher family of large language models (LLMs), the biggest of which is named Gopher and has 280 billion parameters. The algorithmic details are very similar to the &lt;@GPT series@&gt;(@Language Models are Few-Shot Learner"&amp;"s@): a Transformer architecture trained on next-word prediction. The models are trained on a new data distribution that still consists of text from the Internet but in different proportions (for example, book data is 27% of Gopher’s training data but only"&amp;" 16% of GPT-3’s training data).
Like other LLM papers, there are tons of evaluations of Gopher on various tasks, only some of which I’m going to cover here. One headline number is that Gopher beat the state of the art (SOTA) at the time on 100 out of 124"&amp;" evaluation tasks.
The most interesting aspect of the paper (to me) is that the entire Gopher family of models were all trained on the same number of tokens, thus allowing us to study the effect of scaling up model parameters (and thus training compute) "&amp;"while holding data constant. Some of the largest benefits of scale were seen in the Medicine, Science, Technology, Social Sciences, and the Humanities task categories, while scale has not much effect or even a negative effect in the Maths, Logical Reasoni"&amp;"ng, and Common Sense categories. Surprisingly, we see improved performance on &lt;@TruthfulQA@&gt;(@TruthfulQA: Measuring How Models Mimic Human Falsehoods@) with scale, even though the TruthfulQA benchmark was designed to show worse performance with increased "&amp;"scale.
We can use Gopher in a dialogue setting by prompting it appropriately. The prompt specifically instructs Gopher to be “respectful, polite, and inclusive”; it turns out that this significantly helps with toxicity. In particular, for the vanilla Gop"&amp;"her model family, with more scale the models produce more toxic continuations given toxic user statements; this no longer happens with Dialogue-Prompted Gopher models, which show slight reductions in toxicity with scale in the same setting. The authors sp"&amp;"eculate that while increased scale leads to an increased ability to mimic the style of a user statement, this is compensated for by an increased ability to account for the prompt.
Another alternative the authors explore is to finetune Gopher on 5 billion"&amp;" tokens of dialogue to produce Dialogue-Tuned Gopher. Interestingly, human raters were indifferent between Dialogue-Prompted Gopher and Dialogue-Tuned Gopher.")</f>
        <v>This paper details the training of the Gopher family of large language models (LLMs), the biggest of which is named Gopher and has 280 billion parameters. The algorithmic details are very similar to the &lt;@GPT series@&gt;(@Language Models are Few-Shot Learners@): a Transformer architecture trained on next-word prediction. The models are trained on a new data distribution that still consists of text from the Internet but in different proportions (for example, book data is 27% of Gopher’s training data but only 16% of GPT-3’s training data).
Like other LLM papers, there are tons of evaluations of Gopher on various tasks, only some of which I’m going to cover here. One headline number is that Gopher beat the state of the art (SOTA) at the time on 100 out of 124 evaluation tasks.
The most interesting aspect of the paper (to me) is that the entire Gopher family of models were all trained on the same number of tokens, thus allowing us to study the effect of scaling up model parameters (and thus training compute) while holding data constant. Some of the largest benefits of scale were seen in the Medicine, Science, Technology, Social Sciences, and the Humanities task categories, while scale has not much effect or even a negative effect in the Maths, Logical Reasoning, and Common Sense categories. Surprisingly, we see improved performance on &lt;@TruthfulQA@&gt;(@TruthfulQA: Measuring How Models Mimic Human Falsehoods@) with scale, even though the TruthfulQA benchmark was designed to show worse performance with increased scale.
We can use Gopher in a dialogue setting by prompting it appropriately. The prompt specifically instructs Gopher to be “respectful, polite, and inclusive”; it turns out that this significantly helps with toxicity. In particular, for the vanilla Gopher model family, with more scale the models produce more toxic continuations given toxic user statements; this no longer happens with Dialogue-Prompted Gopher models, which show slight reductions in toxicity with scale in the same setting. The authors speculate that while increased scale leads to an increased ability to mimic the style of a user statement, this is compensated for by an increased ability to account for the prompt.
Another alternative the authors explore is to finetune Gopher on 5 billion tokens of dialogue to produce Dialogue-Tuned Gopher. Interestingly, human raters were indifferent between Dialogue-Prompted Gopher and Dialogue-Tuned Gopher.</v>
      </c>
      <c r="M351" s="3" t="str">
        <f>IFERROR(__xludf.DUMMYFUNCTION("""COMPUTED_VALUE"""),"Blog post: Language modelling at scale: Gopher, ethical considerations, and retrieval")</f>
        <v>Blog post: Language modelling at scale: Gopher, ethical considerations, and retrieval</v>
      </c>
    </row>
    <row r="352">
      <c r="A352" t="str">
        <f>IFERROR(__xludf.DUMMYFUNCTION("""COMPUTED_VALUE"""),"Deep learning")</f>
        <v>Deep learning</v>
      </c>
      <c r="B352" t="str">
        <f>IFERROR(__xludf.DUMMYFUNCTION("""COMPUTED_VALUE"""),"Highlight")</f>
        <v>Highlight</v>
      </c>
      <c r="C352" s="3" t="str">
        <f>IFERROR(__xludf.DUMMYFUNCTION("""COMPUTED_VALUE"""),"Training Compute-Optimal Large Language Models")</f>
        <v>Training Compute-Optimal Large Language Models</v>
      </c>
      <c r="D352" t="str">
        <f>IFERROR(__xludf.DUMMYFUNCTION("""COMPUTED_VALUE"""),"Jordan Hoffmann, Sebastian Borgeaud, Arthur Mensch, Elena Buchatskaya, Trevor Cai, Eliza Rutherford, Diego de Las Casas, Lisa Anne Hendricks, Johannes Welbl, Aidan Clark, Tom Hennigan, Eric Noland, Katie Millican, George van den Driessche, Bogdan Damoc, A"&amp;"urelia Guy, Simon Osindero, Karen Simonyan, Erich Elsen, Jack W. Rae, Oriol Vinyals, Laurent Sifre")</f>
        <v>Jordan Hoffmann, Sebastian Borgeaud, Arthur Mensch, Elena Buchatskaya, Trevor Cai, Eliza Rutherford, Diego de Las Casas, Lisa Anne Hendricks, Johannes Welbl, Aidan Clark, Tom Hennigan, Eric Noland, Katie Millican, George van den Driessche, Bogdan Damoc, Aurelia Guy, Simon Osindero, Karen Simonyan, Erich Elsen, Jack W. Rae, Oriol Vinyals, Laurent Sifre</v>
      </c>
      <c r="E352" t="str">
        <f>IFERROR(__xludf.DUMMYFUNCTION("""COMPUTED_VALUE"""),"arXiv")</f>
        <v>arXiv</v>
      </c>
      <c r="F352">
        <f>IFERROR(__xludf.DUMMYFUNCTION("""COMPUTED_VALUE"""),2022.0)</f>
        <v>2022</v>
      </c>
      <c r="H352" s="3" t="str">
        <f>IFERROR(__xludf.DUMMYFUNCTION("""COMPUTED_VALUE"""),"AN #173")</f>
        <v>AN #173</v>
      </c>
      <c r="I352" t="str">
        <f>IFERROR(__xludf.DUMMYFUNCTION("""COMPUTED_VALUE"""),"Rohin")</f>
        <v>Rohin</v>
      </c>
      <c r="J352" t="str">
        <f>IFERROR(__xludf.DUMMYFUNCTION("""COMPUTED_VALUE"""),"One application of &lt;@scaling laws@&gt;(@Scaling Laws for Neural Language Models@) is to figure out how big a model to train, on how much data, given some compute budget. This paper performs a more systematic study than the original paper and finds that exist"&amp;"ing models are significantly undertrained. Chinchilla is a new model built with this insight: it has 4x fewer parameters than Gopher, but is trained on 4x as much data. Despite using the same amount of training compute as Gopher (and lower inference compu"&amp;"te), Chinchilla outperforms Gopher across a wide variety of metrics, validating these new scaling laws.
You can safely skip to the opinion at this point – the rest of this summary is quantitative details.
We want to find functions N(C) and D(C) that spe"&amp;"cify the optimal number of parameters N and the amount of data D to use given some compute budget C. We’ll assume that these scale with a power of C, that is, N(C) = k_N * C^a and D(C) = k_D * C^b, for some constants a, b, k_N, and k_D. Note that since to"&amp;"tal compute increases linearly with both N (since each forward / backward pass is linear in N) and D (since the number of forward / backwards passes is linear in D), we need to have a + b = 1. (You can see this somewhat more formally by noting that we hav"&amp;"e C = k_C * N(C) * D(C) for some constant k_C, and then substituting in the definitions of N(C) and D(C).)
This paper uses three different approaches to get three estimates of a and b. The approach I like best is “isoFLOP curves”:
1. Choose a variety of "&amp;"possible values of (N, D, C), train models with those values, and record the final loss obtained. Note that not all possible values of (N, D, C) are possible: given any two values the third is determined.
2. Draw isoFLOP curves: for each value of C, choos"&amp;"e either N or D to be your remaining independent variable, and fit a parabola to the losses of the remaining points. The minimum of this parabola gives you an estimate for the optimal N and D for each particular value of C.
3. Use the optimal (N, D, C) po"&amp;"ints to fit N(C) and D(C).
This approach gives an estimate of a = 0.49; the other approaches give estimates of a = 0.5 and a = 0.46. If we take the nice round number a = b = 0.5, this suggests that you should scale up parameters and data equally. With 10"&amp;"x the computation, you should train a 3.2x larger model with 3.2x as much data. In contrast, the &lt;@original scaling laws paper@&gt;(@Scaling Laws for Neural Language Models@) estimated that a = 0.74 and b = 0.26. With 10x more computation, it would suggest t"&amp;"raining a 5.5x larger model with 1.8x as much data.")</f>
        <v>One application of &lt;@scaling laws@&gt;(@Scaling Laws for Neural Language Models@) is to figure out how big a model to train, on how much data, given some compute budget. This paper performs a more systematic study than the original paper and finds that existing models are significantly undertrained. Chinchilla is a new model built with this insight: it has 4x fewer parameters than Gopher, but is trained on 4x as much data. Despite using the same amount of training compute as Gopher (and lower inference compute), Chinchilla outperforms Gopher across a wide variety of metrics, validating these new scaling laws.
You can safely skip to the opinion at this point – the rest of this summary is quantitative details.
We want to find functions N(C) and D(C) that specify the optimal number of parameters N and the amount of data D to use given some compute budget C. We’ll assume that these scale with a power of C, that is, N(C) = k_N * C^a and D(C) = k_D * C^b, for some constants a, b, k_N, and k_D. Note that since total compute increases linearly with both N (since each forward / backward pass is linear in N) and D (since the number of forward / backwards passes is linear in D), we need to have a + b = 1. (You can see this somewhat more formally by noting that we have C = k_C * N(C) * D(C) for some constant k_C, and then substituting in the definitions of N(C) and D(C).)
This paper uses three different approaches to get three estimates of a and b. The approach I like best is “isoFLOP curves”:
1. Choose a variety of possible values of (N, D, C), train models with those values, and record the final loss obtained. Note that not all possible values of (N, D, C) are possible: given any two values the third is determined.
2. Draw isoFLOP curves: for each value of C, choose either N or D to be your remaining independent variable, and fit a parabola to the losses of the remaining points. The minimum of this parabola gives you an estimate for the optimal N and D for each particular value of C.
3. Use the optimal (N, D, C) points to fit N(C) and D(C).
This approach gives an estimate of a = 0.49; the other approaches give estimates of a = 0.5 and a = 0.46. If we take the nice round number a = b = 0.5, this suggests that you should scale up parameters and data equally. With 10x the computation, you should train a 3.2x larger model with 3.2x as much data. In contrast, the &lt;@original scaling laws paper@&gt;(@Scaling Laws for Neural Language Models@) estimated that a = 0.74 and b = 0.26. With 10x more computation, it would suggest training a 5.5x larger model with 1.8x as much data.</v>
      </c>
      <c r="K352" t="str">
        <f>IFERROR(__xludf.DUMMYFUNCTION("""COMPUTED_VALUE"""),"It’s particularly interesting to think about how this should influence timelines. If you’re extrapolating progress forwards in time, the update seems pretty straightforward: this paper shows that you can significantly better capabilities using the same co"&amp;"mpute budget and so your timelines should shorten (unless you were expecting an even bigger result than this).
For &lt;@bio anchor approaches@&gt;(@Draft report on AI timelines@) the situation is more complicated. For a given number of parameters, this paper s"&amp;"uggests that it will take significantly more compute than was previously expected to train a model of the required number of parameters. There’s a specific parameter for this in the bio anchors framework (for the neural network paths); if you only update "&amp;"that parameter it will lengthen the timelines output by the model. It is less clear how you’d update other parts of the model: for example, should you decrease the size of model that you think is required for TAI? It’s not obvious that the reasoning used "&amp;"to set that parameter is changed much by this result, and so maybe this shouldn’t be changed and you really should update towards longer timelines overall.")</f>
        <v>It’s particularly interesting to think about how this should influence timelines. If you’re extrapolating progress forwards in time, the update seems pretty straightforward: this paper shows that you can significantly better capabilities using the same compute budget and so your timelines should shorten (unless you were expecting an even bigger result than this).
For &lt;@bio anchor approaches@&gt;(@Draft report on AI timelines@) the situation is more complicated. For a given number of parameters, this paper suggests that it will take significantly more compute than was previously expected to train a model of the required number of parameters. There’s a specific parameter for this in the bio anchors framework (for the neural network paths); if you only update that parameter it will lengthen the timelines output by the model. It is less clear how you’d update other parts of the model: for example, should you decrease the size of model that you think is required for TAI? It’s not obvious that the reasoning used to set that parameter is changed much by this result, and so maybe this shouldn’t be changed and you really should update towards longer timelines overall.</v>
      </c>
    </row>
    <row r="353">
      <c r="A353" t="str">
        <f>IFERROR(__xludf.DUMMYFUNCTION("""COMPUTED_VALUE"""),"Deep learning")</f>
        <v>Deep learning</v>
      </c>
      <c r="B353" t="str">
        <f>IFERROR(__xludf.DUMMYFUNCTION("""COMPUTED_VALUE"""),"Highlight")</f>
        <v>Highlight</v>
      </c>
      <c r="C353" s="3" t="str">
        <f>IFERROR(__xludf.DUMMYFUNCTION("""COMPUTED_VALUE"""),"Program Synthesis with Large Language Models")</f>
        <v>Program Synthesis with Large Language Models</v>
      </c>
      <c r="D353" t="str">
        <f>IFERROR(__xludf.DUMMYFUNCTION("""COMPUTED_VALUE"""),"Jacob Austin*, Augustus Odena*, Maxwell Nye, Maarten Bosma, Henryk Michalewski, David Dohan, Ellen Jiang, Carrie Cai, Michael Terry, Quoc Le, Charles Sutton")</f>
        <v>Jacob Austin*, Augustus Odena*, Maxwell Nye, Maarten Bosma, Henryk Michalewski, David Dohan, Ellen Jiang, Carrie Cai, Michael Terry, Quoc Le, Charles Sutton</v>
      </c>
      <c r="E353" t="str">
        <f>IFERROR(__xludf.DUMMYFUNCTION("""COMPUTED_VALUE"""),"arXiv")</f>
        <v>arXiv</v>
      </c>
      <c r="F353">
        <f>IFERROR(__xludf.DUMMYFUNCTION("""COMPUTED_VALUE"""),2021.0)</f>
        <v>2021</v>
      </c>
      <c r="H353" s="3" t="str">
        <f>IFERROR(__xludf.DUMMYFUNCTION("""COMPUTED_VALUE"""),"AN #164")</f>
        <v>AN #164</v>
      </c>
      <c r="I353" t="str">
        <f>IFERROR(__xludf.DUMMYFUNCTION("""COMPUTED_VALUE"""),"Rohin")</f>
        <v>Rohin</v>
      </c>
      <c r="J353" t="str">
        <f>IFERROR(__xludf.DUMMYFUNCTION("""COMPUTED_VALUE"""),"Can we use large language models to solve programming problems? In order to answer this question, this paper builds the Mostly Basic Python Programming (MBPP) dataset. The authors asked crowd workers to provide a short problem statement, a Python function"&amp;" that solves the problem, and three test cases checking correctness. On average across the 974 programs, the reference solution has 7 lines of code, suggesting the problems are fairly simple. (This is partly because you can use library functions.) They al"&amp;"so edit a subset of 426 problems to improve their quality, for example by making the problem statement less ambiguous or making the function signature more normal.
They evaluate pretrained language models on this dataset across a range of model sizes fro"&amp;"m 0.244B to 137B parameters. (This largest model is within a factor of 2 of GPT-3.) They consider both few-shot and finetuned models. Since we have test cases that can be evaluated automatically, we can boost performance by generating lots of samples (80 "&amp;"in this case), evaluating them on the test cases, and then keeping the ones that succeed. They count a problem as solved if any sample passes all the test cases, and report as their primary metric the fraction of problems solved according to this definiti"&amp;"on. Note however that the test cases are not exhaustive: when they wrote more exhaustive tests for 50 of the problems, they found that about 12% of the so-called “solutions” did not pass the new tests (but conversely, 88% did). They also look at the fract"&amp;"ion of samples which solve the problem, as a metric of the reliability or confidence of the model for a given problem.
Some of their findings:
1. Performance increases approximately log-linearly with model size. The trend is clearer and smoother by the p"&amp;"rimary metric (fraction of problems solved by at least one sample) compared to the secondary metric (fraction of samples that solve their problem).
2. Finetuning provides a roughly constant boost across model sizes. An exception: at the largest model size"&amp;", finetuning provides almost no benefit, though this could just be noise.
3. It is important to provide at least one test case to the model (boosts problems solved from 43% to 55%) but after that additional test cases don’t make much of a difference (an a"&amp;"dditional two examples per problem boosts performance to 59%).
4. In few-shot learning, the examples used in the prompt matter a lot. In a test of 15 randomly selected prompts for the few-shot 137B model, the worst one got ~1%, while the best one got ~59%"&amp;", with the others distributed roughly uniformly between them. Ensembling all 15 prompts boosts performance to 66%.
5. In rare cases, the model overfits to the test cases. For example, in a question about checking whether the input is a Woodall number, the"&amp;"re is only one test checking an actual Woodall number (383), and the model generates a program that simply checks whether the input is 383.
6. When choosing the best of multiple samples, you want a slightly higher temperature, in order to have more divers"&amp;"ity of possible programs to check.
7. It is important to have high quality problem descriptions as input for the model. The 137B model solves 79% of problems in the edited dataset, but only solves 63% of the original (unedited) versions of those problems."&amp;" The authors qualitatively analyze the edits on the problems that switched from unsolved to solved and find a variety of things that you would generally expect to help.
Now for the controversial question everyone loves to talk about: does the model _unde"&amp;"rstand_ the meaning of the code, or is it “just learning statistical correlations”? One way to check this is to see whether the model can also _execute_ code. Specifically, we provide the ground truth code for one of the problems in the MBPP dataset along"&amp;" with one of the test case inputs and ask the model to predict the output for that test case. Even after finetuning for this task, the 137B model gets only 21% right. This can be boosted to 27% by also providing example test cases for the code before pred"&amp;"icting the output for a new test case. Overall, this suggests that the model doesn’t “understand” the code yet.
We can take the model finetuned for execution and see how well it does on program synthesis. (We can do this because there are different promp"&amp;"ts for execution and synthesis.) For the 8B model, the finetuning makes basically no difference: it’s equivalent to the original few-shot setting. However, for the 137B model, finetuning on execution actually leads to a small but non-trivial improvement i"&amp;"n performance (from ~59% to ~63%, I think). This is true relative to either the few-shot or finetuned-for-synthesis setting, since they performed near-identically for the 137B model. So in fact the 137B model finetuned on execution is actually the stronge"&amp;"st model, according to synthesis performance.
So far we’ve just been looking at how our model performs when taking the best of multiple samples. However, if our goal is to actually use models for program synthesis, we aren’t limited to such simple tricks"&amp;". Another approach is to have a human provide _feedback_ in natural language when the model’s output is incorrect, and then have the model generate a new program. This feedback is very informal, for example, “Close, but you need to replace the underscore "&amp;"with an empty string”. This provides a huge performance boost: the 137B solves ~31% of problems on its first sample; adding just a single piece of human feedback per problem boosts performance to ~55%, and having four rounds of human feedback gets you to "&amp;"over 65%.
The authors also introduce the MathQA-Python dataset, which provides arithmetic word problems and asks models to write programs that would output the correct answer to the problem. They only run a few experiments on this dataset, so I’ve mostly"&amp;" ignored it. The main upshot is that a finetuned 137B parameter model can solve 83.8% of problems with _some_ sample. They don’t report metrics with a single sample, which seems like the more relevant metric for this dataset, but eyeballing other graphs I"&amp;" think it would be around 45%, which you could probably boost a little bit by decreasing the sampling temperature.")</f>
        <v>Can we use large language models to solve programming problems? In order to answer this question, this paper builds the Mostly Basic Python Programming (MBPP) dataset. The authors asked crowd workers to provide a short problem statement, a Python function that solves the problem, and three test cases checking correctness. On average across the 974 programs, the reference solution has 7 lines of code, suggesting the problems are fairly simple. (This is partly because you can use library functions.) They also edit a subset of 426 problems to improve their quality, for example by making the problem statement less ambiguous or making the function signature more normal.
They evaluate pretrained language models on this dataset across a range of model sizes from 0.244B to 137B parameters. (This largest model is within a factor of 2 of GPT-3.) They consider both few-shot and finetuned models. Since we have test cases that can be evaluated automatically, we can boost performance by generating lots of samples (80 in this case), evaluating them on the test cases, and then keeping the ones that succeed. They count a problem as solved if any sample passes all the test cases, and report as their primary metric the fraction of problems solved according to this definition. Note however that the test cases are not exhaustive: when they wrote more exhaustive tests for 50 of the problems, they found that about 12% of the so-called “solutions” did not pass the new tests (but conversely, 88% did). They also look at the fraction of samples which solve the problem, as a metric of the reliability or confidence of the model for a given problem.
Some of their findings:
1. Performance increases approximately log-linearly with model size. The trend is clearer and smoother by the primary metric (fraction of problems solved by at least one sample) compared to the secondary metric (fraction of samples that solve their problem).
2. Finetuning provides a roughly constant boost across model sizes. An exception: at the largest model size, finetuning provides almost no benefit, though this could just be noise.
3. It is important to provide at least one test case to the model (boosts problems solved from 43% to 55%) but after that additional test cases don’t make much of a difference (an additional two examples per problem boosts performance to 59%).
4. In few-shot learning, the examples used in the prompt matter a lot. In a test of 15 randomly selected prompts for the few-shot 137B model, the worst one got ~1%, while the best one got ~59%, with the others distributed roughly uniformly between them. Ensembling all 15 prompts boosts performance to 66%.
5. In rare cases, the model overfits to the test cases. For example, in a question about checking whether the input is a Woodall number, there is only one test checking an actual Woodall number (383), and the model generates a program that simply checks whether the input is 383.
6. When choosing the best of multiple samples, you want a slightly higher temperature, in order to have more diversity of possible programs to check.
7. It is important to have high quality problem descriptions as input for the model. The 137B model solves 79% of problems in the edited dataset, but only solves 63% of the original (unedited) versions of those problems. The authors qualitatively analyze the edits on the problems that switched from unsolved to solved and find a variety of things that you would generally expect to help.
Now for the controversial question everyone loves to talk about: does the model _understand_ the meaning of the code, or is it “just learning statistical correlations”? One way to check this is to see whether the model can also _execute_ code. Specifically, we provide the ground truth code for one of the problems in the MBPP dataset along with one of the test case inputs and ask the model to predict the output for that test case. Even after finetuning for this task, the 137B model gets only 21% right. This can be boosted to 27% by also providing example test cases for the code before predicting the output for a new test case. Overall, this suggests that the model doesn’t “understand” the code yet.
We can take the model finetuned for execution and see how well it does on program synthesis. (We can do this because there are different prompts for execution and synthesis.) For the 8B model, the finetuning makes basically no difference: it’s equivalent to the original few-shot setting. However, for the 137B model, finetuning on execution actually leads to a small but non-trivial improvement in performance (from ~59% to ~63%, I think). This is true relative to either the few-shot or finetuned-for-synthesis setting, since they performed near-identically for the 137B model. So in fact the 137B model finetuned on execution is actually the strongest model, according to synthesis performance.
So far we’ve just been looking at how our model performs when taking the best of multiple samples. However, if our goal is to actually use models for program synthesis, we aren’t limited to such simple tricks. Another approach is to have a human provide _feedback_ in natural language when the model’s output is incorrect, and then have the model generate a new program. This feedback is very informal, for example, “Close, but you need to replace the underscore with an empty string”. This provides a huge performance boost: the 137B solves ~31% of problems on its first sample; adding just a single piece of human feedback per problem boosts performance to ~55%, and having four rounds of human feedback gets you to over 65%.
The authors also introduce the MathQA-Python dataset, which provides arithmetic word problems and asks models to write programs that would output the correct answer to the problem. They only run a few experiments on this dataset, so I’ve mostly ignored it. The main upshot is that a finetuned 137B parameter model can solve 83.8% of problems with _some_ sample. They don’t report metrics with a single sample, which seems like the more relevant metric for this dataset, but eyeballing other graphs I think it would be around 45%, which you could probably boost a little bit by decreasing the sampling temperature.</v>
      </c>
      <c r="K353" t="str">
        <f>IFERROR(__xludf.DUMMYFUNCTION("""COMPUTED_VALUE"""),"I enjoyed this paper a lot; it feels like it gave me a good understanding of the programming abilities of large language models.
I was most surprised by the result that, for the synthesis task, finetuning on execution helps but finetuning on synthesis do"&amp;"esn’t help for the 137B model. It is possible that this is just noise, though that is more noise than I would expect for such an experiment. It could be that the finetuning dataset for synthesis was too small (it only contains 374 problems), but that data"&amp;"set was sufficient for big gains on the smaller models, and I would expect that, if anything, larger models should be able to make _better_ use of small finetuning datasets, not worse.
It’s also notable that, for the 137B model, the knowledge gained from"&amp;" finetuning on execution successfully transferred to improve synthesis performance. While I agree that the poor execution performance implies the model doesn’t “understand” the code according to the normal usage of that term, it seems like this sort of tr"&amp;"ansfer suggests a low but non-zero level on some quantitative scale of understanding.
I also found the human feedback section quite cool. However, note that the human providing the feedback often needs to understand the generated code as well as the desi"&amp;"red algorithm, so it is plausible that it would be easier for the human to simply fix the code themselves.")</f>
        <v>I enjoyed this paper a lot; it feels like it gave me a good understanding of the programming abilities of large language models.
I was most surprised by the result that, for the synthesis task, finetuning on execution helps but finetuning on synthesis doesn’t help for the 137B model. It is possible that this is just noise, though that is more noise than I would expect for such an experiment. It could be that the finetuning dataset for synthesis was too small (it only contains 374 problems), but that dataset was sufficient for big gains on the smaller models, and I would expect that, if anything, larger models should be able to make _better_ use of small finetuning datasets, not worse.
It’s also notable that, for the 137B model, the knowledge gained from finetuning on execution successfully transferred to improve synthesis performance. While I agree that the poor execution performance implies the model doesn’t “understand” the code according to the normal usage of that term, it seems like this sort of transfer suggests a low but non-zero level on some quantitative scale of understanding.
I also found the human feedback section quite cool. However, note that the human providing the feedback often needs to understand the generated code as well as the desired algorithm, so it is plausible that it would be easier for the human to simply fix the code themselves.</v>
      </c>
    </row>
    <row r="354">
      <c r="A354" t="str">
        <f>IFERROR(__xludf.DUMMYFUNCTION("""COMPUTED_VALUE"""),"Deep learning")</f>
        <v>Deep learning</v>
      </c>
      <c r="B354" t="str">
        <f>IFERROR(__xludf.DUMMYFUNCTION("""COMPUTED_VALUE"""),"Highlight")</f>
        <v>Highlight</v>
      </c>
      <c r="C354" s="3" t="str">
        <f>IFERROR(__xludf.DUMMYFUNCTION("""COMPUTED_VALUE"""),"Seedbank — discover machine learning examples")</f>
        <v>Seedbank — discover machine learning examples</v>
      </c>
      <c r="D354" t="str">
        <f>IFERROR(__xludf.DUMMYFUNCTION("""COMPUTED_VALUE"""),"Michael Tyka")</f>
        <v>Michael Tyka</v>
      </c>
      <c r="E354" t="str">
        <f>IFERROR(__xludf.DUMMYFUNCTION("""COMPUTED_VALUE"""),"Medium")</f>
        <v>Medium</v>
      </c>
      <c r="F354">
        <f>IFERROR(__xludf.DUMMYFUNCTION("""COMPUTED_VALUE"""),2018.0)</f>
        <v>2018</v>
      </c>
      <c r="H354" s="3" t="str">
        <f>IFERROR(__xludf.DUMMYFUNCTION("""COMPUTED_VALUE"""),"AN #16")</f>
        <v>AN #16</v>
      </c>
      <c r="I354" t="str">
        <f>IFERROR(__xludf.DUMMYFUNCTION("""COMPUTED_VALUE"""),"Rohin")</f>
        <v>Rohin</v>
      </c>
      <c r="J354" t="str">
        <f>IFERROR(__xludf.DUMMYFUNCTION("""COMPUTED_VALUE"""),"Seedbank provides interactive machine learning examples in Colab notebooks (think Jupyter notebooks in the cloud). This makes it really easy to just run example code without any setup, and even to modify it to play around with it. Google even provides a f"&amp;"ree GPU to make the training and inference faster!")</f>
        <v>Seedbank provides interactive machine learning examples in Colab notebooks (think Jupyter notebooks in the cloud). This makes it really easy to just run example code without any setup, and even to modify it to play around with it. Google even provides a free GPU to make the training and inference faster!</v>
      </c>
      <c r="K354" t="str">
        <f>IFERROR(__xludf.DUMMYFUNCTION("""COMPUTED_VALUE"""),"I haven't explored it yet, but this seems great, especially if you want to learn ML. I have used Colab notebooks before and recommend them highly for small projects (maybe even large ones, I'm not sure), especially if you're familiar with Jupyter notebook"&amp;"s.")</f>
        <v>I haven't explored it yet, but this seems great, especially if you want to learn ML. I have used Colab notebooks before and recommend them highly for small projects (maybe even large ones, I'm not sure), especially if you're familiar with Jupyter notebooks.</v>
      </c>
    </row>
    <row r="355">
      <c r="A355" t="str">
        <f>IFERROR(__xludf.DUMMYFUNCTION("""COMPUTED_VALUE"""),"Deep learning")</f>
        <v>Deep learning</v>
      </c>
      <c r="B355" t="str">
        <f>IFERROR(__xludf.DUMMYFUNCTION("""COMPUTED_VALUE"""),"Highlight")</f>
        <v>Highlight</v>
      </c>
      <c r="C355" s="3" t="str">
        <f>IFERROR(__xludf.DUMMYFUNCTION("""COMPUTED_VALUE"""),"Evaluating Large Language Models Trained on Code")</f>
        <v>Evaluating Large Language Models Trained on Code</v>
      </c>
      <c r="D355" t="str">
        <f>IFERROR(__xludf.DUMMYFUNCTION("""COMPUTED_VALUE"""),"Mark Chen*, Jerry Tworek*, Heewoo Jun*, Qiming Yuan*, Henrique Ponde*, Jared Kaplan*, Harri Edwards, Yura Burda, Nicholas Joseph, Greg Brockman, Alex Ray, Raul Puri, Gretchen Krueger, Michael Petrov, Heidy Khlaaf, Girish Sastry, Pamela Mishkin, Brooke Cha"&amp;"n, Scott Gray, Nick Ryder, Mikhail Pavlov, Alethea Power, Lukasz Kaiser, Mohammad Bavarian, Clemens Winter, Philippe Tillet, Felipe Such, Dave Cummings, Matthias Plappert, Fotios Chantzis, Elizabeth Barnes, Ariel Herbert-Voss, Will Guss, Alex Nichol, Igor"&amp;" Babuschkin, Suchir Balaji, Shantanu Jain, Andrew Carr, Jan Leike, Josh Achiam, Vedant Misra, Evan Morikawa, Alec Radford, Matthew Knight, Miles Brundage, Mira Murati, Katie Mayer, Peter Welinder, Bob McGrew, Dario Amodei, Sam McCandlish, Ilya Sutskever, "&amp;"Wojciech Zaremba")</f>
        <v>Mark Chen*, Jerry Tworek*, Heewoo Jun*, Qiming Yuan*, Henrique Ponde*, Jared Kaplan*, Harri Edwards, Yura Burda, Nicholas Joseph, Greg Brockman, Alex Ray, Raul Puri, Gretchen Krueger, Michael Petrov, Heidy Khlaaf, Girish Sastry, Pamela Mishkin, Brooke Chan, Scott Gray, Nick Ryder, Mikhail Pavlov, Alethea Power, Lukasz Kaiser, Mohammad Bavarian, Clemens Winter, Philippe Tillet, Felipe Such, Dave Cummings, Matthias Plappert, Fotios Chantzis, Elizabeth Barnes, Ariel Herbert-Voss, Will Guss, Alex Nichol, Igor Babuschkin, Suchir Balaji, Shantanu Jain, Andrew Carr, Jan Leike, Josh Achiam, Vedant Misra, Evan Morikawa, Alec Radford, Matthew Knight, Miles Brundage, Mira Murati, Katie Mayer, Peter Welinder, Bob McGrew, Dario Amodei, Sam McCandlish, Ilya Sutskever, Wojciech Zaremba</v>
      </c>
      <c r="E355" t="str">
        <f>IFERROR(__xludf.DUMMYFUNCTION("""COMPUTED_VALUE"""),"arXiv")</f>
        <v>arXiv</v>
      </c>
      <c r="F355">
        <f>IFERROR(__xludf.DUMMYFUNCTION("""COMPUTED_VALUE"""),2021.0)</f>
        <v>2021</v>
      </c>
      <c r="H355" s="3" t="str">
        <f>IFERROR(__xludf.DUMMYFUNCTION("""COMPUTED_VALUE"""),"AN #157")</f>
        <v>AN #157</v>
      </c>
      <c r="I355" t="str">
        <f>IFERROR(__xludf.DUMMYFUNCTION("""COMPUTED_VALUE"""),"Rohin")</f>
        <v>Rohin</v>
      </c>
      <c r="J355" t="str">
        <f>IFERROR(__xludf.DUMMYFUNCTION("""COMPUTED_VALUE"""),"You’ve probably heard of GitHub Copilot, the programming assistant tool that can provide suggestions while you are writing code. This paper evaluates Codex, a precursor to the model underlying Copilot. There’s a lot of content here; I’m only summarizing w"&amp;"hat I see as the highlights.
The core ingredient for Codex was the many, many public repositories on GitHub, which provided hundreds of millions of lines of training data. With such a large dataset, the authors were able to get good performance by traini"&amp;"ng a model completely from scratch, though in practice they finetuned an existing pretrained GPT model as it converged faster while providing similar performance.
Their primary tool for evaluation is HumanEval, a collection of 164 hand-constructed Python"&amp;" programming problems where the model is provided with a docstring explaining what the program should do along with some unit tests, and the model must produce a correct implementation of the resulting function. Problems are not all equally difficult; an "&amp;"easier problem asks Codex to “increment all numbers in a list by 1” while a harder one provides a function that encodes a string of text using a transposition cipher and asks Codex to write the corresponding decryption function.
To improve performance ev"&amp;"en further, they collect a sanitized finetuning dataset of problems formatted similarly to those in HumanEval and train Codex to perform well on such problems. These models are called Codex-S. With this, we see the following results:
1. Pretrained GPT mo"&amp;"dels get roughly 0%.
2. The largest 12B Codex-S model succeeds on the first try 29% of the time. (A Codex model of the same size only gets roughly 22%.)
3. There is a consistent scaling law for reduction in loss. This translates into a less consistent gra"&amp;"ph for performance on the HumanEval dataset, where once the model starts to solve at least (say) 5% of the tasks, there is a roughly linear increase in the probability of success when doubling the size of the model.
4. If instead we generate 100 samples a"&amp;"nd check whether they pass the unit tests to select the best one, then Codex-S gets 78%. If we still generate 100 samples but select the sample that has the highest mean log probability (perhaps because we don’t have an exhaustive suite of unit tests), th"&amp;"en we get 45%.
They also probe the model for bad behavior, including misalignment. In this context, they define misalignment as a case where the user wants A, but the model outputs B, and the model is both capable of outputting A and capable of distingui"&amp;"shing between cases where the user wants A and the user wants B.
Since Codex is trained primarily to predict the next token, it has likely learned that buggy code should be followed by more buggy code, that insecure code should be followed by more insecu"&amp;"re code, and so on. This suggests that if the user accidentally provides examples with subtle bugs, then the model will continue to create buggy code, even though the user would want correct code. They find that exactly this effect occurs, and that the di"&amp;"vergence between good and bad performance _increases_ as the model size increases (presumably because larger models are better able to pick up on the correlation between previous buggy code and future buggy code).")</f>
        <v>You’ve probably heard of GitHub Copilot, the programming assistant tool that can provide suggestions while you are writing code. This paper evaluates Codex, a precursor to the model underlying Copilot. There’s a lot of content here; I’m only summarizing what I see as the highlights.
The core ingredient for Codex was the many, many public repositories on GitHub, which provided hundreds of millions of lines of training data. With such a large dataset, the authors were able to get good performance by training a model completely from scratch, though in practice they finetuned an existing pretrained GPT model as it converged faster while providing similar performance.
Their primary tool for evaluation is HumanEval, a collection of 164 hand-constructed Python programming problems where the model is provided with a docstring explaining what the program should do along with some unit tests, and the model must produce a correct implementation of the resulting function. Problems are not all equally difficult; an easier problem asks Codex to “increment all numbers in a list by 1” while a harder one provides a function that encodes a string of text using a transposition cipher and asks Codex to write the corresponding decryption function.
To improve performance even further, they collect a sanitized finetuning dataset of problems formatted similarly to those in HumanEval and train Codex to perform well on such problems. These models are called Codex-S. With this, we see the following results:
1. Pretrained GPT models get roughly 0%.
2. The largest 12B Codex-S model succeeds on the first try 29% of the time. (A Codex model of the same size only gets roughly 22%.)
3. There is a consistent scaling law for reduction in loss. This translates into a less consistent graph for performance on the HumanEval dataset, where once the model starts to solve at least (say) 5% of the tasks, there is a roughly linear increase in the probability of success when doubling the size of the model.
4. If instead we generate 100 samples and check whether they pass the unit tests to select the best one, then Codex-S gets 78%. If we still generate 100 samples but select the sample that has the highest mean log probability (perhaps because we don’t have an exhaustive suite of unit tests), then we get 45%.
They also probe the model for bad behavior, including misalignment. In this context, they define misalignment as a case where the user wants A, but the model outputs B, and the model is both capable of outputting A and capable of distinguishing between cases where the user wants A and the user wants B.
Since Codex is trained primarily to predict the next token, it has likely learned that buggy code should be followed by more buggy code, that insecure code should be followed by more insecure code, and so on. This suggests that if the user accidentally provides examples with subtle bugs, then the model will continue to create buggy code, even though the user would want correct code. They find that exactly this effect occurs, and that the divergence between good and bad performance _increases_ as the model size increases (presumably because larger models are better able to pick up on the correlation between previous buggy code and future buggy code).</v>
      </c>
      <c r="K355" t="str">
        <f>IFERROR(__xludf.DUMMYFUNCTION("""COMPUTED_VALUE"""),"I really liked the experiment demonstrating misalignment, as it seems like it accurately captures the aspects that we expect to see with existentially risky misaligned AI systems: they will “know” how to do the thing we want, they simply won’t be “motivat"&amp;"ed” to actually do it.")</f>
        <v>I really liked the experiment demonstrating misalignment, as it seems like it accurately captures the aspects that we expect to see with existentially risky misaligned AI systems: they will “know” how to do the thing we want, they simply won’t be “motivated” to actually do it.</v>
      </c>
    </row>
    <row r="356">
      <c r="A356" t="str">
        <f>IFERROR(__xludf.DUMMYFUNCTION("""COMPUTED_VALUE"""),"Deep learning")</f>
        <v>Deep learning</v>
      </c>
      <c r="B356" t="str">
        <f>IFERROR(__xludf.DUMMYFUNCTION("""COMPUTED_VALUE"""),"Highlight")</f>
        <v>Highlight</v>
      </c>
      <c r="C356" s="3" t="str">
        <f>IFERROR(__xludf.DUMMYFUNCTION("""COMPUTED_VALUE"""),"The Scaling Hypothesis")</f>
        <v>The Scaling Hypothesis</v>
      </c>
      <c r="D356" t="str">
        <f>IFERROR(__xludf.DUMMYFUNCTION("""COMPUTED_VALUE"""),"Gwern Branwen")</f>
        <v>Gwern Branwen</v>
      </c>
      <c r="E356" t="str">
        <f>IFERROR(__xludf.DUMMYFUNCTION("""COMPUTED_VALUE"""),"Author's Website")</f>
        <v>Author's Website</v>
      </c>
      <c r="F356">
        <f>IFERROR(__xludf.DUMMYFUNCTION("""COMPUTED_VALUE"""),2020.0)</f>
        <v>2020</v>
      </c>
      <c r="H356" s="3" t="str">
        <f>IFERROR(__xludf.DUMMYFUNCTION("""COMPUTED_VALUE"""),"AN #156")</f>
        <v>AN #156</v>
      </c>
      <c r="I356" t="str">
        <f>IFERROR(__xludf.DUMMYFUNCTION("""COMPUTED_VALUE"""),"Rohin")</f>
        <v>Rohin</v>
      </c>
      <c r="J356" t="str">
        <f>IFERROR(__xludf.DUMMYFUNCTION("""COMPUTED_VALUE"""),"This post centers around the **scaling hypothesis**:
_Once we find a scalable architecture which can be applied fairly uniformly, we can simply train ever larger networks and ever more sophisticated behavior will emerge naturally as the easiest way to op"&amp;"timize for all the tasks and data. More powerful NNs are “just” scaled-up weak NNs, in much the same way that human brains look much like scaled-up primate brains⁠._
Importantly, we can get this sophisticated behavior just by training on simple objective"&amp;"s, such as “predict the next word”, as long as the data is sufficiently diverse. So, a priori, why might we expect the scaling hypothesis to be true?
The core reason is that optimal (or human-level) prediction of text really does require knowledge, reaso"&amp;"ning, causality, etc. If you don’t know how to perform addition, you are probably not going to be able to predict the next word in the sentence “Though he started with six eggs, he found another fourteen, bringing his total to \_\_\_\_”. However, since an"&amp;"y specific fact is only useful in a tiny, tiny number of cases, it only reduces the expected loss by a tiny amount. So, you’ll only see models learn this sort of behavior once they have exhausted all the other “easy wins” for predicting text; this will on"&amp;"ly happen when the models and dataset are huge.
Consider a model tasked with predicting characters in text with a set of 64 characters (52 uppercase and lowercase letters, along with some punctuation). Initially it outputs random characters, assigning a "&amp;"probability of 1/64 to the correct character, resulting in a loss of 6 bits. Once you start training, the easiest win is to simply notice how frequent each character is; just noticing that uppercase letters are rare, spaces are common, vowels are common, "&amp;"etc. could get your error down to 4-5 bits. After this, it might start to learn what words actually exist; this might take 10^5 - 10^6 samples since each word is relatively rare and there are thousands of words to learn, but this is a drop in the bucket g"&amp;"iven our huge dataset. After this step, it may have also learned punctuation along the way, and might now be down to 3-4 bits. At this point, if you sample from the model, you might get correctly spelled English words, but they won’t make any sense.
With"&amp;" further training the model now has to pick up on associations between adjacent words to make progress. Now it needs to look at things 10 characters ago to predict the next character -- a far cry from our initial letter frequencies where it didn’t even ne"&amp;"ed to look at other characters! For example, it might learn that “George W” tends to be followed by “ashington”. It starts to learn grammar, being able to correctly put verbs in relation to subjects and objects (that are themselves nouns). It starts to no"&amp;"tice patterns in how words like “before” and “after” are used; these can then be used to better predict words in the future; at this point it’s clear that the model is starting to learn semantics. Now the loss is around 2 bits per character. A little more"&amp;" training and your model starts to produce sentences that sound human-like in isolation, but don’t fit together: a model might start a story about a very much alive protagonist and then talk about how she is dead in the next sentence. Training is now abou"&amp;"t fixing errors like these and each such fix gains a tiny amount of accuracy -- think ten thousandths of a bit. Every further 0.1 bits you gain represents the model learning a huge amount of relevant knowledge (and correspondingly each subsequent 0.1 bits"&amp;" takes a much larger amount of training and data). The final few fractions of a bit are the most important and comprise most of what we call “intelligence”.
(The human baseline is a loss of 0.7 bits, with lots of uncertainty on that figure.)
So far this"&amp;" is a clever argument, but doesn’t really establish that this will work _in practice_ -- for example, maybe your model has to have 10^100 parameters to learn all of this, or maybe existing models and algorithms are not sophisticated enough to _find_ the r"&amp;"ight parameters (and instead just plateau at, say, 2 bits of loss). But recent evidence provides strong support for the scaling hypothesis:
1. The &lt;@scaling laws@&gt;(@Scaling Laws for Neural Language Models@) line of work demonstrated that models could be "&amp;"expected to reach the interesting realm of loss at amounts of compute, data, and model capacity that seemed feasible in the near future.
2. Various projects have trained large models and demonstrated that this allows them to solve tasks that they weren’t "&amp;"explicitly trained for, often in a more human-like way and with better performance than a more supervised approach. Examples include &lt;@GPT-3@&gt;(@Language Models are Few-Shot Learners@), [Image GPT](https://openai.com/blog/image-gpt/), [BigGAN](https://arxi"&amp;"v.org/abs/1809.11096), &lt;@AlphaStar@&gt;(@AlphaStar: Grandmaster level in StarCraft II using multi-agent reinforcement learning@), etc. (The full post has something like 25 examples.)
The author then argues that it seems like most researchers seem to be comp"&amp;"letely ignoring this phenomenon. OpenAI is the only actor that really has the conviction needed to put a large amount of resources behind a project based on the scaling hypothesis (such as GPT-3); DeepMind seems to believe in a weaker version where we nee"&amp;"d to build a bunch of “modules” similar to those in the human brain, but that those modules can then be scaled up indefinitely. Other actors seem to not take either scaling hypothesis very seriously.")</f>
        <v>This post centers around the **scaling hypothesis**:
_Once we find a scalable architecture which can be applied fairly uniformly, we can simply train ever larger networks and ever more sophisticated behavior will emerge naturally as the easiest way to optimize for all the tasks and data. More powerful NNs are “just” scaled-up weak NNs, in much the same way that human brains look much like scaled-up primate brains⁠._
Importantly, we can get this sophisticated behavior just by training on simple objectives, such as “predict the next word”, as long as the data is sufficiently diverse. So, a priori, why might we expect the scaling hypothesis to be true?
The core reason is that optimal (or human-level) prediction of text really does require knowledge, reasoning, causality, etc. If you don’t know how to perform addition, you are probably not going to be able to predict the next word in the sentence “Though he started with six eggs, he found another fourteen, bringing his total to \_\_\_\_”. However, since any specific fact is only useful in a tiny, tiny number of cases, it only reduces the expected loss by a tiny amount. So, you’ll only see models learn this sort of behavior once they have exhausted all the other “easy wins” for predicting text; this will only happen when the models and dataset are huge.
Consider a model tasked with predicting characters in text with a set of 64 characters (52 uppercase and lowercase letters, along with some punctuation). Initially it outputs random characters, assigning a probability of 1/64 to the correct character, resulting in a loss of 6 bits. Once you start training, the easiest win is to simply notice how frequent each character is; just noticing that uppercase letters are rare, spaces are common, vowels are common, etc. could get your error down to 4-5 bits. After this, it might start to learn what words actually exist; this might take 10^5 - 10^6 samples since each word is relatively rare and there are thousands of words to learn, but this is a drop in the bucket given our huge dataset. After this step, it may have also learned punctuation along the way, and might now be down to 3-4 bits. At this point, if you sample from the model, you might get correctly spelled English words, but they won’t make any sense.
With further training the model now has to pick up on associations between adjacent words to make progress. Now it needs to look at things 10 characters ago to predict the next character -- a far cry from our initial letter frequencies where it didn’t even need to look at other characters! For example, it might learn that “George W” tends to be followed by “ashington”. It starts to learn grammar, being able to correctly put verbs in relation to subjects and objects (that are themselves nouns). It starts to notice patterns in how words like “before” and “after” are used; these can then be used to better predict words in the future; at this point it’s clear that the model is starting to learn semantics. Now the loss is around 2 bits per character. A little more training and your model starts to produce sentences that sound human-like in isolation, but don’t fit together: a model might start a story about a very much alive protagonist and then talk about how she is dead in the next sentence. Training is now about fixing errors like these and each such fix gains a tiny amount of accuracy -- think ten thousandths of a bit. Every further 0.1 bits you gain represents the model learning a huge amount of relevant knowledge (and correspondingly each subsequent 0.1 bits takes a much larger amount of training and data). The final few fractions of a bit are the most important and comprise most of what we call “intelligence”.
(The human baseline is a loss of 0.7 bits, with lots of uncertainty on that figure.)
So far this is a clever argument, but doesn’t really establish that this will work _in practice_ -- for example, maybe your model has to have 10^100 parameters to learn all of this, or maybe existing models and algorithms are not sophisticated enough to _find_ the right parameters (and instead just plateau at, say, 2 bits of loss). But recent evidence provides strong support for the scaling hypothesis:
1. The &lt;@scaling laws@&gt;(@Scaling Laws for Neural Language Models@) line of work demonstrated that models could be expected to reach the interesting realm of loss at amounts of compute, data, and model capacity that seemed feasible in the near future.
2. Various projects have trained large models and demonstrated that this allows them to solve tasks that they weren’t explicitly trained for, often in a more human-like way and with better performance than a more supervised approach. Examples include &lt;@GPT-3@&gt;(@Language Models are Few-Shot Learners@), [Image GPT](https://openai.com/blog/image-gpt/), [BigGAN](https://arxiv.org/abs/1809.11096), &lt;@AlphaStar@&gt;(@AlphaStar: Grandmaster level in StarCraft II using multi-agent reinforcement learning@), etc. (The full post has something like 25 examples.)
The author then argues that it seems like most researchers seem to be completely ignoring this phenomenon. OpenAI is the only actor that really has the conviction needed to put a large amount of resources behind a project based on the scaling hypothesis (such as GPT-3); DeepMind seems to believe in a weaker version where we need to build a bunch of “modules” similar to those in the human brain, but that those modules can then be scaled up indefinitely. Other actors seem to not take either scaling hypothesis very seriously.</v>
      </c>
      <c r="K356" t="str">
        <f>IFERROR(__xludf.DUMMYFUNCTION("""COMPUTED_VALUE"""),"In my view, the scaling hypothesis is easily the most important hypothesis relevant to AI forecasting and AI development models, and this is the best public writeup of it that I know of. (For example, it seems to be an implicit assumption in the &lt;@bio anc"&amp;"hors framework@&gt;(@Draft report on AI timelines@).) I broadly agree with the author that it’s a bit shocking how few people seem to be taking it seriously after OpenAI Five, AlphaStar, GPT-3, Copilot, etc.
I *think* this includes the AI safety space, wher"&amp;"e as far as I can tell the primary effect has been that it is even more fashionable to have shorter timelines, whereas it hasn’t affected AI safety research very much. However, I do know around 3-4 researchers who changed what they were working on based o"&amp;"n changing their mind about the scaling hypothesis, so it’s possible there are several others I don’t know about.
As a simple example of how the scaling hypothesis affects AI safety research, it suggests that the training objective (“predict the next wor"&amp;"d”) is relatively unimportant in determining properties of the trained agent; in contrast, the dataset is much more important. This suggests that analyses based on the “reward function used to train the agent” are probably not going to be very predictive "&amp;"of the systems we actually build.")</f>
        <v>In my view, the scaling hypothesis is easily the most important hypothesis relevant to AI forecasting and AI development models, and this is the best public writeup of it that I know of. (For example, it seems to be an implicit assumption in the &lt;@bio anchors framework@&gt;(@Draft report on AI timelines@).) I broadly agree with the author that it’s a bit shocking how few people seem to be taking it seriously after OpenAI Five, AlphaStar, GPT-3, Copilot, etc.
I *think* this includes the AI safety space, where as far as I can tell the primary effect has been that it is even more fashionable to have shorter timelines, whereas it hasn’t affected AI safety research very much. However, I do know around 3-4 researchers who changed what they were working on based on changing their mind about the scaling hypothesis, so it’s possible there are several others I don’t know about.
As a simple example of how the scaling hypothesis affects AI safety research, it suggests that the training objective (“predict the next word”) is relatively unimportant in determining properties of the trained agent; in contrast, the dataset is much more important. This suggests that analyses based on the “reward function used to train the agent” are probably not going to be very predictive of the systems we actually build.</v>
      </c>
    </row>
    <row r="357">
      <c r="A357" t="str">
        <f>IFERROR(__xludf.DUMMYFUNCTION("""COMPUTED_VALUE"""),"Deep learning")</f>
        <v>Deep learning</v>
      </c>
      <c r="B357" t="str">
        <f>IFERROR(__xludf.DUMMYFUNCTION("""COMPUTED_VALUE"""),"Highlight")</f>
        <v>Highlight</v>
      </c>
      <c r="C357" s="3" t="str">
        <f>IFERROR(__xludf.DUMMYFUNCTION("""COMPUTED_VALUE"""),"True Few-Shot Learning with Language Models")</f>
        <v>True Few-Shot Learning with Language Models</v>
      </c>
      <c r="D357" t="str">
        <f>IFERROR(__xludf.DUMMYFUNCTION("""COMPUTED_VALUE"""),"Ethan Perez, Douwe Kiela, Kyunghyun Cho")</f>
        <v>Ethan Perez, Douwe Kiela, Kyunghyun Cho</v>
      </c>
      <c r="E357" t="str">
        <f>IFERROR(__xludf.DUMMYFUNCTION("""COMPUTED_VALUE"""),"arXiv")</f>
        <v>arXiv</v>
      </c>
      <c r="F357">
        <f>IFERROR(__xludf.DUMMYFUNCTION("""COMPUTED_VALUE"""),2021.0)</f>
        <v>2021</v>
      </c>
      <c r="H357" s="3" t="str">
        <f>IFERROR(__xludf.DUMMYFUNCTION("""COMPUTED_VALUE"""),"AN #152")</f>
        <v>AN #152</v>
      </c>
      <c r="I357" t="str">
        <f>IFERROR(__xludf.DUMMYFUNCTION("""COMPUTED_VALUE"""),"Rohin")</f>
        <v>Rohin</v>
      </c>
      <c r="J357" t="str">
        <f>IFERROR(__xludf.DUMMYFUNCTION("""COMPUTED_VALUE"""),"We can get &lt;@GPT-3@&gt;(@Language Models are Few-Shot Learners@) to perform useful tasks using “prompt programming”, in which we design an input sentence such that the most likely continuation of that sentence would involve GPT-3 performing the task of inter"&amp;"est. For example, to have GPT-3 answer questions well, we might say something like “The following is a transcript of a dialogue with a helpful, superintelligent, question-answering system:”, followed by a few example question-answer pairs, after which we "&amp;"ask our questions.
Since the prompts only contain a few examples, this would seem to be an example of strong _few-shot learning_, in which an AI system can learn how to do a task after seeing a small number of examples of that task. This paper contends t"&amp;"hat while GPT-3 is capable of such few-shot learning, the results reported in various papers exaggerate this ability. Specifically, while it is true that the prompt only contains a few examples, researchers often tune their choice of prompt by looking at "&amp;"how well it performs on a relatively large validation set -- which of course contains many examples of performing the task, something we wouldn’t expect to have in a true few-shot learning context.
To illustrate the point, the authors conduct several exp"&amp;"eriments where we start with around 12 possible prompts and must choose which to use based only on the examples given (typically 5). They test two methods for doing so:
1. Cross-validation: Given a prompt without examples, we attach 4 of the examples to "&amp;"the prompt and evaluate it on the last example, and average this over all possible ways of splitting up the examples.
2. Minimum description length: While cross-validation evaluates the final generalization loss on the last example after updating on previ"&amp;"ous examples, MDL samples an ordering of the examples and then evaluates the average generalization loss as you feed the examples in one-by-one (so more like an online learning setup).
On the LAMA-UHN task, the difference between a random prompt and the "&amp;"best prompt looks to be roughly 5-6 percentage points, regardless of model size. Using MDL or cross-validation usually gives 20-40% of the gain, so 1-2 percentage points. This suggests that on LAMA-UHN, typical prompt-based “few-shot” learning results are"&amp;" likely 3-5 percentage points higher than what you would expect if you were in a true few-shot setting where there is no validation set to tune on. This is all on average across tasks -- for any given task, you could recover the entire gain, or you might "&amp;"select a prompt that is actually worse than what you'd get from random chance.
But it may actually be worse than that. We’ve talked just about the prompt so far, but the validation set can also be used to improve hyperparameters, network architecture, th"&amp;"e design of the learning algorithm etc. This could also lead to inflated results. The authors conduct one experiment with ADAPET on SuperGLUE which suggests that using the validation set to select hyperparameters can also lead to multiple percentage point"&amp;"s of inflation.")</f>
        <v>We can get &lt;@GPT-3@&gt;(@Language Models are Few-Shot Learners@) to perform useful tasks using “prompt programming”, in which we design an input sentence such that the most likely continuation of that sentence would involve GPT-3 performing the task of interest. For example, to have GPT-3 answer questions well, we might say something like “The following is a transcript of a dialogue with a helpful, superintelligent, question-answering system:”, followed by a few example question-answer pairs, after which we ask our questions.
Since the prompts only contain a few examples, this would seem to be an example of strong _few-shot learning_, in which an AI system can learn how to do a task after seeing a small number of examples of that task. This paper contends that while GPT-3 is capable of such few-shot learning, the results reported in various papers exaggerate this ability. Specifically, while it is true that the prompt only contains a few examples, researchers often tune their choice of prompt by looking at how well it performs on a relatively large validation set -- which of course contains many examples of performing the task, something we wouldn’t expect to have in a true few-shot learning context.
To illustrate the point, the authors conduct several experiments where we start with around 12 possible prompts and must choose which to use based only on the examples given (typically 5). They test two methods for doing so:
1. Cross-validation: Given a prompt without examples, we attach 4 of the examples to the prompt and evaluate it on the last example, and average this over all possible ways of splitting up the examples.
2. Minimum description length: While cross-validation evaluates the final generalization loss on the last example after updating on previous examples, MDL samples an ordering of the examples and then evaluates the average generalization loss as you feed the examples in one-by-one (so more like an online learning setup).
On the LAMA-UHN task, the difference between a random prompt and the best prompt looks to be roughly 5-6 percentage points, regardless of model size. Using MDL or cross-validation usually gives 20-40% of the gain, so 1-2 percentage points. This suggests that on LAMA-UHN, typical prompt-based “few-shot” learning results are likely 3-5 percentage points higher than what you would expect if you were in a true few-shot setting where there is no validation set to tune on. This is all on average across tasks -- for any given task, you could recover the entire gain, or you might select a prompt that is actually worse than what you'd get from random chance.
But it may actually be worse than that. We’ve talked just about the prompt so far, but the validation set can also be used to improve hyperparameters, network architecture, the design of the learning algorithm etc. This could also lead to inflated results. The authors conduct one experiment with ADAPET on SuperGLUE which suggests that using the validation set to select hyperparameters can also lead to multiple percentage points of inflation.</v>
      </c>
      <c r="K357" t="str">
        <f>IFERROR(__xludf.DUMMYFUNCTION("""COMPUTED_VALUE"""),"The phenomenon in this paper is pretty broadly applicable to any setting in which a real-world problem is studied in a toy domain where there is extra information available. For example, one of my projects at Berkeley involves using imitation learning on "&amp;"tasks where there really isn’t any reward function available, and it’s quite informative to see just how much it slows you down when you can’t just look at how much reward your final learned policy gets; research becomes much more challenging to do. This "&amp;"suggests that performance on existing imitation learning benchmarks is probably overstating how good we are at imitation learning, because the best models in these situations were probably validated based on the final reward obtained by the policy, which "&amp;"we wouldn’t normally have access to.")</f>
        <v>The phenomenon in this paper is pretty broadly applicable to any setting in which a real-world problem is studied in a toy domain where there is extra information available. For example, one of my projects at Berkeley involves using imitation learning on tasks where there really isn’t any reward function available, and it’s quite informative to see just how much it slows you down when you can’t just look at how much reward your final learned policy gets; research becomes much more challenging to do. This suggests that performance on existing imitation learning benchmarks is probably overstating how good we are at imitation learning, because the best models in these situations were probably validated based on the final reward obtained by the policy, which we wouldn’t normally have access to.</v>
      </c>
    </row>
    <row r="358">
      <c r="A358" t="str">
        <f>IFERROR(__xludf.DUMMYFUNCTION("""COMPUTED_VALUE"""),"Deep learning")</f>
        <v>Deep learning</v>
      </c>
      <c r="B358" t="str">
        <f>IFERROR(__xludf.DUMMYFUNCTION("""COMPUTED_VALUE"""),"Highlight")</f>
        <v>Highlight</v>
      </c>
      <c r="C358" s="3" t="str">
        <f>IFERROR(__xludf.DUMMYFUNCTION("""COMPUTED_VALUE"""),"Feature-wise transformations")</f>
        <v>Feature-wise transformations</v>
      </c>
      <c r="D358" t="str">
        <f>IFERROR(__xludf.DUMMYFUNCTION("""COMPUTED_VALUE"""),"Vincent Dumoulin, Ethan Perez, Nathan Schucher, Florian Strub, Harm de Vries, Aaron Courville and Yoshua Bengio")</f>
        <v>Vincent Dumoulin, Ethan Perez, Nathan Schucher, Florian Strub, Harm de Vries, Aaron Courville and Yoshua Bengio</v>
      </c>
      <c r="E358" t="str">
        <f>IFERROR(__xludf.DUMMYFUNCTION("""COMPUTED_VALUE"""),"Distill")</f>
        <v>Distill</v>
      </c>
      <c r="F358">
        <f>IFERROR(__xludf.DUMMYFUNCTION("""COMPUTED_VALUE"""),2018.0)</f>
        <v>2018</v>
      </c>
      <c r="H358" s="3" t="str">
        <f>IFERROR(__xludf.DUMMYFUNCTION("""COMPUTED_VALUE"""),"AN #15")</f>
        <v>AN #15</v>
      </c>
      <c r="I358" t="str">
        <f>IFERROR(__xludf.DUMMYFUNCTION("""COMPUTED_VALUE"""),"Rohin")</f>
        <v>Rohin</v>
      </c>
      <c r="J358" t="str">
        <f>IFERROR(__xludf.DUMMYFUNCTION("""COMPUTED_VALUE"""),"This Distill article is about transformations on features using FiLM (feature-wise linear modulation). A FiLM layer is used to ""condition"" a neural network on auxiliary information, which just means providing the input to the neural network in a way tha"&amp;"t it can use it effectively. This can be used to integrate multiple sources of information -- for example, in visual question answering (VQA), the main part of the network can be an image processing pipeline, and FiLM can be used to turn the natural langu"&amp;"age question about the image into a task representation and integrate it into the pipeline, and the full network can be trained end-to-end. The FiLM layer works by first using a subnetwork to turn the auxiliary information (such as the question in VQA) in"&amp;"to a ""task representation"" (a new representation chosen by the neural network), which is then used as the parameters for an affine transformation of the features in the main pipeline. Importantly, each feature is treated independently of other features,"&amp;" so the FiLM layer can't create interactions between features. Yet, this still works well in many different contexts.
Since it is a Distill paper, it then goes into a ton of detail about lots of interesting details, such as how architectures in a variety"&amp;" of ML tasks can be thought of as FiLM, how FiLM relates to other ideas such as attention, how we can often interpolate between different auxiliary information by taking a weighted combination of the corresponding task information, how conditioning throug"&amp;"h concatenation is equivalent to FiLM with only a bias and no scaling, etc.")</f>
        <v>This Distill article is about transformations on features using FiLM (feature-wise linear modulation). A FiLM layer is used to "condition" a neural network on auxiliary information, which just means providing the input to the neural network in a way that it can use it effectively. This can be used to integrate multiple sources of information -- for example, in visual question answering (VQA), the main part of the network can be an image processing pipeline, and FiLM can be used to turn the natural language question about the image into a task representation and integrate it into the pipeline, and the full network can be trained end-to-end. The FiLM layer works by first using a subnetwork to turn the auxiliary information (such as the question in VQA) into a "task representation" (a new representation chosen by the neural network), which is then used as the parameters for an affine transformation of the features in the main pipeline. Importantly, each feature is treated independently of other features, so the FiLM layer can't create interactions between features. Yet, this still works well in many different contexts.
Since it is a Distill paper, it then goes into a ton of detail about lots of interesting details, such as how architectures in a variety of ML tasks can be thought of as FiLM, how FiLM relates to other ideas such as attention, how we can often interpolate between different auxiliary information by taking a weighted combination of the corresponding task information, how conditioning through concatenation is equivalent to FiLM with only a bias and no scaling, etc.</v>
      </c>
      <c r="K358" t="str">
        <f>IFERROR(__xludf.DUMMYFUNCTION("""COMPUTED_VALUE"""),"I really enjoy Distill articles, they are consistently far more readable and understandable than typical papers (or even blog posts), even without including the interactive visualizations. This article is no exception. I didn't have particularly strong op"&amp;"inions on how to condition neural nets before, but now I think I will think about FiLM and how it could apply.")</f>
        <v>I really enjoy Distill articles, they are consistently far more readable and understandable than typical papers (or even blog posts), even without including the interactive visualizations. This article is no exception. I didn't have particularly strong opinions on how to condition neural nets before, but now I think I will think about FiLM and how it could apply.</v>
      </c>
    </row>
    <row r="359">
      <c r="A359" t="str">
        <f>IFERROR(__xludf.DUMMYFUNCTION("""COMPUTED_VALUE"""),"Deep learning")</f>
        <v>Deep learning</v>
      </c>
      <c r="B359" t="str">
        <f>IFERROR(__xludf.DUMMYFUNCTION("""COMPUTED_VALUE"""),"Highlight")</f>
        <v>Highlight</v>
      </c>
      <c r="C359" s="3" t="str">
        <f>IFERROR(__xludf.DUMMYFUNCTION("""COMPUTED_VALUE"""),"Pretrained Transformers as Universal Computation Engines")</f>
        <v>Pretrained Transformers as Universal Computation Engines</v>
      </c>
      <c r="D359" t="str">
        <f>IFERROR(__xludf.DUMMYFUNCTION("""COMPUTED_VALUE"""),"Kevin Lu, Aditya Grover, Pieter Abbeel, Igor Mordatch")</f>
        <v>Kevin Lu, Aditya Grover, Pieter Abbeel, Igor Mordatch</v>
      </c>
      <c r="E359" t="str">
        <f>IFERROR(__xludf.DUMMYFUNCTION("""COMPUTED_VALUE"""),"arXiv")</f>
        <v>arXiv</v>
      </c>
      <c r="F359">
        <f>IFERROR(__xludf.DUMMYFUNCTION("""COMPUTED_VALUE"""),2021.0)</f>
        <v>2021</v>
      </c>
      <c r="H359" s="3" t="str">
        <f>IFERROR(__xludf.DUMMYFUNCTION("""COMPUTED_VALUE"""),"AN #144")</f>
        <v>AN #144</v>
      </c>
      <c r="I359" t="str">
        <f>IFERROR(__xludf.DUMMYFUNCTION("""COMPUTED_VALUE"""),"Rohin")</f>
        <v>Rohin</v>
      </c>
      <c r="J359" t="str">
        <f>IFERROR(__xludf.DUMMYFUNCTION("""COMPUTED_VALUE"""),"We’ve seen some very impressive few-shot learning results from &lt;@GPT-3@&gt;(@Language Models are Few-Shot Learners@) and [CLIP](https://openai.com/blog/clip/). These work by training a large Transformer model on a giant pile of data in a particular modality "&amp;"(such as language or images), and then we express tasks within that modality (e.g. summarization  for a language model). This paper asks the question: could those models also help with tasks in a _different_ modality? Surprisingly, the answer seems to be "&amp;"yes!
Specifically, the authors take the pretrained GPT-2 models and finetune on very different tasks, changing only the following parameters (which make up just ~0.1% of the model):
1. Input layer: This is a linear layer that transforms the input tokens "&amp;"before they go through the attention layers.
2. Output layer: This is a linear layer that uses the final representations to solve some downstream tasks.
3. Layer norm: These parameters are meant to mimic the statistics of the data distribution, and so nee"&amp;"d to be finetuned.
4. Positional embeddings. (They say that it only makes a slight difference to finetune these.)
For downstream tasks, they consider tasks like memorizing bit sequences, computing XORs, MNIST and CIFAR (where each image is represented as"&amp;" a sequence of 64 tokens, and each token is a 4x4 patch of the image), and protein folding. None of these tasks involve any use of natural language -- the input modality is completely different.
The headline result: these sorts of models tend to achieve "&amp;"similar performance as Transformer models trained from scratch on the same tasks, and better performance than models initialized with random weights and then finetuned using the method above. This suggests that _even for new data modalities_ the GPT-2 pre"&amp;"training helps, suggesting that the model has learned some “universal computation” in its attention layers (hence the title). Note though that the differences from the random initialization are not that large (2-6 percentage points, except 25 percentage p"&amp;"oints in Bit Memory), suggesting that a lot of this might be the inductive bias of the Transformer architecture itself.
The rest of the paper delves into this more, running several experiments to learn more empirical facts. For example:
1. If the Transfo"&amp;"rmers are pretrained on images instead of language, you do better on image tasks like CIFAR, but not as well on the other tasks.
2. Transformers do a _lot_ better than LSTMs.
3. Pretrained Transformers also learn significantly faster than randomly initial"&amp;"ized Transformers.")</f>
        <v>We’ve seen some very impressive few-shot learning results from &lt;@GPT-3@&gt;(@Language Models are Few-Shot Learners@) and [CLIP](https://openai.com/blog/clip/). These work by training a large Transformer model on a giant pile of data in a particular modality (such as language or images), and then we express tasks within that modality (e.g. summarization  for a language model). This paper asks the question: could those models also help with tasks in a _different_ modality? Surprisingly, the answer seems to be yes!
Specifically, the authors take the pretrained GPT-2 models and finetune on very different tasks, changing only the following parameters (which make up just ~0.1% of the model):
1. Input layer: This is a linear layer that transforms the input tokens before they go through the attention layers.
2. Output layer: This is a linear layer that uses the final representations to solve some downstream tasks.
3. Layer norm: These parameters are meant to mimic the statistics of the data distribution, and so need to be finetuned.
4. Positional embeddings. (They say that it only makes a slight difference to finetune these.)
For downstream tasks, they consider tasks like memorizing bit sequences, computing XORs, MNIST and CIFAR (where each image is represented as a sequence of 64 tokens, and each token is a 4x4 patch of the image), and protein folding. None of these tasks involve any use of natural language -- the input modality is completely different.
The headline result: these sorts of models tend to achieve similar performance as Transformer models trained from scratch on the same tasks, and better performance than models initialized with random weights and then finetuned using the method above. This suggests that _even for new data modalities_ the GPT-2 pretraining helps, suggesting that the model has learned some “universal computation” in its attention layers (hence the title). Note though that the differences from the random initialization are not that large (2-6 percentage points, except 25 percentage points in Bit Memory), suggesting that a lot of this might be the inductive bias of the Transformer architecture itself.
The rest of the paper delves into this more, running several experiments to learn more empirical facts. For example:
1. If the Transformers are pretrained on images instead of language, you do better on image tasks like CIFAR, but not as well on the other tasks.
2. Transformers do a _lot_ better than LSTMs.
3. Pretrained Transformers also learn significantly faster than randomly initialized Transformers.</v>
      </c>
      <c r="K359" t="str">
        <f>IFERROR(__xludf.DUMMYFUNCTION("""COMPUTED_VALUE"""),"This is a pretty cool result. I’m not sure what I would have predicted ahead of time -- the gains are small enough that I could believe I might have predicted them on a general basis of “probably training on realistic data gives you slightly better patter"&amp;"ns of thought, so probably if you try hard enough you can find a small set of parameters to finetune that would work well”.
However, another possible line of reasoning would be “the attention heuristics learned for language would probably throw away lots"&amp;" of information if we applied them directly to the input tokens, and the input linear layer may not be enough to handle this issue, so probably this just destroys any good performance of the model”. I could see myself being convinced by that too.")</f>
        <v>This is a pretty cool result. I’m not sure what I would have predicted ahead of time -- the gains are small enough that I could believe I might have predicted them on a general basis of “probably training on realistic data gives you slightly better patterns of thought, so probably if you try hard enough you can find a small set of parameters to finetune that would work well”.
However, another possible line of reasoning would be “the attention heuristics learned for language would probably throw away lots of information if we applied them directly to the input tokens, and the input linear layer may not be enough to handle this issue, so probably this just destroys any good performance of the model”. I could see myself being convinced by that too.</v>
      </c>
      <c r="M359" s="3" t="str">
        <f>IFERROR(__xludf.DUMMYFUNCTION("""COMPUTED_VALUE"""),"Paper: Pretrained Transformers as Universal Computation Engines")</f>
        <v>Paper: Pretrained Transformers as Universal Computation Engines</v>
      </c>
    </row>
    <row r="360">
      <c r="A360" t="str">
        <f>IFERROR(__xludf.DUMMYFUNCTION("""COMPUTED_VALUE"""),"Deep learning")</f>
        <v>Deep learning</v>
      </c>
      <c r="B360" t="str">
        <f>IFERROR(__xludf.DUMMYFUNCTION("""COMPUTED_VALUE"""),"Highlight")</f>
        <v>Highlight</v>
      </c>
      <c r="C360" t="str">
        <f>IFERROR(__xludf.DUMMYFUNCTION("""COMPUTED_VALUE"""),"[Explaining Neural Scaling Laws](https://arxiv.org/abs/2102.06701) and [A Neural Scaling Law from the Dimension of the Data Manifold](https://arxiv.org/abs/2004.10802)")</f>
        <v>[Explaining Neural Scaling Laws](https://arxiv.org/abs/2102.06701) and [A Neural Scaling Law from the Dimension of the Data Manifold](https://arxiv.org/abs/2004.10802)</v>
      </c>
      <c r="D360" t="str">
        <f>IFERROR(__xludf.DUMMYFUNCTION("""COMPUTED_VALUE"""),"Yasaman Bahri, Ethan Dyer, Jared Kaplan, Jaehoon Lee, and Utkarsh Sharma")</f>
        <v>Yasaman Bahri, Ethan Dyer, Jared Kaplan, Jaehoon Lee, and Utkarsh Sharma</v>
      </c>
      <c r="E360" t="str">
        <f>IFERROR(__xludf.DUMMYFUNCTION("""COMPUTED_VALUE"""),"arXiv")</f>
        <v>arXiv</v>
      </c>
      <c r="F360">
        <f>IFERROR(__xludf.DUMMYFUNCTION("""COMPUTED_VALUE"""),2021.0)</f>
        <v>2021</v>
      </c>
      <c r="H360" s="3" t="str">
        <f>IFERROR(__xludf.DUMMYFUNCTION("""COMPUTED_VALUE"""),"AN #140")</f>
        <v>AN #140</v>
      </c>
      <c r="I360" t="str">
        <f>IFERROR(__xludf.DUMMYFUNCTION("""COMPUTED_VALUE"""),"Rohin")</f>
        <v>Rohin</v>
      </c>
      <c r="J360" t="str">
        <f>IFERROR(__xludf.DUMMYFUNCTION("""COMPUTED_VALUE"""),"We’ve seen lots of empirical work on &lt;@scaling laws@&gt;(@Scaling Laws for Neural Language Models@), but can we understand theoretically why these arise? This paper suggests two different models for how power-law scaling laws could arise, _variance-limited_ "&amp;"and _resolution-limited_ scaling, and argues that neural nets are typically trained in the resolution-limited setting. In both cases, we have versions that occur when the dataset size D is large and the number of parameters P is low (parameter-limited), a"&amp;"nd when D is low and P is large (data-limited).
Recall that a scaling law is a power-law equation that predicts the test loss L as a function of P and D. In this paper, we consider cases where only one of the resources is the bottleneck, so that our powe"&amp;"r laws are of the form L = kP^(-α) or L = kD^(-α), for constants k and α. (For simplicity, we’re assuming that the minimum value of our loss function is zero.)
Resolution-limited scaling happens when either the dataset is too small to “resolve” (capture)"&amp;" the true underlying function, or when the model doesn’t have enough capacity to “resolve” (fit) the training dataset. In this case, we’re going to take the common ML assumption that while our observation space might be high-dimensional, the data itself c"&amp;"omes from a low-dimensional manifold with dimension d, called the _intrinsic dimension_. We’ll model our neural net as transforming the input space into a roughly d-dimensional representation of the manifold, which is then used in further processing by la"&amp;"ter layers. Thus the output of the network is a simple function over this low-dimensional representation.
Let’s first consider the case where P is sufficiently large, so that we perfectly fit the training data, but D is limited. We can think of the train"&amp;"ing data as a “net” of points covering the true d-dimensional manifold. Intuitively, to halve the distance between the points (making the net “twice as fine”), we need ~2^d times as many points. Some simple algebraic manipulation tells us that distance be"&amp;"tween points would then scale as D^(-1/d).
How can we translate this to the test loss? Let’s assume a simple nearest neighbor classifier where, given a test data point, we simply predict the value associated with the nearest training data point. This is "&amp;"equivalent to assuming that our neural net learns a piecewise constant function. In this case, for a test data point drawn from the same distribution as the training set, that data point will be “near” some training data point and our model will predict t"&amp;"he same output as for the training data point.
Under the assumption that our test loss is sufficiently “nice”, we can do a Taylor expansion of the test loss around this nearest training data point and take just the first non-zero term. Since we have perf"&amp;"ectly fit the training data, at the training data point, the loss is zero; and since the loss is minimized, the gradient is also zero. Thus, the first non-zero term is the second-order term, which is proportional to the square of the distance. So, we expe"&amp;"ct that our scaling law will look like kD^(-2/d), that is, α = 2/d.
The above case assumes that our model learns a piecewise _constant_ function. However, neural nets with Relu activations learn piecewise _linear_ functions. For this case, we can argue t"&amp;"hat since the neural network is interpolating linearly between the training points, any deviation of the distance between the true value and the actual value should scale as D^(-2/d) instead of D^(-1/d), since the linear term is being approximated by the "&amp;"neural network. In this case, for loss functions like the L2 loss, which are quadratic in the distance, we get that α = 4/d.
Note that it is possible that scaling could be even faster, e.g. because the underlying manifold is simple or has some nice struc"&amp;"ture that the neural network can quickly capture. So in general, we might expect α &gt;= 2/d and for L2 loss α &gt;= 4/d.
What about the case when P is the bottleneck? Well, in this case, since the training data is not the bottleneck, it is presumably a suffic"&amp;"iently good approximation to the underlying function; and so we are just seeing whether the learned model can match the dataset. Once again, we make the assumption that the learned model gives a piecewise linear approximation, which by the same argument s"&amp;"uggests a scaling law of X^(-α), with α &gt;= 2/d (and α &gt;= 4/d for the case of L2 loss), where X is the number of “parts” in the approximation. In the case of linear models, we should have X = P, but for neural networks I believe the authors suggest that we"&amp;" should instead have X = w, the width of the network. (One motivation is that in the infinite-width limit, neural networks behave like linear models.)
In variance-limited scaling for D, the scaling bottleneck is the randomness inherent in the sampling of"&amp;" the dataset from the underlying distribution. We can view the dataset as a random variable, implying that the gradient is also a random variable since it is a function of the training dataset. We can then consider the “error term” δG = G - G_inf, which i"&amp;"s the difference between the finite-dataset gradients and the gradients for infinite data. We’ll make the assumption that you’re equally likely to be wrong in all directions -- if there’s a dataset that makes you a bit more likely to predict A, then there"&amp;"’s also a corresponding equally likely dataset that makes you a bit less likely to predict A. In that case, in expectation δG is zero, since on average the errors all cancel out. Since D is assumed to be large, we can apply the [law of large numbers](http"&amp;"s://en.wikipedia.org/wiki/Law_of_large_numbers) to deduce that the variance of δG will scale as 1/D.
Let us then consider the test loss as a function of the gradients. The test loss we actually get is L(G) = L(G_inf + δG). We can now Taylor expand this t"&amp;"o get an expansion which tells us that the quantity we care about, L(G) - L(G_inf), is of the form AδG + B(δG)^2, where A and B are constants that depend on derivatives of the test loss in the infinite dataset case. We had already concluded that E[δG] = 0"&amp;", and E[(δG)^2] is just the variance and so scales as 1/D, which implies that α = 1.
Here’s a slightly less mathematical and more conceptual argument for the same thing (though note that this feels like a sketchier argument overall):
1. Variance of the g"&amp;"radient scales as 1/D by the law of large numbers
2. Thus standard deviation scales as 1/√D
3. Thus the deviation of the empirical estimate of the gradients scales as 1/√D
4. Thus the deviation of the neural net parameters scales as 1/√D
5. Thus the devia"&amp;"tion of the output of the final layer scales as 1/√D
6. Any linear dependence on this deviation would cancel out in expectation, since the deviation could either increase or decrease the test loss. However, quadratic dependences would add together. These "&amp;"would scale as (1/√D)^2, that is, 1/D.
The authors also suggest that a similar argument can be applied to argue that for parameters, the loss scales as 1/w, where w is the width of the network. This is variance-limited scaling for P. This again relies on"&amp;" previous results showing that neural networks behave like linear models in the limit of infinite width.
The authors use this theory to make a bunch of predictions which they can then empirically test. I’ll only go through the most obvious test: independ"&amp;"ently measuring the scaling exponent α and the intrinsic dimension d, and checking whether α &gt;= 4/d. In most cases, they find that it is quite close to equality. In the case of language modeling with GPT, they find that α is significantly larger than 4/d,"&amp;" which is still in accordance with the inequality (though it is still relatively small -- language models just have a high intrinsic dimension). Variance-limited scaling is even easier to identify: we simply measure the scaling exponent α and check whethe"&amp;"r it is 1.")</f>
        <v>We’ve seen lots of empirical work on &lt;@scaling laws@&gt;(@Scaling Laws for Neural Language Models@), but can we understand theoretically why these arise? This paper suggests two different models for how power-law scaling laws could arise, _variance-limited_ and _resolution-limited_ scaling, and argues that neural nets are typically trained in the resolution-limited setting. In both cases, we have versions that occur when the dataset size D is large and the number of parameters P is low (parameter-limited), and when D is low and P is large (data-limited).
Recall that a scaling law is a power-law equation that predicts the test loss L as a function of P and D. In this paper, we consider cases where only one of the resources is the bottleneck, so that our power laws are of the form L = kP^(-α) or L = kD^(-α), for constants k and α. (For simplicity, we’re assuming that the minimum value of our loss function is zero.)
Resolution-limited scaling happens when either the dataset is too small to “resolve” (capture) the true underlying function, or when the model doesn’t have enough capacity to “resolve” (fit) the training dataset. In this case, we’re going to take the common ML assumption that while our observation space might be high-dimensional, the data itself comes from a low-dimensional manifold with dimension d, called the _intrinsic dimension_. We’ll model our neural net as transforming the input space into a roughly d-dimensional representation of the manifold, which is then used in further processing by later layers. Thus the output of the network is a simple function over this low-dimensional representation.
Let’s first consider the case where P is sufficiently large, so that we perfectly fit the training data, but D is limited. We can think of the training data as a “net” of points covering the true d-dimensional manifold. Intuitively, to halve the distance between the points (making the net “twice as fine”), we need ~2^d times as many points. Some simple algebraic manipulation tells us that distance between points would then scale as D^(-1/d).
How can we translate this to the test loss? Let’s assume a simple nearest neighbor classifier where, given a test data point, we simply predict the value associated with the nearest training data point. This is equivalent to assuming that our neural net learns a piecewise constant function. In this case, for a test data point drawn from the same distribution as the training set, that data point will be “near” some training data point and our model will predict the same output as for the training data point.
Under the assumption that our test loss is sufficiently “nice”, we can do a Taylor expansion of the test loss around this nearest training data point and take just the first non-zero term. Since we have perfectly fit the training data, at the training data point, the loss is zero; and since the loss is minimized, the gradient is also zero. Thus, the first non-zero term is the second-order term, which is proportional to the square of the distance. So, we expect that our scaling law will look like kD^(-2/d), that is, α = 2/d.
The above case assumes that our model learns a piecewise _constant_ function. However, neural nets with Relu activations learn piecewise _linear_ functions. For this case, we can argue that since the neural network is interpolating linearly between the training points, any deviation of the distance between the true value and the actual value should scale as D^(-2/d) instead of D^(-1/d), since the linear term is being approximated by the neural network. In this case, for loss functions like the L2 loss, which are quadratic in the distance, we get that α = 4/d.
Note that it is possible that scaling could be even faster, e.g. because the underlying manifold is simple or has some nice structure that the neural network can quickly capture. So in general, we might expect α &gt;= 2/d and for L2 loss α &gt;= 4/d.
What about the case when P is the bottleneck? Well, in this case, since the training data is not the bottleneck, it is presumably a sufficiently good approximation to the underlying function; and so we are just seeing whether the learned model can match the dataset. Once again, we make the assumption that the learned model gives a piecewise linear approximation, which by the same argument suggests a scaling law of X^(-α), with α &gt;= 2/d (and α &gt;= 4/d for the case of L2 loss), where X is the number of “parts” in the approximation. In the case of linear models, we should have X = P, but for neural networks I believe the authors suggest that we should instead have X = w, the width of the network. (One motivation is that in the infinite-width limit, neural networks behave like linear models.)
In variance-limited scaling for D, the scaling bottleneck is the randomness inherent in the sampling of the dataset from the underlying distribution. We can view the dataset as a random variable, implying that the gradient is also a random variable since it is a function of the training dataset. We can then consider the “error term” δG = G - G_inf, which is the difference between the finite-dataset gradients and the gradients for infinite data. We’ll make the assumption that you’re equally likely to be wrong in all directions -- if there’s a dataset that makes you a bit more likely to predict A, then there’s also a corresponding equally likely dataset that makes you a bit less likely to predict A. In that case, in expectation δG is zero, since on average the errors all cancel out. Since D is assumed to be large, we can apply the [law of large numbers](https://en.wikipedia.org/wiki/Law_of_large_numbers) to deduce that the variance of δG will scale as 1/D.
Let us then consider the test loss as a function of the gradients. The test loss we actually get is L(G) = L(G_inf + δG). We can now Taylor expand this to get an expansion which tells us that the quantity we care about, L(G) - L(G_inf), is of the form AδG + B(δG)^2, where A and B are constants that depend on derivatives of the test loss in the infinite dataset case. We had already concluded that E[δG] = 0, and E[(δG)^2] is just the variance and so scales as 1/D, which implies that α = 1.
Here’s a slightly less mathematical and more conceptual argument for the same thing (though note that this feels like a sketchier argument overall):
1. Variance of the gradient scales as 1/D by the law of large numbers
2. Thus standard deviation scales as 1/√D
3. Thus the deviation of the empirical estimate of the gradients scales as 1/√D
4. Thus the deviation of the neural net parameters scales as 1/√D
5. Thus the deviation of the output of the final layer scales as 1/√D
6. Any linear dependence on this deviation would cancel out in expectation, since the deviation could either increase or decrease the test loss. However, quadratic dependences would add together. These would scale as (1/√D)^2, that is, 1/D.
The authors also suggest that a similar argument can be applied to argue that for parameters, the loss scales as 1/w, where w is the width of the network. This is variance-limited scaling for P. This again relies on previous results showing that neural networks behave like linear models in the limit of infinite width.
The authors use this theory to make a bunch of predictions which they can then empirically test. I’ll only go through the most obvious test: independently measuring the scaling exponent α and the intrinsic dimension d, and checking whether α &gt;= 4/d. In most cases, they find that it is quite close to equality. In the case of language modeling with GPT, they find that α is significantly larger than 4/d, which is still in accordance with the inequality (though it is still relatively small -- language models just have a high intrinsic dimension). Variance-limited scaling is even easier to identify: we simply measure the scaling exponent α and check whether it is 1.</v>
      </c>
      <c r="K360" t="str">
        <f>IFERROR(__xludf.DUMMYFUNCTION("""COMPUTED_VALUE"""),"This seems like a solid attack on a theory of scaling. As we discussed [last week](https://mailchi.mp/9ca67b5f5b72/an-139how-the-simplicity-of-reality-explains-the-success-of-neural-nets), it seems likely that any such theory must condition on some assump"&amp;"tion about the “simplicity of reality”; in this paper, that assumption is that the data lies on a low-dimensional manifold within a high-dimensional observation space. This seems like a pretty natural place to start, though I do expect that it isn’t going"&amp;" to capture everything.
Note that many of the authors’ experiments are in teacher-student models. In these models, a large teacher neural network is first initialized to compute some random function; a student network must then learn to imitate the teach"&amp;"er, but has either limited data or limited parameters. The benefit is that they can precisely control factors like the intrinsic dimension d, but the downside is that it isn’t immediately clear that the insights will generalize to real-world tasks and dat"&amp;"asets. Their experiments with more realistic tasks are less clean, though I would say that they support the theory.")</f>
        <v>This seems like a solid attack on a theory of scaling. As we discussed [last week](https://mailchi.mp/9ca67b5f5b72/an-139how-the-simplicity-of-reality-explains-the-success-of-neural-nets), it seems likely that any such theory must condition on some assumption about the “simplicity of reality”; in this paper, that assumption is that the data lies on a low-dimensional manifold within a high-dimensional observation space. This seems like a pretty natural place to start, though I do expect that it isn’t going to capture everything.
Note that many of the authors’ experiments are in teacher-student models. In these models, a large teacher neural network is first initialized to compute some random function; a student network must then learn to imitate the teacher, but has either limited data or limited parameters. The benefit is that they can precisely control factors like the intrinsic dimension d, but the downside is that it isn’t immediately clear that the insights will generalize to real-world tasks and datasets. Their experiments with more realistic tasks are less clean, though I would say that they support the theory.</v>
      </c>
    </row>
    <row r="361">
      <c r="A361" t="str">
        <f>IFERROR(__xludf.DUMMYFUNCTION("""COMPUTED_VALUE"""),"Deep learning")</f>
        <v>Deep learning</v>
      </c>
      <c r="B361" t="str">
        <f>IFERROR(__xludf.DUMMYFUNCTION("""COMPUTED_VALUE"""),"Highlight")</f>
        <v>Highlight</v>
      </c>
      <c r="C361" s="3" t="str">
        <f>IFERROR(__xludf.DUMMYFUNCTION("""COMPUTED_VALUE"""),"Why does deep and cheap learning work so well?")</f>
        <v>Why does deep and cheap learning work so well?</v>
      </c>
      <c r="D361" t="str">
        <f>IFERROR(__xludf.DUMMYFUNCTION("""COMPUTED_VALUE"""),"Henry W. Lin, Max Tegmark, David Rolnick")</f>
        <v>Henry W. Lin, Max Tegmark, David Rolnick</v>
      </c>
      <c r="E361" t="str">
        <f>IFERROR(__xludf.DUMMYFUNCTION("""COMPUTED_VALUE"""),"Journal of Statistical Physics")</f>
        <v>Journal of Statistical Physics</v>
      </c>
      <c r="F361">
        <f>IFERROR(__xludf.DUMMYFUNCTION("""COMPUTED_VALUE"""),2017.0)</f>
        <v>2017</v>
      </c>
      <c r="H361" s="3" t="str">
        <f>IFERROR(__xludf.DUMMYFUNCTION("""COMPUTED_VALUE"""),"AN #139")</f>
        <v>AN #139</v>
      </c>
      <c r="I361" t="str">
        <f>IFERROR(__xludf.DUMMYFUNCTION("""COMPUTED_VALUE"""),"Rohin")</f>
        <v>Rohin</v>
      </c>
      <c r="J361" t="str">
        <f>IFERROR(__xludf.DUMMYFUNCTION("""COMPUTED_VALUE"""),"We know that the success of neural networks must be at least in part due to some inductive bias (presumably towards “simplicity”), based on the following empirical observations:
1. Neural networks with mere millions of parameters work well with high-dime"&amp;"nsional inputs such as images, despite the fact that, speaking loosely, there are exponentially more functions from images to classifications than there are functions expressible by million-parameter neural networks.
2. Neural networks learn solutions tha"&amp;"t generalize well even in the overparameterized regime, where statistical learning theory would predict that they overfit.
3. Relatedly, neural networks learn solutions that generalize well, despite the fact that they can memorize a _randomly_ labeled tra"&amp;"ining dataset of the same size.
Can we say more about this inductive bias towards simplicity? This paper tackles this question from the perspective of the first empirical observation: what is it about neural networks and/or reality such that relatively s"&amp;"mall neural networks can still learn the “correct” function? We can’t appeal to the fact that neural networks are universal function approximators, because that theorem doesn’t put a bound on the size of the neural network. The core idea of this paper is "&amp;"that any function that we care to model with neural networks in practice tends to be quite simple: in particular, it can often be expressed as a polynomial plus a few extra things.
Typically, we’re interested in modeling the relationship between some lat"&amp;"ent class y and some detailed observations or data x. For example, y might be a concept like “cat” or image labels more broadly, while x might be specific natural images. In this case the causal structure in reality looks like y → x. In our example, there"&amp;" is first an actual cat (y), and then via the physics of light and cameras we get the image of the cat (x).
Given this setup, why are functions of interest typically “just polynomials”? Well, thanks to Taylor expansions, all (smooth) functions can be exp"&amp;"ressed as infinite polynomials, so let’s rephrase the question: why are they polynomials with only a few terms?
The negative log probability -ln p(x | y) is called the _Hamiltonian_ in statistical physics. There are lots of reasons you might expect that "&amp;"the Hamiltonian is a simple low order polynomial:
1. The Hamiltonians of several fundamental physical laws are polynomials of order 2-4. A polynomial of order d can have at most O(n^d) terms (where n is the number of input variables in the polynomial).
2."&amp;" The Gaussian distribution (often created in reality thanks to the Central Limit Theorem) has a quadratic Hamiltonian (i.e. order 2).
3. Most functions of interest have a _locality_ property: things only directly affect what is in their immediate vicinity"&amp;". This causes almost all of the coefficients in the Taylor series to vanish.
4. Many functions have symmetry properties that can further reduce the number of parameters needed to specify them.
One might respond that while this could be true for simple fu"&amp;"nctions like predicting the sum of independent events, this wouldn’t apply for the complex functions like “cat” → cat image. Here the authors appeal to _hierarchy_: in practice, the world is very hierarchical, and complex functions can usually be broken d"&amp;"own into sequences of simpler ones. If we agree that the simple ones can be implemented with simple polynomials, then a deep neural network could simply learn the same sequence of operations (here the depth of the network is used to chain the operations o"&amp;"ne after the other).
So far we’ve argued that generative models p(x | y) tend to be simple polynomials. What about discriminative models p(y | x)? Well, if we can implement the Hamiltonian -ln p(x | y), then there is a simple way to get p(y | x): we simp"&amp;"ly calculate the Hamiltonian for all possible y, and then add in the prior probabilities -ln p(y) (which can be done through the bias term of the logit layer), and apply a softmax layer to the result. Indeed, the softmax layer at the end is best practice "&amp;"in ML for creating such models. In addition, in the case of a hierarchical sequence of steps, we can invert that sequence of steps and throw away unnecessary information at each step.
Okay, so far we’ve argued that the functions we care about learning ca"&amp;"n be expressed with polynomials with relatively few terms (in particular, not an exponential number of terms). What does this have to do with neural networks? It turns out that neural networks can express polynomials quite easily. In particular, the autho"&amp;"rs show:
1. Multiplication of two real numbers can be approximated arbitrarily well by a neural network with a hidden layer containing 4 neurons.
2. As a result, any given multivariate polynomial can be approximated arbitrarily well by a (potentially dee"&amp;"p) neural network of size a little larger than 4 times the number of multiplications needed to evaluate the polynomial.
The authors also show that depth is required for the second result: for a single-layer neural network to multiply n inputs arbitrarily"&amp;" well, it _must_ have at least 2^n neurons (under the assumption that the nonlinear activation function is smooth).")</f>
        <v>We know that the success of neural networks must be at least in part due to some inductive bias (presumably towards “simplicity”), based on the following empirical observations:
1. Neural networks with mere millions of parameters work well with high-dimensional inputs such as images, despite the fact that, speaking loosely, there are exponentially more functions from images to classifications than there are functions expressible by million-parameter neural networks.
2. Neural networks learn solutions that generalize well even in the overparameterized regime, where statistical learning theory would predict that they overfit.
3. Relatedly, neural networks learn solutions that generalize well, despite the fact that they can memorize a _randomly_ labeled training dataset of the same size.
Can we say more about this inductive bias towards simplicity? This paper tackles this question from the perspective of the first empirical observation: what is it about neural networks and/or reality such that relatively small neural networks can still learn the “correct” function? We can’t appeal to the fact that neural networks are universal function approximators, because that theorem doesn’t put a bound on the size of the neural network. The core idea of this paper is that any function that we care to model with neural networks in practice tends to be quite simple: in particular, it can often be expressed as a polynomial plus a few extra things.
Typically, we’re interested in modeling the relationship between some latent class y and some detailed observations or data x. For example, y might be a concept like “cat” or image labels more broadly, while x might be specific natural images. In this case the causal structure in reality looks like y → x. In our example, there is first an actual cat (y), and then via the physics of light and cameras we get the image of the cat (x).
Given this setup, why are functions of interest typically “just polynomials”? Well, thanks to Taylor expansions, all (smooth) functions can be expressed as infinite polynomials, so let’s rephrase the question: why are they polynomials with only a few terms?
The negative log probability -ln p(x | y) is called the _Hamiltonian_ in statistical physics. There are lots of reasons you might expect that the Hamiltonian is a simple low order polynomial:
1. The Hamiltonians of several fundamental physical laws are polynomials of order 2-4. A polynomial of order d can have at most O(n^d) terms (where n is the number of input variables in the polynomial).
2. The Gaussian distribution (often created in reality thanks to the Central Limit Theorem) has a quadratic Hamiltonian (i.e. order 2).
3. Most functions of interest have a _locality_ property: things only directly affect what is in their immediate vicinity. This causes almost all of the coefficients in the Taylor series to vanish.
4. Many functions have symmetry properties that can further reduce the number of parameters needed to specify them.
One might respond that while this could be true for simple functions like predicting the sum of independent events, this wouldn’t apply for the complex functions like “cat” → cat image. Here the authors appeal to _hierarchy_: in practice, the world is very hierarchical, and complex functions can usually be broken down into sequences of simpler ones. If we agree that the simple ones can be implemented with simple polynomials, then a deep neural network could simply learn the same sequence of operations (here the depth of the network is used to chain the operations one after the other).
So far we’ve argued that generative models p(x | y) tend to be simple polynomials. What about discriminative models p(y | x)? Well, if we can implement the Hamiltonian -ln p(x | y), then there is a simple way to get p(y | x): we simply calculate the Hamiltonian for all possible y, and then add in the prior probabilities -ln p(y) (which can be done through the bias term of the logit layer), and apply a softmax layer to the result. Indeed, the softmax layer at the end is best practice in ML for creating such models. In addition, in the case of a hierarchical sequence of steps, we can invert that sequence of steps and throw away unnecessary information at each step.
Okay, so far we’ve argued that the functions we care about learning can be expressed with polynomials with relatively few terms (in particular, not an exponential number of terms). What does this have to do with neural networks? It turns out that neural networks can express polynomials quite easily. In particular, the authors show:
1. Multiplication of two real numbers can be approximated arbitrarily well by a neural network with a hidden layer containing 4 neurons.
2. As a result, any given multivariate polynomial can be approximated arbitrarily well by a (potentially deep) neural network of size a little larger than 4 times the number of multiplications needed to evaluate the polynomial.
The authors also show that depth is required for the second result: for a single-layer neural network to multiply n inputs arbitrarily well, it _must_ have at least 2^n neurons (under the assumption that the nonlinear activation function is smooth).</v>
      </c>
      <c r="K361" t="str">
        <f>IFERROR(__xludf.DUMMYFUNCTION("""COMPUTED_VALUE"""),"While I really enjoyed this paper, I would caution against interpreting it too broadly. If we are to interpret this as a satisfactory answer to our first empirical puzzle, we’d have to say something like “reality tends to be expressible via polynomials, a"&amp;"nd neural networks tend to learn those polynomials because that is something they can do”. As the paper itself notes, just because reality is determined with low-order Hamiltonians doesn’t mean that given a _subset_ of the information we can get by with a"&amp;" polynomial approximation. In addition, my guess is that if we peered into the internals of the neural networks, it would not be the case that they were calculating the sorts of polynomials that this paper talks about; rather, they would be learning some "&amp;"heuristics that provide some amount of evidence, and combining all these heuristics together leads to a function that is correct the majority of the time. So it’s not clear that this paper really answers our first empirical puzzle.
What I especially like"&amp;"d about this paper was that it analyzed the set of functions we care about (aka functions about reality) and asked what properties of reality made it such that neural networks tended to work well at approximating these functions. Note that this is similar"&amp;" to the common hypothesis in machine learning that the functions we are trying to learn lie on a low-dimensional manifold in a high-dimensional space. This seems like an important direction of research in understanding what neural networks do, and this pa"&amp;"per seems like a good example of what such research could look like. I’d be excited to see similar research in the future.")</f>
        <v>While I really enjoyed this paper, I would caution against interpreting it too broadly. If we are to interpret this as a satisfactory answer to our first empirical puzzle, we’d have to say something like “reality tends to be expressible via polynomials, and neural networks tend to learn those polynomials because that is something they can do”. As the paper itself notes, just because reality is determined with low-order Hamiltonians doesn’t mean that given a _subset_ of the information we can get by with a polynomial approximation. In addition, my guess is that if we peered into the internals of the neural networks, it would not be the case that they were calculating the sorts of polynomials that this paper talks about; rather, they would be learning some heuristics that provide some amount of evidence, and combining all these heuristics together leads to a function that is correct the majority of the time. So it’s not clear that this paper really answers our first empirical puzzle.
What I especially liked about this paper was that it analyzed the set of functions we care about (aka functions about reality) and asked what properties of reality made it such that neural networks tended to work well at approximating these functions. Note that this is similar to the common hypothesis in machine learning that the functions we are trying to learn lie on a low-dimensional manifold in a high-dimensional space. This seems like an important direction of research in understanding what neural networks do, and this paper seems like a good example of what such research could look like. I’d be excited to see similar research in the future.</v>
      </c>
    </row>
    <row r="362">
      <c r="A362" t="str">
        <f>IFERROR(__xludf.DUMMYFUNCTION("""COMPUTED_VALUE"""),"Deep learning")</f>
        <v>Deep learning</v>
      </c>
      <c r="B362" t="str">
        <f>IFERROR(__xludf.DUMMYFUNCTION("""COMPUTED_VALUE"""),"Highlight")</f>
        <v>Highlight</v>
      </c>
      <c r="C362" s="3" t="str">
        <f>IFERROR(__xludf.DUMMYFUNCTION("""COMPUTED_VALUE"""),"Scaling Laws for Transfer")</f>
        <v>Scaling Laws for Transfer</v>
      </c>
      <c r="D362" t="str">
        <f>IFERROR(__xludf.DUMMYFUNCTION("""COMPUTED_VALUE"""),"Danny Hernandez, Jared Kaplan, Tom Henighan, Sam McCandlish")</f>
        <v>Danny Hernandez, Jared Kaplan, Tom Henighan, Sam McCandlish</v>
      </c>
      <c r="E362" t="str">
        <f>IFERROR(__xludf.DUMMYFUNCTION("""COMPUTED_VALUE"""),"arXiv")</f>
        <v>arXiv</v>
      </c>
      <c r="F362">
        <f>IFERROR(__xludf.DUMMYFUNCTION("""COMPUTED_VALUE"""),2021.0)</f>
        <v>2021</v>
      </c>
      <c r="H362" s="3" t="str">
        <f>IFERROR(__xludf.DUMMYFUNCTION("""COMPUTED_VALUE"""),"AN #137")</f>
        <v>AN #137</v>
      </c>
      <c r="I362" t="str">
        <f>IFERROR(__xludf.DUMMYFUNCTION("""COMPUTED_VALUE"""),"Asya")</f>
        <v>Asya</v>
      </c>
      <c r="J362" t="str">
        <f>IFERROR(__xludf.DUMMYFUNCTION("""COMPUTED_VALUE"""),"This paper studies empirical scaling laws for transfer learning in language models. The authors use Transformer-based models to predict Python code by training on three different dataset curricula:
- Training from-scratch on Python code
- Pre-training on "&amp;"natural language, then fine-tuning on Python code
- Pre-training on natural language and non-Python code, then fine-tuning on Python code
The authors then measure the ""effective data transferred"" from pre-training-- if we wanted to replace all the pre-"&amp;"training steps with from-scratch training, maintaining the same loss, how much additional from-scratch data would we need?
They find that when the amount of data used to train is small, effective data transferred is described by a simple power-law functi"&amp;"on of **D_F**, the amount of data used for fine-tuning, and **N**, the number of parameters: **k (D_F)^α (N)^β**, for constants k, α, and β.
In their experiments, **β** doesn't change between pre-training on natural language and pre-training on a mixture"&amp;" of natural language and non-Python code. They hypothesize that **β** measures how the model architecture generalizes on the target distribution, and doesn't depend on the contents of the pre-training data.
The authors think that **α** is a measure of th"&amp;"e directed proximity of the pre-training and from-scratch distributions, with smaller **α** indicating closer proximity. Measuring **α** can be done cheaply by changing the finetuning dataset size while holding the pretrained model constant, making it use"&amp;"ful for deciding between collecting more fine-tuning data and increasing model size. For pre-training on natural language and fine-tuning on Python, **β** is about **2 * α**, so for decreasing loss, increasing the fine-tuning dataset size by a factor of *"&amp;"*C** (e.g., 100x) would be worth approximately the same as increasing the model size by **√C** (e.g. 10x).
The authors find that pre-training on a mixture of natural language and non-Python code has a higher **k** but lower **α** than pre-training on nat"&amp;"ural language alone. The higher **k** indicates that the mixture model has better transfer performance when trained in the low data regime, while the lower **α** value means that benefits of the mixture model diminish as more data is used.
The authors al"&amp;"so observe that:
- Not counting pre-training compute, pre-trained models are generally more compute efficient than from-scratch models when trained in the low data regime, approximately as compute efficient in the medium data regime, and less compute effi"&amp;"cient in the high data regime (close to convergence).
- Small pre-trained models perform worse than small from-scratch models in the high data regime. The authors call this phenomenon ""ossification""-- a term used to suggest that small pre-trained models"&amp;" may have a hard time moving away from bad initializations.
- In general, pre-trained models of a given size are compute efficient (on the frontier of loss given compute) for a large portion of their fine-tuning. From-scratch models, by contrast, are only"&amp;" compute efficient for a narrow window of training-- using too little compute for a given model dramatically increases loss and suggests that you should instead be using a smaller model. This makes pre-trained models in some sense ""easier"" to train.")</f>
        <v>This paper studies empirical scaling laws for transfer learning in language models. The authors use Transformer-based models to predict Python code by training on three different dataset curricula:
- Training from-scratch on Python code
- Pre-training on natural language, then fine-tuning on Python code
- Pre-training on natural language and non-Python code, then fine-tuning on Python code
The authors then measure the "effective data transferred" from pre-training-- if we wanted to replace all the pre-training steps with from-scratch training, maintaining the same loss, how much additional from-scratch data would we need?
They find that when the amount of data used to train is small, effective data transferred is described by a simple power-law function of **D_F**, the amount of data used for fine-tuning, and **N**, the number of parameters: **k (D_F)^α (N)^β**, for constants k, α, and β.
In their experiments, **β** doesn't change between pre-training on natural language and pre-training on a mixture of natural language and non-Python code. They hypothesize that **β** measures how the model architecture generalizes on the target distribution, and doesn't depend on the contents of the pre-training data.
The authors think that **α** is a measure of the directed proximity of the pre-training and from-scratch distributions, with smaller **α** indicating closer proximity. Measuring **α** can be done cheaply by changing the finetuning dataset size while holding the pretrained model constant, making it useful for deciding between collecting more fine-tuning data and increasing model size. For pre-training on natural language and fine-tuning on Python, **β** is about **2 * α**, so for decreasing loss, increasing the fine-tuning dataset size by a factor of **C** (e.g., 100x) would be worth approximately the same as increasing the model size by **√C** (e.g. 10x).
The authors find that pre-training on a mixture of natural language and non-Python code has a higher **k** but lower **α** than pre-training on natural language alone. The higher **k** indicates that the mixture model has better transfer performance when trained in the low data regime, while the lower **α** value means that benefits of the mixture model diminish as more data is used.
The authors also observe that:
- Not counting pre-training compute, pre-trained models are generally more compute efficient than from-scratch models when trained in the low data regime, approximately as compute efficient in the medium data regime, and less compute efficient in the high data regime (close to convergence).
- Small pre-trained models perform worse than small from-scratch models in the high data regime. The authors call this phenomenon "ossification"-- a term used to suggest that small pre-trained models may have a hard time moving away from bad initializations.
- In general, pre-trained models of a given size are compute efficient (on the frontier of loss given compute) for a large portion of their fine-tuning. From-scratch models, by contrast, are only compute efficient for a narrow window of training-- using too little compute for a given model dramatically increases loss and suggests that you should instead be using a smaller model. This makes pre-trained models in some sense "easier" to train.</v>
      </c>
      <c r="K362" t="str">
        <f>IFERROR(__xludf.DUMMYFUNCTION("""COMPUTED_VALUE"""),"It's extremely cool to have a mathematical characterization of the power of pre-training. I would love to see similar analyses measuring effective data transferred for tasks other than predicting the next token -- if it turns out that modest increases in "&amp;"model size compensate for small datasets in a wide variety of tasks, that makes a strong case that unsupervised learning will be most of the work towards transformative abilities.
Reading these scaling papers really makes me think that there's some deepe"&amp;"r theoretical understanding of distributions and predictive models that these results are accessing, maybe encapsulated by [this theory paper](https://arxiv.org/abs/2004.10802) that I still haven't read...
**Rohin's opinion:** Like Asya, I really like th"&amp;"e simplicity of the functional form of the scaling law, and the fits to the data seem quite good. I was quite surprised that β seemed to be independent of the pretraining distribution; I would not have predicted that in advance.
Note that despite the for"&amp;"m of the scaling law, the effective data transferred isn’t independent of the pretraining dataset size -- that dependence effectively comes through the model size N. This is because authors use compute-optimal pretraining, and so a given model size N corr"&amp;"esponds to a specific amount of pretraining compute, which is probably almost the same as having a specific amount of pretraining data.
I am confused by the claim that distributions that are “closer” have lower α. It does make sense that for identical di"&amp;"stributions, we should have α = 0. However, if closer distributions have lower α, and β is independent of the distribution, then as your finetuning dataset gets sufficiently large, you actually prefer the further-away distribution! For example, once your "&amp;"finetuning dataset hits 10 trillion points, the scaling laws predict that you prefer to have pretrained on text, rather than 50% text and 50% code, which seems really bizarre. Possibly the scaling laws break down before that point, and in any case a _fine"&amp;"tuning_ dataset of 10 trillion data points would be ridiculously massive, but it still seems like something needs to be explained here.
Could we use this to improve timelines estimates? I take a stab at a calculation [here](https://www.lesswrong.com/post"&amp;"s/KrJfoZzpSDpnrv9va/draft-report-on-ai-timelines?commentId=LqZidQ6bEtDnqP6ji); the _very rough and uncertain_ conclusion is that while transfer does seem to be a useful way to reduce compute requirements, the overall effect is not large.")</f>
        <v>It's extremely cool to have a mathematical characterization of the power of pre-training. I would love to see similar analyses measuring effective data transferred for tasks other than predicting the next token -- if it turns out that modest increases in model size compensate for small datasets in a wide variety of tasks, that makes a strong case that unsupervised learning will be most of the work towards transformative abilities.
Reading these scaling papers really makes me think that there's some deeper theoretical understanding of distributions and predictive models that these results are accessing, maybe encapsulated by [this theory paper](https://arxiv.org/abs/2004.10802) that I still haven't read...
**Rohin's opinion:** Like Asya, I really like the simplicity of the functional form of the scaling law, and the fits to the data seem quite good. I was quite surprised that β seemed to be independent of the pretraining distribution; I would not have predicted that in advance.
Note that despite the form of the scaling law, the effective data transferred isn’t independent of the pretraining dataset size -- that dependence effectively comes through the model size N. This is because authors use compute-optimal pretraining, and so a given model size N corresponds to a specific amount of pretraining compute, which is probably almost the same as having a specific amount of pretraining data.
I am confused by the claim that distributions that are “closer” have lower α. It does make sense that for identical distributions, we should have α = 0. However, if closer distributions have lower α, and β is independent of the distribution, then as your finetuning dataset gets sufficiently large, you actually prefer the further-away distribution! For example, once your finetuning dataset hits 10 trillion points, the scaling laws predict that you prefer to have pretrained on text, rather than 50% text and 50% code, which seems really bizarre. Possibly the scaling laws break down before that point, and in any case a _finetuning_ dataset of 10 trillion data points would be ridiculously massive, but it still seems like something needs to be explained here.
Could we use this to improve timelines estimates? I take a stab at a calculation [here](https://www.lesswrong.com/posts/KrJfoZzpSDpnrv9va/draft-report-on-ai-timelines?commentId=LqZidQ6bEtDnqP6ji); the _very rough and uncertain_ conclusion is that while transfer does seem to be a useful way to reduce compute requirements, the overall effect is not large.</v>
      </c>
      <c r="M362" s="3" t="str">
        <f>IFERROR(__xludf.DUMMYFUNCTION("""COMPUTED_VALUE"""),"Twitter thread")</f>
        <v>Twitter thread</v>
      </c>
    </row>
    <row r="363">
      <c r="A363" t="str">
        <f>IFERROR(__xludf.DUMMYFUNCTION("""COMPUTED_VALUE"""),"Deep learning")</f>
        <v>Deep learning</v>
      </c>
      <c r="B363" t="str">
        <f>IFERROR(__xludf.DUMMYFUNCTION("""COMPUTED_VALUE"""),"Highlight")</f>
        <v>Highlight</v>
      </c>
      <c r="C363" s="3" t="str">
        <f>IFERROR(__xludf.DUMMYFUNCTION("""COMPUTED_VALUE"""),"Rethinking Bias-Variance Trade-off for Generalization of Neural Networks")</f>
        <v>Rethinking Bias-Variance Trade-off for Generalization of Neural Networks</v>
      </c>
      <c r="D363" t="str">
        <f>IFERROR(__xludf.DUMMYFUNCTION("""COMPUTED_VALUE"""),"Zitong Yang, Yaodong Yu, Chong You, Jacob Steinhardt, Yi Ma")</f>
        <v>Zitong Yang, Yaodong Yu, Chong You, Jacob Steinhardt, Yi Ma</v>
      </c>
      <c r="E363" t="str">
        <f>IFERROR(__xludf.DUMMYFUNCTION("""COMPUTED_VALUE"""),"arXiv")</f>
        <v>arXiv</v>
      </c>
      <c r="F363">
        <f>IFERROR(__xludf.DUMMYFUNCTION("""COMPUTED_VALUE"""),2020.0)</f>
        <v>2020</v>
      </c>
      <c r="H363" s="3" t="str">
        <f>IFERROR(__xludf.DUMMYFUNCTION("""COMPUTED_VALUE"""),"AN #129")</f>
        <v>AN #129</v>
      </c>
      <c r="I363" t="str">
        <f>IFERROR(__xludf.DUMMYFUNCTION("""COMPUTED_VALUE"""),"Nicholas")</f>
        <v>Nicholas</v>
      </c>
      <c r="J363" t="str">
        <f>IFERROR(__xludf.DUMMYFUNCTION("""COMPUTED_VALUE"""),"A fundamental result in ML theory shows that the squared error loss function can be decomposed into two components: bias and variance. Suppose that we train a model f to predict some ground truth function y. The bias measures how incorrect the model will "&amp;"be _in expectation over the training process_, while the variance measures how different the model’s output can be over different runs of the training process. More concretely, imagine that we run a training process N times, each with a different training"&amp;" set drawn iid from the same underlying training distribution, to get N different models. Bias is like taking the average of these N models, and asking how far away it is from the truth. Meanwhile, variance is like the average distance from each of the N "&amp;"models to the average of all of the N models.
Classical ML predicts that larger models have *lower bias* but *higher variance*. This paper shows that instead, the variance of deep NNs first increases but then decreases at larger model sizes. If the bias "&amp;"tends to be much larger than variance, then we see monotonically decreasing total error. If the variance tends to be much larger than the bias, then loss will also look bell-shaped, initially _increasing_ as models get bigger and then decreasing. Finally,"&amp;" if the bias starts high, but over time is overshadowed by the variance, we get &lt;@double descent@&gt;(@Deep Double Descent@) curves; this explains why previous work needed to add label noise to get double descent curves (as higher label noise should lead to "&amp;"higher variance).
In order to estimate the variance, the authors split their data into two subsets and use these to create an unbiased estimator of the variance (effectively following a similar procedure to the one described in the first paragraph). The "&amp;"bias estimate can then be determined from the test loss and the estimated variance. They then test how various factors contribute to test loss. As expected, label noise increases variance. Out-of-distribution samples have higher test loss, which is driven"&amp;" by both bias and variance, but most of the increase comes from bias. Deeper networks sharing the same architecture have lower bias but higher variance.")</f>
        <v>A fundamental result in ML theory shows that the squared error loss function can be decomposed into two components: bias and variance. Suppose that we train a model f to predict some ground truth function y. The bias measures how incorrect the model will be _in expectation over the training process_, while the variance measures how different the model’s output can be over different runs of the training process. More concretely, imagine that we run a training process N times, each with a different training set drawn iid from the same underlying training distribution, to get N different models. Bias is like taking the average of these N models, and asking how far away it is from the truth. Meanwhile, variance is like the average distance from each of the N models to the average of all of the N models.
Classical ML predicts that larger models have *lower bias* but *higher variance*. This paper shows that instead, the variance of deep NNs first increases but then decreases at larger model sizes. If the bias tends to be much larger than variance, then we see monotonically decreasing total error. If the variance tends to be much larger than the bias, then loss will also look bell-shaped, initially _increasing_ as models get bigger and then decreasing. Finally, if the bias starts high, but over time is overshadowed by the variance, we get &lt;@double descent@&gt;(@Deep Double Descent@) curves; this explains why previous work needed to add label noise to get double descent curves (as higher label noise should lead to higher variance).
In order to estimate the variance, the authors split their data into two subsets and use these to create an unbiased estimator of the variance (effectively following a similar procedure to the one described in the first paragraph). The bias estimate can then be determined from the test loss and the estimated variance. They then test how various factors contribute to test loss. As expected, label noise increases variance. Out-of-distribution samples have higher test loss, which is driven by both bias and variance, but most of the increase comes from bias. Deeper networks sharing the same architecture have lower bias but higher variance.</v>
      </c>
      <c r="K363" t="str">
        <f>IFERROR(__xludf.DUMMYFUNCTION("""COMPUTED_VALUE"""),"I really appreciated how this paper gives a clear explanation for empirical results that I had found quite surprising. While there is still the mystery of why variance is unimodal, this helps isolate the confusing phenomenon much more precisely. The expla"&amp;"nation of why label noise is necessary seemed quite clear to me and makes much more sense to me than the description in &lt;@Deep Double Descent@&gt;(@Deep Double Descent@). I was encouraged to see that most of the out-of-distribution generalization gap comes f"&amp;"rom an increase in bias, paired with the finding that deeper networks exhibit lower bias. This seems to indicate that larger models should actually get more robust, which I think will make powerful AI systems safer.
**Rohin’s opinion:** I really liked th"&amp;"is paper for the same reasons as Nicholas above. Note that while the classical theory and this paper both talk about the bias and variance of “models” or “hypothesis classes”, what’s actually being measured is the bias and variance of a _full training pro"&amp;"cedure on a specific task and dataset_. This includes the model architecture, choice of training algorithm, choice of hyperparameters, etc. To me this is a positive: we care about what happens with actual training runs, and I wouldn’t be surprised if this"&amp;" ends up being significantly different from whatever happens in theory when you assume that you can find the model that best fits your training data.
I’d be excited to see more work testing the unimodal variance explanation for deep double descent: for e"&amp;"xample, can we also explain &lt;@epochal deep double descent@&gt;(@Deep Double Descent@) via unimodal variance?
In addition, I’d be interested in speculation on possible reasons for why variance tends to be unimodal. For example, perhaps real datasets tend to "&amp;"have some simple patterns that every model can quickly learn, but then have a wide variety of small patterns that they could learn in order to slightly boost performance, where different facts generalize differently. If a model with capacity C can learn N"&amp;" such facts, and there are F facts in total, then perhaps you could get F choose N different possible models depending on the random seed. The more possible models with different facts, the higher the variance, and so variance might then be maximized when"&amp;" C is such that N = F / 2, and decrease to either side of that point, giving the unimodal pattern.
(To be clear, this explanation is too high-level -- I don’t really like having to depend on the idea of “facts” when talking about machine learning -- the "&amp;"hope is that with speculation like this we might figure out a more mechanistic explanation.)")</f>
        <v>I really appreciated how this paper gives a clear explanation for empirical results that I had found quite surprising. While there is still the mystery of why variance is unimodal, this helps isolate the confusing phenomenon much more precisely. The explanation of why label noise is necessary seemed quite clear to me and makes much more sense to me than the description in &lt;@Deep Double Descent@&gt;(@Deep Double Descent@). I was encouraged to see that most of the out-of-distribution generalization gap comes from an increase in bias, paired with the finding that deeper networks exhibit lower bias. This seems to indicate that larger models should actually get more robust, which I think will make powerful AI systems safer.
**Rohin’s opinion:** I really liked this paper for the same reasons as Nicholas above. Note that while the classical theory and this paper both talk about the bias and variance of “models” or “hypothesis classes”, what’s actually being measured is the bias and variance of a _full training procedure on a specific task and dataset_. This includes the model architecture, choice of training algorithm, choice of hyperparameters, etc. To me this is a positive: we care about what happens with actual training runs, and I wouldn’t be surprised if this ends up being significantly different from whatever happens in theory when you assume that you can find the model that best fits your training data.
I’d be excited to see more work testing the unimodal variance explanation for deep double descent: for example, can we also explain &lt;@epochal deep double descent@&gt;(@Deep Double Descent@) via unimodal variance?
In addition, I’d be interested in speculation on possible reasons for why variance tends to be unimodal. For example, perhaps real datasets tend to have some simple patterns that every model can quickly learn, but then have a wide variety of small patterns that they could learn in order to slightly boost performance, where different facts generalize differently. If a model with capacity C can learn N such facts, and there are F facts in total, then perhaps you could get F choose N different possible models depending on the random seed. The more possible models with different facts, the higher the variance, and so variance might then be maximized when C is such that N = F / 2, and decrease to either side of that point, giving the unimodal pattern.
(To be clear, this explanation is too high-level -- I don’t really like having to depend on the idea of “facts” when talking about machine learning -- the hope is that with speculation like this we might figure out a more mechanistic explanation.)</v>
      </c>
    </row>
    <row r="364">
      <c r="A364" t="str">
        <f>IFERROR(__xludf.DUMMYFUNCTION("""COMPUTED_VALUE"""),"Deep learning")</f>
        <v>Deep learning</v>
      </c>
      <c r="B364" t="str">
        <f>IFERROR(__xludf.DUMMYFUNCTION("""COMPUTED_VALUE"""),"Highlight")</f>
        <v>Highlight</v>
      </c>
      <c r="C364" s="3" t="str">
        <f>IFERROR(__xludf.DUMMYFUNCTION("""COMPUTED_VALUE"""),"Language Models are Few-Shot Learners")</f>
        <v>Language Models are Few-Shot Learners</v>
      </c>
      <c r="D364" t="str">
        <f>IFERROR(__xludf.DUMMYFUNCTION("""COMPUTED_VALUE"""),"Tom B. Brown, Benjamin Mann, Nick Ryder, Melanie Subbiah, Jared Kaplan, Prafulla Dhariwal, Arvind Neelakantan, Pranav Shyam, Girish Sastry, Amanda Askell, Sandhini Agarwal, Ariel Herbert-Voss, Gretchen Krueger, Tom Henighan, Rewon Child, Aditya Ramesh, Da"&amp;"niel M. Ziegler, Jeffrey Wu, Clemens Winter, Christopher Hesse, Mark Chen, Eric Sigler, Mateusz Litwin, Scott Gray, Benjamin Chess, Jack Clark, Christopher Berner, Sam McCandlish, Alec Radford, Ilya Sutskever, Dario Amodei")</f>
        <v>Tom B. Brown, Benjamin Mann, Nick Ryder, Melanie Subbiah, Jared Kaplan, Prafulla Dhariwal, Arvind Neelakantan, Pranav Shyam, Girish Sastry, Amanda Askell, Sandhini Agarwal, Ariel Herbert-Voss, Gretchen Krueger, Tom Henighan, Rewon Child, Aditya Ramesh, Daniel M. Ziegler, Jeffrey Wu, Clemens Winter, Christopher Hesse, Mark Chen, Eric Sigler, Mateusz Litwin, Scott Gray, Benjamin Chess, Jack Clark, Christopher Berner, Sam McCandlish, Alec Radford, Ilya Sutskever, Dario Amodei</v>
      </c>
      <c r="E364" t="str">
        <f>IFERROR(__xludf.DUMMYFUNCTION("""COMPUTED_VALUE"""),"arXiv")</f>
        <v>arXiv</v>
      </c>
      <c r="F364">
        <f>IFERROR(__xludf.DUMMYFUNCTION("""COMPUTED_VALUE"""),2020.0)</f>
        <v>2020</v>
      </c>
      <c r="H364" s="3" t="str">
        <f>IFERROR(__xludf.DUMMYFUNCTION("""COMPUTED_VALUE"""),"AN #102")</f>
        <v>AN #102</v>
      </c>
      <c r="I364" t="str">
        <f>IFERROR(__xludf.DUMMYFUNCTION("""COMPUTED_VALUE"""),"Rohin")</f>
        <v>Rohin</v>
      </c>
      <c r="J364" t="str">
        <f>IFERROR(__xludf.DUMMYFUNCTION("""COMPUTED_VALUE"""),"The biggest &lt;@GPT-2 model@&gt;(@Better Language Models and Their Implications@) had 1.5 billion parameters, and since its release people have trained language models with up to 17 billion parameters. This paper reports GPT-3 results, where the largest model "&amp;"has _175 billion_ parameters, a 10x increase over the previous largest language model. To get the obvious out of the way, it sets a new state of the art (SOTA) on zero-shot language modeling (evaluated only on Penn Tree Bank, as other evaluation sets were"&amp;" accidentally a part of their training set).
The primary focus of the paper is on analyzing the _few-shot learning_ capabilities of GPT-3. In few-shot learning, after an initial training phase, at test time models are presented with a small number of exa"&amp;"mples of a new task, and then must execute that task for new inputs. Such problems are usually solved using _meta-learning_ or _finetuning_, e.g. at test time [MAML](https://arxiv.org/abs/1703.03400) takes a few gradient steps on the new examples to produ"&amp;"ce a model finetuned for the test task. In contrast, the key hypothesis with GPT-3 is that language is so diverse, that doing well on it already requires adaptation to the input, and so the learned language model will _already be a meta-learner_. This imp"&amp;"lies that they can simply ""prime"" the model with examples of a task they care about, and the model can _learn_ what task is supposed to be performed, and then perform that task well.
For example, consider the task of generating a sentence using a newly"&amp;" made-up word whose meaning has been explained. In one notable example, the prompt for GPT-3 is:
_A ""whatpu"" is a small, furry animal native to Tanzania. An example of a sentence that uses the word whatpu is:_
_We were traveling in Africa and we saw th"&amp;"ese very cute whatpus._
_To do a ""farduddle"" means to jump up and down really fast. An example of a sentence that uses the word farduddle is:_
Given this prompt, GPT-3 generates the following example sentence for ""farduddle"":
_One day when I was pla"&amp;"ying tag with my little sister, she got really excited and she started doing these crazy farduddles._
The paper tests on several downstream tasks for which benchmarks exist (e.g. question answering), and reports zero-shot, one-shot, and few-shot performa"&amp;"nce on all of them. On some tasks, the few-shot version sets a new SOTA, _despite not being finetuned using the benchmark’s training set_; on others, GPT-3 lags considerably behind finetuning approaches.
The paper also consistently shows that few-shot pe"&amp;"rformance increases as the number of parameters increases, and the rate of increase is faster than the corresponding rate for zero-shot performance. While they don’t outright say it, we might take this as suggestive evidence that as models get larger, the"&amp;"y are more incentivized to learn “general reasoning abilities”.
The most striking example of this is in arithmetic, where the smallest 6 models (up to 6.7 billion parameters) have poor performance (&lt; 20% on 2-digit addition), then the next model (13 bill"&amp;"ion parameters) jumps to &gt; 50% on 2-digit addition and subtraction, and the final model (175 billion parameters) achieves &gt; 80% on 3-digit addition and subtraction and a perfect 100% on 2-digit addition (all in the few-shot regime). They explicitly look f"&amp;"or their test problems in the training set, and find very few examples, suggesting that the model really is learning “how to do addition”; further, when it is incorrect, it tends to make mistakes like “forgetting to carry a 1”.
On broader impacts, the au"&amp;"thors talk about potential misuse, fairness and bias concerns, and energy usage concerns; and say they about these issues what you’d expect. One interesting note: “To understand how low and mid-skill actors think about language models, we have been monito"&amp;"ring forums and chat groups where misinformation tactics, malware distribution, and computer fraud are frequently discussed.” They find that while there was significant discussion of misuse, they found no successful deployments. They also consulted with p"&amp;"rofessional threat analysts about the possibility of well-resourced actors misusing the model. According to the paper: “The assessment was that language models may not be worth investing significant resources in because there has been no convincing demons"&amp;"tration that current language models are significantly better than current methods for generating text, and because methods for “targeting” or “controlling” the content of language models are still at a very early stage.”")</f>
        <v>The biggest &lt;@GPT-2 model@&gt;(@Better Language Models and Their Implications@) had 1.5 billion parameters, and since its release people have trained language models with up to 17 billion parameters. This paper reports GPT-3 results, where the largest model has _175 billion_ parameters, a 10x increase over the previous largest language model. To get the obvious out of the way, it sets a new state of the art (SOTA) on zero-shot language modeling (evaluated only on Penn Tree Bank, as other evaluation sets were accidentally a part of their training set).
The primary focus of the paper is on analyzing the _few-shot learning_ capabilities of GPT-3. In few-shot learning, after an initial training phase, at test time models are presented with a small number of examples of a new task, and then must execute that task for new inputs. Such problems are usually solved using _meta-learning_ or _finetuning_, e.g. at test time [MAML](https://arxiv.org/abs/1703.03400) takes a few gradient steps on the new examples to produce a model finetuned for the test task. In contrast, the key hypothesis with GPT-3 is that language is so diverse, that doing well on it already requires adaptation to the input, and so the learned language model will _already be a meta-learner_. This implies that they can simply "prime" the model with examples of a task they care about, and the model can _learn_ what task is supposed to be performed, and then perform that task well.
For example, consider the task of generating a sentence using a newly made-up word whose meaning has been explained. In one notable example, the prompt for GPT-3 is:
_A "whatpu" is a small, furry animal native to Tanzania. An example of a sentence that uses the word whatpu is:_
_We were traveling in Africa and we saw these very cute whatpus._
_To do a "farduddle" means to jump up and down really fast. An example of a sentence that uses the word farduddle is:_
Given this prompt, GPT-3 generates the following example sentence for "farduddle":
_One day when I was playing tag with my little sister, she got really excited and she started doing these crazy farduddles._
The paper tests on several downstream tasks for which benchmarks exist (e.g. question answering), and reports zero-shot, one-shot, and few-shot performance on all of them. On some tasks, the few-shot version sets a new SOTA, _despite not being finetuned using the benchmark’s training set_; on others, GPT-3 lags considerably behind finetuning approaches.
The paper also consistently shows that few-shot performance increases as the number of parameters increases, and the rate of increase is faster than the corresponding rate for zero-shot performance. While they don’t outright say it, we might take this as suggestive evidence that as models get larger, they are more incentivized to learn “general reasoning abilities”.
The most striking example of this is in arithmetic, where the smallest 6 models (up to 6.7 billion parameters) have poor performance (&lt; 20% on 2-digit addition), then the next model (13 billion parameters) jumps to &gt; 50% on 2-digit addition and subtraction, and the final model (175 billion parameters) achieves &gt; 80% on 3-digit addition and subtraction and a perfect 100% on 2-digit addition (all in the few-shot regime). They explicitly look for their test problems in the training set, and find very few examples, suggesting that the model really is learning “how to do addition”; further, when it is incorrect, it tends to make mistakes like “forgetting to carry a 1”.
On broader impacts, the authors talk about potential misuse, fairness and bias concerns, and energy usage concerns; and say they about these issues what you’d expect. One interesting note: “To understand how low and mid-skill actors think about language models, we have been monitoring forums and chat groups where misinformation tactics, malware distribution, and computer fraud are frequently discussed.” They find that while there was significant discussion of misuse, they found no successful deployments. They also consulted with professional threat analysts about the possibility of well-resourced actors misusing the model. According to the paper: “The assessment was that language models may not be worth investing significant resources in because there has been no convincing demonstration that current language models are significantly better than current methods for generating text, and because methods for “targeting” or “controlling” the content of language models are still at a very early stage.”</v>
      </c>
      <c r="K364" t="str">
        <f>IFERROR(__xludf.DUMMYFUNCTION("""COMPUTED_VALUE"""),"For a long time, I’ve heard people quietly hypothesizing that with a sufficient diversity of tasks, regular gradient descent could lead to general reasoning abilities allowing for quick adaptation to new tasks. This is a powerful demonstration of this hyp"&amp;"othesis.
One [critique](https://www.lesswrong.com/posts/ZHrpjDc3CepSeeBuE/gpt-3-a-disappointing-paper) is that GPT-3 still takes far too long to “identify” a task -- why does it need 50 examples of addition in order to figure out that what it should do i"&amp;"s addition? Why isn’t 1 sufficient? It’s not like there are a bunch of other conceptions of “addition” that need to be disambiguated. I’m not sure what’s going on mechanistically, but we can infer from the paper that as language models get larger, the num"&amp;"ber of examples needed to achieve a given level of performance goes down, so it seems like there is some “strength” of general reasoning ability that goes up (see also [this commentary](https://www.gwern.net/newsletter/2020/05)). Still, it would be really"&amp;" interesting to figure out mechanistically how the model is “reasoning”.
This also provides some empirical evidence in support of the threat model underlying &lt;@inner alignment concerns@&gt;(@Risks from Learned Optimization in Advanced Machine Learning Syste"&amp;"ms@): they are predicated on neural nets that implicitly learn to optimize. (To be clear, I think it provides empirical support for neural nets learning to “reason generally”, not neural nets learning to implicitly “perform search” in pursuit of a “mesa o"&amp;"bjective” -- see also &lt;@Is the term mesa optimizer too narrow?@&gt;.)")</f>
        <v>For a long time, I’ve heard people quietly hypothesizing that with a sufficient diversity of tasks, regular gradient descent could lead to general reasoning abilities allowing for quick adaptation to new tasks. This is a powerful demonstration of this hypothesis.
One [critique](https://www.lesswrong.com/posts/ZHrpjDc3CepSeeBuE/gpt-3-a-disappointing-paper) is that GPT-3 still takes far too long to “identify” a task -- why does it need 50 examples of addition in order to figure out that what it should do is addition? Why isn’t 1 sufficient? It’s not like there are a bunch of other conceptions of “addition” that need to be disambiguated. I’m not sure what’s going on mechanistically, but we can infer from the paper that as language models get larger, the number of examples needed to achieve a given level of performance goes down, so it seems like there is some “strength” of general reasoning ability that goes up (see also [this commentary](https://www.gwern.net/newsletter/2020/05)). Still, it would be really interesting to figure out mechanistically how the model is “reasoning”.
This also provides some empirical evidence in support of the threat model underlying &lt;@inner alignment concerns@&gt;(@Risks from Learned Optimization in Advanced Machine Learning Systems@): they are predicated on neural nets that implicitly learn to optimize. (To be clear, I think it provides empirical support for neural nets learning to “reason generally”, not neural nets learning to implicitly “perform search” in pursuit of a “mesa objective” -- see also &lt;@Is the term mesa optimizer too narrow?@&gt;.)</v>
      </c>
    </row>
    <row r="365">
      <c r="A365" t="str">
        <f>IFERROR(__xludf.DUMMYFUNCTION("""COMPUTED_VALUE"""),"Deep learning")</f>
        <v>Deep learning</v>
      </c>
      <c r="B365" t="str">
        <f>IFERROR(__xludf.DUMMYFUNCTION("""COMPUTED_VALUE"""),"")</f>
        <v/>
      </c>
      <c r="C365" s="3" t="str">
        <f>IFERROR(__xludf.DUMMYFUNCTION("""COMPUTED_VALUE"""),"Fast and Easy Infinitely Wide Networks with Neural Tangents")</f>
        <v>Fast and Easy Infinitely Wide Networks with Neural Tangents</v>
      </c>
      <c r="D365" t="str">
        <f>IFERROR(__xludf.DUMMYFUNCTION("""COMPUTED_VALUE"""),"Roman Novak*, Lechao Xiao*, Samuel S. Schoenholz*, Jiri Hron, Jaehoon Lee, Alexander A. Alemi, Jascha Sohl-Dickstein")</f>
        <v>Roman Novak*, Lechao Xiao*, Samuel S. Schoenholz*, Jiri Hron, Jaehoon Lee, Alexander A. Alemi, Jascha Sohl-Dickstein</v>
      </c>
      <c r="E365" t="str">
        <f>IFERROR(__xludf.DUMMYFUNCTION("""COMPUTED_VALUE"""),"ICLR 2020")</f>
        <v>ICLR 2020</v>
      </c>
      <c r="F365">
        <f>IFERROR(__xludf.DUMMYFUNCTION("""COMPUTED_VALUE"""),2020.0)</f>
        <v>2020</v>
      </c>
      <c r="H365" s="3" t="str">
        <f>IFERROR(__xludf.DUMMYFUNCTION("""COMPUTED_VALUE"""),"AN #96")</f>
        <v>AN #96</v>
      </c>
      <c r="I365" t="str">
        <f>IFERROR(__xludf.DUMMYFUNCTION("""COMPUTED_VALUE"""),"Zach")</f>
        <v>Zach</v>
      </c>
      <c r="J365" t="str">
        <f>IFERROR(__xludf.DUMMYFUNCTION("""COMPUTED_VALUE"""),"The success of Deep Learning has led researchers to explore why they're such effective function approximators. One key insight is that increasing the width of the network layers makes it *easier* to understand. More precisely, as the width is sent to infi"&amp;"nity the network's learning dynamics can be approximated with a Taylor expansion and become a kernel problem. This kernel has an exact form in the limit and is referred to as the neural tangent kernel (NTK). Ultimately, this allows us to model the network"&amp;" with a simpler model known as a Gaussian process. Unfortunately, showing this analytically is difficult and creating efficient implementations is cumbersome. **The authors address this problem by introducing ""Neural Tangents"", a library that makes crea"&amp;"ting infinite-width networks as easy as creating their finite counterparts with libraries such as PyTorch or TensorFlow.** They include support for convolutions with full-padding, residual-connections, feed-forward networks, and support for a variety of a"&amp;"ctivation functions. Additionally, there is out-of-the-box support for CPU, GPU, and TPU. Moreover, uncertainty comparisons with finite ensembles are possible via exact Bayesian inference.")</f>
        <v>The success of Deep Learning has led researchers to explore why they're such effective function approximators. One key insight is that increasing the width of the network layers makes it *easier* to understand. More precisely, as the width is sent to infinity the network's learning dynamics can be approximated with a Taylor expansion and become a kernel problem. This kernel has an exact form in the limit and is referred to as the neural tangent kernel (NTK). Ultimately, this allows us to model the network with a simpler model known as a Gaussian process. Unfortunately, showing this analytically is difficult and creating efficient implementations is cumbersome. **The authors address this problem by introducing "Neural Tangents", a library that makes creating infinite-width networks as easy as creating their finite counterparts with libraries such as PyTorch or TensorFlow.** They include support for convolutions with full-padding, residual-connections, feed-forward networks, and support for a variety of activation functions. Additionally, there is out-of-the-box support for CPU, GPU, and TPU. Moreover, uncertainty comparisons with finite ensembles are possible via exact Bayesian inference.</v>
      </c>
      <c r="K365" t="str">
        <f>IFERROR(__xludf.DUMMYFUNCTION("""COMPUTED_VALUE"""),"I took a look at the repository and found there to be ample documentation available making it easy for me to try training my own infinite-width network. The authors derive a practical way to compute the exact convolutional NTK which I find  impressive and"&amp;" which seems to be the main technical contribution of this paper. While the authors note that there are some conditions necessary to enter the so-called ""kernel regime"", in practice it seems as though you can often get away with merely large network wid"&amp;"ths. If for nothing else, I'd recommend at least perusing the notebooks they have available or taking a look at the visualization they present of a neural network converging to a Gaussian process, which relies on a subtle application of the law of large n"&amp;"umbers. ")</f>
        <v>I took a look at the repository and found there to be ample documentation available making it easy for me to try training my own infinite-width network. The authors derive a practical way to compute the exact convolutional NTK which I find  impressive and which seems to be the main technical contribution of this paper. While the authors note that there are some conditions necessary to enter the so-called "kernel regime", in practice it seems as though you can often get away with merely large network widths. If for nothing else, I'd recommend at least perusing the notebooks they have available or taking a look at the visualization they present of a neural network converging to a Gaussian process, which relies on a subtle application of the law of large numbers. </v>
      </c>
      <c r="M365" s="3" t="str">
        <f>IFERROR(__xludf.DUMMYFUNCTION("""COMPUTED_VALUE"""),"Paper: Neural Tangents: Fast and Easy Infinite Neural Networks in Python")</f>
        <v>Paper: Neural Tangents: Fast and Easy Infinite Neural Networks in Python</v>
      </c>
    </row>
    <row r="366">
      <c r="A366" t="str">
        <f>IFERROR(__xludf.DUMMYFUNCTION("""COMPUTED_VALUE"""),"Deep learning")</f>
        <v>Deep learning</v>
      </c>
      <c r="B366" t="str">
        <f>IFERROR(__xludf.DUMMYFUNCTION("""COMPUTED_VALUE"""),"")</f>
        <v/>
      </c>
      <c r="C366" s="3" t="str">
        <f>IFERROR(__xludf.DUMMYFUNCTION("""COMPUTED_VALUE"""),"Coherent Gradients: An Approach to Understanding Generalization in Gradient Descent-based Optimization")</f>
        <v>Coherent Gradients: An Approach to Understanding Generalization in Gradient Descent-based Optimization</v>
      </c>
      <c r="D366" t="str">
        <f>IFERROR(__xludf.DUMMYFUNCTION("""COMPUTED_VALUE"""),"Satrajit Chatterjee")</f>
        <v>Satrajit Chatterjee</v>
      </c>
      <c r="E366" t="str">
        <f>IFERROR(__xludf.DUMMYFUNCTION("""COMPUTED_VALUE"""),"ICLR 2020")</f>
        <v>ICLR 2020</v>
      </c>
      <c r="F366">
        <f>IFERROR(__xludf.DUMMYFUNCTION("""COMPUTED_VALUE"""),2020.0)</f>
        <v>2020</v>
      </c>
      <c r="H366" s="3" t="str">
        <f>IFERROR(__xludf.DUMMYFUNCTION("""COMPUTED_VALUE"""),"AN #93")</f>
        <v>AN #93</v>
      </c>
      <c r="I366" t="str">
        <f>IFERROR(__xludf.DUMMYFUNCTION("""COMPUTED_VALUE"""),"Nicholas")</f>
        <v>Nicholas</v>
      </c>
      <c r="J366" t="str">
        <f>IFERROR(__xludf.DUMMYFUNCTION("""COMPUTED_VALUE"""),"Deep neural networks trained with gradient descent do well at generalizing from their training set, but the field currently has relatively little understanding of why that is. Large networks have enough parameters to fully memorize the training set and ca"&amp;"n do so even if trained on data with entirely random labels. This allows for many functions that would fit the training set well, but not generalize, a phenomenon known as overfitting. The question is how gradient descent picks out one of a small subset o"&amp;"f functions that will generalize well. 
The *Coherent Gradients* hypothesis, introduced here and tested further in [this paper](http://arxiv.org/abs/2003.07422), is that this results from per-example gradients being averaged during gradient descent. For "&amp;"each example, some of the gradient points in a direction that is idiosyncratic to that example, but some of it points towards a more general solution. When the average is taken across these gradients, the more general directions reinforce each other while"&amp;" the example-specific directions cancel out. As a result, the training process moves faster towards more general directions.
In order to test this hypothesis, they run two experiments. First they use varying amounts of label noise (corrupting a fraction "&amp;"of the dataset to have random labels). They predict and find that:
1. More label noise leads to slower learning.
2. The uncorrupted examples will be learned faster.
The next experiment tests a novel form of regularization, called winsorization, where the"&amp;"y clip the gradients on a per-example and per-parameter basis to prevent a single example from dominating the gradient, effectively curtailing the component of the gradient that is example-specific. Since the computation of per-example gradients is expens"&amp;"ive, when scaling this up to larger networks, they instead use the median of 3 mini-batches to address outliers. Theexperiments suggest that winsorization reduces overfitting and in particular prevents neural nets from learning randomly labeled data.")</f>
        <v>Deep neural networks trained with gradient descent do well at generalizing from their training set, but the field currently has relatively little understanding of why that is. Large networks have enough parameters to fully memorize the training set and can do so even if trained on data with entirely random labels. This allows for many functions that would fit the training set well, but not generalize, a phenomenon known as overfitting. The question is how gradient descent picks out one of a small subset of functions that will generalize well. 
The *Coherent Gradients* hypothesis, introduced here and tested further in [this paper](http://arxiv.org/abs/2003.07422), is that this results from per-example gradients being averaged during gradient descent. For each example, some of the gradient points in a direction that is idiosyncratic to that example, but some of it points towards a more general solution. When the average is taken across these gradients, the more general directions reinforce each other while the example-specific directions cancel out. As a result, the training process moves faster towards more general directions.
In order to test this hypothesis, they run two experiments. First they use varying amounts of label noise (corrupting a fraction of the dataset to have random labels). They predict and find that:
1. More label noise leads to slower learning.
2. The uncorrupted examples will be learned faster.
The next experiment tests a novel form of regularization, called winsorization, where they clip the gradients on a per-example and per-parameter basis to prevent a single example from dominating the gradient, effectively curtailing the component of the gradient that is example-specific. Since the computation of per-example gradients is expensive, when scaling this up to larger networks, they instead use the median of 3 mini-batches to address outliers. Theexperiments suggest that winsorization reduces overfitting and in particular prevents neural nets from learning randomly labeled data.</v>
      </c>
      <c r="K366" t="str">
        <f>IFERROR(__xludf.DUMMYFUNCTION("""COMPUTED_VALUE"""),"The hypothesis makes sense to me and the experiments do seem to bear out their conclusions. However, none of the results of the experiments were surprising to me and seem to me like they could be consistent with other explanations for generalization. I wo"&amp;"uld be more convinced if the Coherent Gradients hypothesis made predictions that were different from other leading theories and then those turned out to be true.")</f>
        <v>The hypothesis makes sense to me and the experiments do seem to bear out their conclusions. However, none of the results of the experiments were surprising to me and seem to me like they could be consistent with other explanations for generalization. I would be more convinced if the Coherent Gradients hypothesis made predictions that were different from other leading theories and then those turned out to be true.</v>
      </c>
      <c r="M366" s="3" t="str">
        <f>IFERROR(__xludf.DUMMYFUNCTION("""COMPUTED_VALUE"""),"Explaining Memorization and Generalization: A Large-Scale Study with Coherent Gradients")</f>
        <v>Explaining Memorization and Generalization: A Large-Scale Study with Coherent Gradients</v>
      </c>
    </row>
    <row r="367">
      <c r="A367" t="str">
        <f>IFERROR(__xludf.DUMMYFUNCTION("""COMPUTED_VALUE"""),"Deep learning")</f>
        <v>Deep learning</v>
      </c>
      <c r="B367" t="str">
        <f>IFERROR(__xludf.DUMMYFUNCTION("""COMPUTED_VALUE"""),"")</f>
        <v/>
      </c>
      <c r="C367" s="3" t="str">
        <f>IFERROR(__xludf.DUMMYFUNCTION("""COMPUTED_VALUE"""),"SLIDE : In Defense of Smart Algorithms over Hardware Acceleration for Large-Scale Deep Learning Systems")</f>
        <v>SLIDE : In Defense of Smart Algorithms over Hardware Acceleration for Large-Scale Deep Learning Systems</v>
      </c>
      <c r="D367" t="str">
        <f>IFERROR(__xludf.DUMMYFUNCTION("""COMPUTED_VALUE"""),"Beidi Chen, Tharun Medini, James Farwell, Sameh Gobriel, Charlie Tai, Anshumali Shrivastava")</f>
        <v>Beidi Chen, Tharun Medini, James Farwell, Sameh Gobriel, Charlie Tai, Anshumali Shrivastava</v>
      </c>
      <c r="E367" t="str">
        <f>IFERROR(__xludf.DUMMYFUNCTION("""COMPUTED_VALUE"""),"MLSys 2020")</f>
        <v>MLSys 2020</v>
      </c>
      <c r="F367">
        <f>IFERROR(__xludf.DUMMYFUNCTION("""COMPUTED_VALUE"""),2020.0)</f>
        <v>2020</v>
      </c>
      <c r="H367" s="3" t="str">
        <f>IFERROR(__xludf.DUMMYFUNCTION("""COMPUTED_VALUE"""),"AN #92")</f>
        <v>AN #92</v>
      </c>
      <c r="I367" t="str">
        <f>IFERROR(__xludf.DUMMYFUNCTION("""COMPUTED_VALUE"""),"Asya")</f>
        <v>Asya</v>
      </c>
      <c r="J367" t="str">
        <f>IFERROR(__xludf.DUMMYFUNCTION("""COMPUTED_VALUE"""),"This paper presents an algorithmic technique called SLIDE (Sub-LInear Deep learning Engine) which takes advantage of sparsity in inputs and activations to speed up the training of large neural networks.
Suppose that activations at layer k are a_k. Then, "&amp;"the ith element of a_{k+1} is given by the dot product of a_k and w_i for some weight vector w_i. Call w_i the ith neuron of layer k + 1. The largest activations in a_{k+1} are the ones for whom w_i has high magnitude and points in the same direction as a"&amp;"_k. The core proposal of SLIDE is to only compute the largest elements of a_{k+1}, which they call the “activated neurons”, and approximate all of the others are zero, allowing us to avoid a lot of computation.
In order to do this, we maintain a data str"&amp;"ucture called a _locality-sensitive hash table_, which when given an activation a_k can tell us which neurons (w_is) are most similar. We can then compute the outputs for just those neurons to get a_{k+1}. In this way, we can effectively ‘sparsify’ the ne"&amp;"twork, calculating the activations and updating the weights of only a small subset of the neurons. This is what gives us our computational gains.
SLIDE randomly initializes weights in the network and generates the locality-sensitive hash table that maps "&amp;"activations to activated neurons. To take a gradient step on an input, it calculates the activated neurons in a forward pass, then backpropagates through the activated neurons, and then updates the locality-sensitive hash table. The hash table update is c"&amp;"omputationally expensive, and SLIDE uses several mechanisms to make it less costly, such as updating hash tables less frequently later in the training process since gradients are likely to change less then. Due to the sparsity, the gradients for different"&amp;" inputs are often changing different neurons, and so SLIDE asynchronously parallelizes gradient updates without worrying about race conditions, allowing for much better scaling with additional cores.
The paper evaluates SLIDE on large multi-label classif"&amp;"ication tasks, which must run on neural networks with extremely wide final layers. It finds that the CPUs running SLIDE are 1.8 times faster in clock-time than the GPU on the Delicious 200k dataset, and 2.7 times faster than the GPU on the Amazon-670K dat"&amp;"aset, with an additional ~1.3x speed-up after performing cache optimization on SLIDE. Scalability tests suggest that the SLIDE CPUs beat GPU performance even when using only 8 cores. The paper claims that SLIDE’s computational benefits come because the nu"&amp;"mber of neurons sampled in the wide final layer is extremely small-- fewer than 0.5% of active neurons.")</f>
        <v>This paper presents an algorithmic technique called SLIDE (Sub-LInear Deep learning Engine) which takes advantage of sparsity in inputs and activations to speed up the training of large neural networks.
Suppose that activations at layer k are a_k. Then, the ith element of a_{k+1} is given by the dot product of a_k and w_i for some weight vector w_i. Call w_i the ith neuron of layer k + 1. The largest activations in a_{k+1} are the ones for whom w_i has high magnitude and points in the same direction as a_k. The core proposal of SLIDE is to only compute the largest elements of a_{k+1}, which they call the “activated neurons”, and approximate all of the others are zero, allowing us to avoid a lot of computation.
In order to do this, we maintain a data structure called a _locality-sensitive hash table_, which when given an activation a_k can tell us which neurons (w_is) are most similar. We can then compute the outputs for just those neurons to get a_{k+1}. In this way, we can effectively ‘sparsify’ the network, calculating the activations and updating the weights of only a small subset of the neurons. This is what gives us our computational gains.
SLIDE randomly initializes weights in the network and generates the locality-sensitive hash table that maps activations to activated neurons. To take a gradient step on an input, it calculates the activated neurons in a forward pass, then backpropagates through the activated neurons, and then updates the locality-sensitive hash table. The hash table update is computationally expensive, and SLIDE uses several mechanisms to make it less costly, such as updating hash tables less frequently later in the training process since gradients are likely to change less then. Due to the sparsity, the gradients for different inputs are often changing different neurons, and so SLIDE asynchronously parallelizes gradient updates without worrying about race conditions, allowing for much better scaling with additional cores.
The paper evaluates SLIDE on large multi-label classification tasks, which must run on neural networks with extremely wide final layers. It finds that the CPUs running SLIDE are 1.8 times faster in clock-time than the GPU on the Delicious 200k dataset, and 2.7 times faster than the GPU on the Amazon-670K dataset, with an additional ~1.3x speed-up after performing cache optimization on SLIDE. Scalability tests suggest that the SLIDE CPUs beat GPU performance even when using only 8 cores. The paper claims that SLIDE’s computational benefits come because the number of neurons sampled in the wide final layer is extremely small-- fewer than 0.5% of active neurons.</v>
      </c>
      <c r="K367" t="str">
        <f>IFERROR(__xludf.DUMMYFUNCTION("""COMPUTED_VALUE"""),"The tasks they test on are _extremely_ sparse: since there are hundreds of thousands of possible labels, even if you take the top ~thousand predictions in the final layer (which corresponds to most of the computation), that’s only 1% of the total number o"&amp;"f predictions, saving you 99% of the arithmetic you would have had to do. The input features are also very sparse: in both datasets, less than 0.06% (yes, percent) of features are non-zero. It’s cool that under such conditions you can design an algorithm "&amp;"that is ~an order of magnitude better on cost, but it’s not going to be “the death of NVIDIA” or anything like that — without further optimizations, SLIDE will be worse than regular Tensorflow on GPU for something like ImageNet.
I'm also not sure I agree"&amp;" with the 'thesis' of the paper that smart algorithms beat hardware acceleration-- it seems to me like there are large gains from investing in the combination of the two. Even if GPUs aren't optimized to run SLIDE, I can imagine specialized hardware optim"&amp;"ized for SLIDE creating even bigger performance gains.")</f>
        <v>The tasks they test on are _extremely_ sparse: since there are hundreds of thousands of possible labels, even if you take the top ~thousand predictions in the final layer (which corresponds to most of the computation), that’s only 1% of the total number of predictions, saving you 99% of the arithmetic you would have had to do. The input features are also very sparse: in both datasets, less than 0.06% (yes, percent) of features are non-zero. It’s cool that under such conditions you can design an algorithm that is ~an order of magnitude better on cost, but it’s not going to be “the death of NVIDIA” or anything like that — without further optimizations, SLIDE will be worse than regular Tensorflow on GPU for something like ImageNet.
I'm also not sure I agree with the 'thesis' of the paper that smart algorithms beat hardware acceleration-- it seems to me like there are large gains from investing in the combination of the two. Even if GPUs aren't optimized to run SLIDE, I can imagine specialized hardware optimized for SLIDE creating even bigger performance gains.</v>
      </c>
    </row>
    <row r="368">
      <c r="A368" t="str">
        <f>IFERROR(__xludf.DUMMYFUNCTION("""COMPUTED_VALUE"""),"Deep learning")</f>
        <v>Deep learning</v>
      </c>
      <c r="B368" t="str">
        <f>IFERROR(__xludf.DUMMYFUNCTION("""COMPUTED_VALUE"""),"")</f>
        <v/>
      </c>
      <c r="C368" s="3" t="str">
        <f>IFERROR(__xludf.DUMMYFUNCTION("""COMPUTED_VALUE"""),"A new model and dataset for long-range memory")</f>
        <v>A new model and dataset for long-range memory</v>
      </c>
      <c r="D368" t="str">
        <f>IFERROR(__xludf.DUMMYFUNCTION("""COMPUTED_VALUE"""),"Jack W. Rae, Anna Potapenko, Siddhant M. Jayakumar, Timothy P. Lillicrap")</f>
        <v>Jack W. Rae, Anna Potapenko, Siddhant M. Jayakumar, Timothy P. Lillicrap</v>
      </c>
      <c r="E368" t="str">
        <f>IFERROR(__xludf.DUMMYFUNCTION("""COMPUTED_VALUE"""),"DeepMind Blog")</f>
        <v>DeepMind Blog</v>
      </c>
      <c r="F368">
        <f>IFERROR(__xludf.DUMMYFUNCTION("""COMPUTED_VALUE"""),2020.0)</f>
        <v>2020</v>
      </c>
      <c r="H368" s="3" t="str">
        <f>IFERROR(__xludf.DUMMYFUNCTION("""COMPUTED_VALUE"""),"AN #91")</f>
        <v>AN #91</v>
      </c>
      <c r="I368" t="str">
        <f>IFERROR(__xludf.DUMMYFUNCTION("""COMPUTED_VALUE"""),"Nicholas")</f>
        <v>Nicholas</v>
      </c>
      <c r="J368" t="str">
        <f>IFERROR(__xludf.DUMMYFUNCTION("""COMPUTED_VALUE"""),"A central challenge in language modeling is capturing long-range dependencies. For example, a model needs to be able to identify the antecedent of a pronoun even if it is much earlier in the text. Existing datasets consist of news and Wikipedia articles, "&amp;"where articles have average lengths ranging from 27 to 3,600 words. This paper introduces a dataset of Project Gutenberg books, PG-19, where each book has a much longer average length of 69,000 words. This benchmark enables comparison of how well algorith"&amp;"ms can make use of information that is spread out across a much larger context.
They then introduce the *Compressive Transformer*, which builds on the &lt;@*TransformerXL*@&gt;(@Transformer-XL: Unleashing the Potential of Attention Models@). The *TransformerXL"&amp;"* saves old activations into a FIFO queue, discarding them when the queue is full. The *Compressive Transformer* instead has two FIFO queues: the first stores the activations just like *TransformerXL*, but when activations are ejected, they are compressed"&amp;" and added to the second queue. This functions as a sort of long-term memory, storing information from a longer period of time but in a compressed format. 
They try a number of types of compression function and find that it is best to use a 1D convolutio"&amp;"nal compression function with an auxiliary loss that leads to lossy compression, where information that is not attended to can be removed. The compression network and the Transformer optimize independent losses without any mixing. 
They find that the *Co"&amp;"mpressive Transformer* improves on *TransformerXL* on their new PG-19 dataset and is state of the art on the already existing WikiText-103 and Enwik8 benchmarks. They also inspect where the network attends to and find that more attention is paid to the co"&amp;"mpressed memory than the oldest activations in regular memory, showing that the network is preserving some valuable information.")</f>
        <v>A central challenge in language modeling is capturing long-range dependencies. For example, a model needs to be able to identify the antecedent of a pronoun even if it is much earlier in the text. Existing datasets consist of news and Wikipedia articles, where articles have average lengths ranging from 27 to 3,600 words. This paper introduces a dataset of Project Gutenberg books, PG-19, where each book has a much longer average length of 69,000 words. This benchmark enables comparison of how well algorithms can make use of information that is spread out across a much larger context.
They then introduce the *Compressive Transformer*, which builds on the &lt;@*TransformerXL*@&gt;(@Transformer-XL: Unleashing the Potential of Attention Models@). The *TransformerXL* saves old activations into a FIFO queue, discarding them when the queue is full. The *Compressive Transformer* instead has two FIFO queues: the first stores the activations just like *TransformerXL*, but when activations are ejected, they are compressed and added to the second queue. This functions as a sort of long-term memory, storing information from a longer period of time but in a compressed format. 
They try a number of types of compression function and find that it is best to use a 1D convolutional compression function with an auxiliary loss that leads to lossy compression, where information that is not attended to can be removed. The compression network and the Transformer optimize independent losses without any mixing. 
They find that the *Compressive Transformer* improves on *TransformerXL* on their new PG-19 dataset and is state of the art on the already existing WikiText-103 and Enwik8 benchmarks. They also inspect where the network attends to and find that more attention is paid to the compressed memory than the oldest activations in regular memory, showing that the network is preserving some valuable information.</v>
      </c>
      <c r="K368" t="str">
        <f>IFERROR(__xludf.DUMMYFUNCTION("""COMPUTED_VALUE"""),"I like the idea of saving long-term memory in a more efficient but lower-dimensional format than short-term memory. The current &lt;@trend@&gt;(@Scaling Laws for Neural Language Models@) in language modelling is that more computation leads to better results, so"&amp;" I think that algorithms that target computation on the most relevant information are promising. I’d be interested to see (and curious if the authors tried) more continuous variants of this where older information is compressed at a higher rate than newer"&amp;" information, since it seems rather arbitrary to split into two FIFO queues where one has a fixed compression rate. 
I’m not well calibrated on the meaning of the evaluation metrics for NLP, so I don’t have a sense of how much of an improvement this is o"&amp;"ver the *TransformerXL*. I looked through some of the example text they gave in the blog post and thought it was impressive but has clear room for improvement.")</f>
        <v>I like the idea of saving long-term memory in a more efficient but lower-dimensional format than short-term memory. The current &lt;@trend@&gt;(@Scaling Laws for Neural Language Models@) in language modelling is that more computation leads to better results, so I think that algorithms that target computation on the most relevant information are promising. I’d be interested to see (and curious if the authors tried) more continuous variants of this where older information is compressed at a higher rate than newer information, since it seems rather arbitrary to split into two FIFO queues where one has a fixed compression rate. 
I’m not well calibrated on the meaning of the evaluation metrics for NLP, so I don’t have a sense of how much of an improvement this is over the *TransformerXL*. I looked through some of the example text they gave in the blog post and thought it was impressive but has clear room for improvement.</v>
      </c>
      <c r="M368" s="3" t="str">
        <f>IFERROR(__xludf.DUMMYFUNCTION("""COMPUTED_VALUE"""),"Paper: Compressive Transformers for Long-Range Sequence Modelling")</f>
        <v>Paper: Compressive Transformers for Long-Range Sequence Modelling</v>
      </c>
    </row>
    <row r="369">
      <c r="A369" t="str">
        <f>IFERROR(__xludf.DUMMYFUNCTION("""COMPUTED_VALUE"""),"Deep learning")</f>
        <v>Deep learning</v>
      </c>
      <c r="B369" t="str">
        <f>IFERROR(__xludf.DUMMYFUNCTION("""COMPUTED_VALUE"""),"")</f>
        <v/>
      </c>
      <c r="C369" s="3" t="str">
        <f>IFERROR(__xludf.DUMMYFUNCTION("""COMPUTED_VALUE"""),"The Quiet Semi-Supervised Revolution")</f>
        <v>The Quiet Semi-Supervised Revolution</v>
      </c>
      <c r="D369" t="str">
        <f>IFERROR(__xludf.DUMMYFUNCTION("""COMPUTED_VALUE"""),"Vincent Vanhoucke")</f>
        <v>Vincent Vanhoucke</v>
      </c>
      <c r="E369" t="str">
        <f>IFERROR(__xludf.DUMMYFUNCTION("""COMPUTED_VALUE"""),"Towards Data Science")</f>
        <v>Towards Data Science</v>
      </c>
      <c r="F369">
        <f>IFERROR(__xludf.DUMMYFUNCTION("""COMPUTED_VALUE"""),2019.0)</f>
        <v>2019</v>
      </c>
      <c r="H369" s="3" t="str">
        <f>IFERROR(__xludf.DUMMYFUNCTION("""COMPUTED_VALUE"""),"AN #78")</f>
        <v>AN #78</v>
      </c>
      <c r="I369" t="str">
        <f>IFERROR(__xludf.DUMMYFUNCTION("""COMPUTED_VALUE"""),"Flo")</f>
        <v>Flo</v>
      </c>
      <c r="J369" t="str">
        <f>IFERROR(__xludf.DUMMYFUNCTION("""COMPUTED_VALUE"""),"Historically, semi-supervised learning that uses small amounts of labelled data combined with a lot of unlabeled data only helped when there was very little labelled data available. In this regime, both supervised and semi-supervised learning were too ina"&amp;"ccurate to be useful. Furthermore, approaches like using a representation learnt by an autoencoder for classification empirically limited asymptotic performance. This is strange because using more data should not lead to worse performance.
Recent trends "&amp;"suggest that this might change soon: semi-supervised systems have begun to outperform supervised systems by larger and larger margins in the low data regime and their advantage now extends into regimes with more and more data. An important driver of this "&amp;"trend is the idea of using data augmentation for more consistent self-labelling.
Better semi-supervised learning might for example be useful for  federated learning which attempts to respect privacy by learning locally on (labelled) user data and sending"&amp;" the models trained by different users to be combined in a central server. One problem with this approach is that the central model might memorize some of the private models' idiosyncracies such that inference about the private labels is possible. Semi-su"&amp;"pervised learning makes this harder by reducing the amount of influence private data has on the aggregate model.")</f>
        <v>Historically, semi-supervised learning that uses small amounts of labelled data combined with a lot of unlabeled data only helped when there was very little labelled data available. In this regime, both supervised and semi-supervised learning were too inaccurate to be useful. Furthermore, approaches like using a representation learnt by an autoencoder for classification empirically limited asymptotic performance. This is strange because using more data should not lead to worse performance.
Recent trends suggest that this might change soon: semi-supervised systems have begun to outperform supervised systems by larger and larger margins in the low data regime and their advantage now extends into regimes with more and more data. An important driver of this trend is the idea of using data augmentation for more consistent self-labelling.
Better semi-supervised learning might for example be useful for  federated learning which attempts to respect privacy by learning locally on (labelled) user data and sending the models trained by different users to be combined in a central server. One problem with this approach is that the central model might memorize some of the private models' idiosyncracies such that inference about the private labels is possible. Semi-supervised learning makes this harder by reducing the amount of influence private data has on the aggregate model.</v>
      </c>
      <c r="K369" t="str">
        <f>IFERROR(__xludf.DUMMYFUNCTION("""COMPUTED_VALUE"""),"Because the way humans classify things are strongly influenced by our priors about how classes ""should"" behave, learning with limited data most likely requires some information about these priors. Semi-supervised learning that respects that data augment"&amp;"ation does not change the correct classification might be an efficient and scalable way to force some of these priors onto a model. Thus it seems likely that more diverse and sophisticated data augmentation could lead to further improvements in the near t"&amp;"erm. On the other hand, it seems like a lot of our priors would be very hard to capture only using automatic data augmentation, such that other methods to transfer our priors are still important.")</f>
        <v>Because the way humans classify things are strongly influenced by our priors about how classes "should" behave, learning with limited data most likely requires some information about these priors. Semi-supervised learning that respects that data augmentation does not change the correct classification might be an efficient and scalable way to force some of these priors onto a model. Thus it seems likely that more diverse and sophisticated data augmentation could lead to further improvements in the near term. On the other hand, it seems like a lot of our priors would be very hard to capture only using automatic data augmentation, such that other methods to transfer our priors are still important.</v>
      </c>
    </row>
    <row r="370">
      <c r="A370" t="str">
        <f>IFERROR(__xludf.DUMMYFUNCTION("""COMPUTED_VALUE"""),"Deep learning")</f>
        <v>Deep learning</v>
      </c>
      <c r="B370" t="str">
        <f>IFERROR(__xludf.DUMMYFUNCTION("""COMPUTED_VALUE"""),"")</f>
        <v/>
      </c>
      <c r="C370" s="3" t="str">
        <f>IFERROR(__xludf.DUMMYFUNCTION("""COMPUTED_VALUE"""),"More Data Can Hurt for Linear Regression: Sample-wise Double Descent")</f>
        <v>More Data Can Hurt for Linear Regression: Sample-wise Double Descent</v>
      </c>
      <c r="D370" t="str">
        <f>IFERROR(__xludf.DUMMYFUNCTION("""COMPUTED_VALUE"""),"Preetum Nakkiran")</f>
        <v>Preetum Nakkiran</v>
      </c>
      <c r="E370" t="str">
        <f>IFERROR(__xludf.DUMMYFUNCTION("""COMPUTED_VALUE"""),"arXiv")</f>
        <v>arXiv</v>
      </c>
      <c r="F370">
        <f>IFERROR(__xludf.DUMMYFUNCTION("""COMPUTED_VALUE"""),2019.0)</f>
        <v>2019</v>
      </c>
      <c r="H370" s="3" t="str">
        <f>IFERROR(__xludf.DUMMYFUNCTION("""COMPUTED_VALUE"""),"AN #77")</f>
        <v>AN #77</v>
      </c>
      <c r="I370" t="str">
        <f>IFERROR(__xludf.DUMMYFUNCTION("""COMPUTED_VALUE"""),"Rohin")</f>
        <v>Rohin</v>
      </c>
      <c r="J370" t="str">
        <f>IFERROR(__xludf.DUMMYFUNCTION("""COMPUTED_VALUE"""),"This paper demonstrates the presence of double descent (in the size of the dataset) for _unregularized linear regression_. In particular, we assume that each data point x is a vector in independent samples from Normal(0, σ^2), and the output is y = βx + ε"&amp;". Given a dataset of (x, y) pairs, we would like to estimate the unknown β, under the mean squared error loss, with no regularization.
In this setting, when the dimensionality d of the space (and thus number of parameters in β) is equal to the number of "&amp;"training points n, the training data points are linearly independent almost always / with probability 1, and so there will be exactly one β that solves the n linearly independent equalities of the form βx = y. However, such a β must also be fitting the no"&amp;"ise variables ε, which means that it could be drastically overfitted, with very high norm. For example, imagine β = [1, 1], so that y = x1 + x2 + ε, and in our dataset x = (-1, 3) is mapped to y = 3 (i.e. an ε of +1), and x = (0, 1) is mapped to y = 0 (i."&amp;"e. an ε of -1). Gradient descent will estimate that β = [-3, 0], which is going to generalize very poorly.
As we decrease the number of training points n, so that d &gt; n, there are infinitely many settings of the d parameters of β that satisfy the n linea"&amp;"rly independent equalities, and gradient descent naturally chooses the one with minimum norm (even without regularization). This limits how bad the test error can be. Similarly, as we increase the number of training points, so that d &lt; n, there are too ma"&amp;"ny constraints for β to satisfy, and so it ends up primarily modeling the signal rather than the noise, and so generalizing well.")</f>
        <v>This paper demonstrates the presence of double descent (in the size of the dataset) for _unregularized linear regression_. In particular, we assume that each data point x is a vector in independent samples from Normal(0, σ^2), and the output is y = βx + ε. Given a dataset of (x, y) pairs, we would like to estimate the unknown β, under the mean squared error loss, with no regularization.
In this setting, when the dimensionality d of the space (and thus number of parameters in β) is equal to the number of training points n, the training data points are linearly independent almost always / with probability 1, and so there will be exactly one β that solves the n linearly independent equalities of the form βx = y. However, such a β must also be fitting the noise variables ε, which means that it could be drastically overfitted, with very high norm. For example, imagine β = [1, 1], so that y = x1 + x2 + ε, and in our dataset x = (-1, 3) is mapped to y = 3 (i.e. an ε of +1), and x = (0, 1) is mapped to y = 0 (i.e. an ε of -1). Gradient descent will estimate that β = [-3, 0], which is going to generalize very poorly.
As we decrease the number of training points n, so that d &gt; n, there are infinitely many settings of the d parameters of β that satisfy the n linearly independent equalities, and gradient descent naturally chooses the one with minimum norm (even without regularization). This limits how bad the test error can be. Similarly, as we increase the number of training points, so that d &lt; n, there are too many constraints for β to satisfy, and so it ends up primarily modeling the signal rather than the noise, and so generalizing well.</v>
      </c>
      <c r="K370" t="str">
        <f>IFERROR(__xludf.DUMMYFUNCTION("""COMPUTED_VALUE"""),"Basically what's happening here is that at the interpolation threshold, the model is forced to memorize noise, and it has only one way of doing so, which need not generalize well. However, past the interpolation threshold, when the model is overparameteri"&amp;"zed, there are _many_ models that successfully memorize noise, and gradient descent ""correctly"" chooses one with minimum norm. This fits into the broader story being told in other papers that what's happening is that the data has noise and/or misspecifi"&amp;"cation, and at the interpolation threshold it fits the noise in a way that doesn't generalize, and after the interpolation threshold it fits the noise in a way that does generalize. Here that's happening because gradient descent chooses the minimum norm e"&amp;"stimator that fits the noise; perhaps something similar is happening with neural nets.
This explanation seems like it could explain double descent on model size and double descent on dataset size, but I don't see how it would explain double descent on tr"&amp;"aining time. This would imply that gradient descent on neural nets first has to memorize noise in one particular way, and then further training ""fixes"" the weights to memorize noise in a different way that generalizes better. While I can't rule it out, "&amp;"this seems rather implausible to me. (Note that regularization is _not_ such an explanation, because regularization applies throughout training, and doesn't ""come into effect"" after the interpolation threshold.)")</f>
        <v>Basically what's happening here is that at the interpolation threshold, the model is forced to memorize noise, and it has only one way of doing so, which need not generalize well. However, past the interpolation threshold, when the model is overparameterized, there are _many_ models that successfully memorize noise, and gradient descent "correctly" chooses one with minimum norm. This fits into the broader story being told in other papers that what's happening is that the data has noise and/or misspecification, and at the interpolation threshold it fits the noise in a way that doesn't generalize, and after the interpolation threshold it fits the noise in a way that does generalize. Here that's happening because gradient descent chooses the minimum norm estimator that fits the noise; perhaps something similar is happening with neural nets.
This explanation seems like it could explain double descent on model size and double descent on dataset size, but I don't see how it would explain double descent on training time. This would imply that gradient descent on neural nets first has to memorize noise in one particular way, and then further training "fixes" the weights to memorize noise in a different way that generalizes better. While I can't rule it out, this seems rather implausible to me. (Note that regularization is _not_ such an explanation, because regularization applies throughout training, and doesn't "come into effect" after the interpolation threshold.)</v>
      </c>
    </row>
    <row r="371">
      <c r="A371" t="str">
        <f>IFERROR(__xludf.DUMMYFUNCTION("""COMPUTED_VALUE"""),"Deep learning")</f>
        <v>Deep learning</v>
      </c>
      <c r="B371" t="str">
        <f>IFERROR(__xludf.DUMMYFUNCTION("""COMPUTED_VALUE"""),"")</f>
        <v/>
      </c>
      <c r="C371" s="3" t="str">
        <f>IFERROR(__xludf.DUMMYFUNCTION("""COMPUTED_VALUE"""),"Uniform convergence may be unable to explain generalization in deep learning")</f>
        <v>Uniform convergence may be unable to explain generalization in deep learning</v>
      </c>
      <c r="D371" t="str">
        <f>IFERROR(__xludf.DUMMYFUNCTION("""COMPUTED_VALUE"""),"Vaishnavh Nagarajan")</f>
        <v>Vaishnavh Nagarajan</v>
      </c>
      <c r="E371" t="str">
        <f>IFERROR(__xludf.DUMMYFUNCTION("""COMPUTED_VALUE"""),"NeurIPS 2019")</f>
        <v>NeurIPS 2019</v>
      </c>
      <c r="F371">
        <f>IFERROR(__xludf.DUMMYFUNCTION("""COMPUTED_VALUE"""),2019.0)</f>
        <v>2019</v>
      </c>
      <c r="H371" s="3" t="str">
        <f>IFERROR(__xludf.DUMMYFUNCTION("""COMPUTED_VALUE"""),"AN #77")</f>
        <v>AN #77</v>
      </c>
      <c r="I371" t="str">
        <f>IFERROR(__xludf.DUMMYFUNCTION("""COMPUTED_VALUE"""),"Rohin")</f>
        <v>Rohin</v>
      </c>
      <c r="J371" t="str">
        <f>IFERROR(__xludf.DUMMYFUNCTION("""COMPUTED_VALUE"""),"This post argues that existing generalization bounds cannot explain the empirical success of neural networks at generalizing to the test set.
""What?"", you say if you're like me, ""didn't we already know this? Generalization bounds depend on your hypoth"&amp;"esis space being sufficiently small, but [neural nets can represent any reasonable function](https://en.wikipedia.org/wiki/Universal_approximation_theorem)? And even if you avoid that by considering the size of the neural net, we know that empirically [ne"&amp;"ural nets can learn randomly labeled data](https://arxiv.org/abs/1611.03530), which can never generalize; surely this means that you can't explain generalization without reference to some property of the dataset, which generalization bounds typically don'"&amp;"t do?""
It turns out that the strategy has been to prove generalization bounds that depend on the _norm of the weights of the trained model_ (for some norm that depends on the specific bound), which gets around both these objections, since the resulting "&amp;"bounds are independent of the number of parameters, and depend on the trained model (which itself depends on the dataset). However, when these bounds are evaluated on a simple sphere-separation task, they _increase_ with the size of the training dataset, "&amp;"because the norms of the trained models increase.
Okay, but can we have a stronger argument than mere empirical results? Well, all of these bounds depend on a _uniform convergence bound_: a number that bounds the absolute difference between the train and"&amp;" test error for _any_ model in your hypothesis space. (I assume the recent generalization bounds only consider the hypothesis space ""neural nets with norms at most K"", or some suitable overapproximation of that, and this is how they get a not-obviously-"&amp;"vacuous generalization bound that depends on weight norms. However, I haven't actually read those papers.)
However, no matter what hypothesis space these bounds choose, to get a valid generalization bound the hypothesis space must contain (nearly) all of"&amp;" the models that would occur by training the neural net on a dataset sampled from the underlying distribution. What if we had the actual smallest such hypothesis space, which only contained the models that resulted from an actual training run? The authors"&amp;" show that, at least on the sphere-separation task, the uniform convergence bound is still extremely weak. Let's suppose we have a training dataset S. Our goal is now to find a model in the hypothesis space which has a high absolute difference between act"&amp;"ual test error, and error in classifying S. (Recall that uniform convergence requires you to bound the absolute difference for _all_ models in your hypothesis class, not just the one trained on S.) The authors do so by creating an ""adversarial"" training"&amp;" dataset S' that also could have been sampled from the underlying distribution, and training a model on S'. This model empirically gets S almost completely wrong. Thus, this model has low test error, but high error in classifying S, which forces the unifo"&amp;"rm convergence bound to be very high.")</f>
        <v>This post argues that existing generalization bounds cannot explain the empirical success of neural networks at generalizing to the test set.
"What?", you say if you're like me, "didn't we already know this? Generalization bounds depend on your hypothesis space being sufficiently small, but [neural nets can represent any reasonable function](https://en.wikipedia.org/wiki/Universal_approximation_theorem)? And even if you avoid that by considering the size of the neural net, we know that empirically [neural nets can learn randomly labeled data](https://arxiv.org/abs/1611.03530), which can never generalize; surely this means that you can't explain generalization without reference to some property of the dataset, which generalization bounds typically don't do?"
It turns out that the strategy has been to prove generalization bounds that depend on the _norm of the weights of the trained model_ (for some norm that depends on the specific bound), which gets around both these objections, since the resulting bounds are independent of the number of parameters, and depend on the trained model (which itself depends on the dataset). However, when these bounds are evaluated on a simple sphere-separation task, they _increase_ with the size of the training dataset, because the norms of the trained models increase.
Okay, but can we have a stronger argument than mere empirical results? Well, all of these bounds depend on a _uniform convergence bound_: a number that bounds the absolute difference between the train and test error for _any_ model in your hypothesis space. (I assume the recent generalization bounds only consider the hypothesis space "neural nets with norms at most K", or some suitable overapproximation of that, and this is how they get a not-obviously-vacuous generalization bound that depends on weight norms. However, I haven't actually read those papers.)
However, no matter what hypothesis space these bounds choose, to get a valid generalization bound the hypothesis space must contain (nearly) all of the models that would occur by training the neural net on a dataset sampled from the underlying distribution. What if we had the actual smallest such hypothesis space, which only contained the models that resulted from an actual training run? The authors show that, at least on the sphere-separation task, the uniform convergence bound is still extremely weak. Let's suppose we have a training dataset S. Our goal is now to find a model in the hypothesis space which has a high absolute difference between actual test error, and error in classifying S. (Recall that uniform convergence requires you to bound the absolute difference for _all_ models in your hypothesis class, not just the one trained on S.) The authors do so by creating an "adversarial" training dataset S' that also could have been sampled from the underlying distribution, and training a model on S'. This model empirically gets S almost completely wrong. Thus, this model has low test error, but high error in classifying S, which forces the uniform convergence bound to be very high.</v>
      </c>
      <c r="K371" t="str">
        <f>IFERROR(__xludf.DUMMYFUNCTION("""COMPUTED_VALUE"""),"I enjoyed this blog post a lot (though it took some time to digest it, since I know very little about generalization bounds). It constrains the ways in which we can try to explain the empirical generalization of neural networks, which I for one would love"&amp;" to understand. Hopefully future work will explore new avenues for understanding generalization, and hit upon a more fruitful line of inquiry.")</f>
        <v>I enjoyed this blog post a lot (though it took some time to digest it, since I know very little about generalization bounds). It constrains the ways in which we can try to explain the empirical generalization of neural networks, which I for one would love to understand. Hopefully future work will explore new avenues for understanding generalization, and hit upon a more fruitful line of inquiry.</v>
      </c>
      <c r="M371" s="3" t="str">
        <f>IFERROR(__xludf.DUMMYFUNCTION("""COMPUTED_VALUE"""),"Paper")</f>
        <v>Paper</v>
      </c>
    </row>
    <row r="372">
      <c r="A372" t="str">
        <f>IFERROR(__xludf.DUMMYFUNCTION("""COMPUTED_VALUE"""),"Deep learning")</f>
        <v>Deep learning</v>
      </c>
      <c r="B372" t="str">
        <f>IFERROR(__xludf.DUMMYFUNCTION("""COMPUTED_VALUE"""),"")</f>
        <v/>
      </c>
      <c r="C372" s="3" t="str">
        <f>IFERROR(__xludf.DUMMYFUNCTION("""COMPUTED_VALUE"""),"Understanding the generalization of ‘lottery tickets’ in neural networks")</f>
        <v>Understanding the generalization of ‘lottery tickets’ in neural networks</v>
      </c>
      <c r="D372" t="str">
        <f>IFERROR(__xludf.DUMMYFUNCTION("""COMPUTED_VALUE"""),"Ari Morcos, Yuandong Tian")</f>
        <v>Ari Morcos, Yuandong Tian</v>
      </c>
      <c r="E372" t="str">
        <f>IFERROR(__xludf.DUMMYFUNCTION("""COMPUTED_VALUE"""),"FAIR Blog")</f>
        <v>FAIR Blog</v>
      </c>
      <c r="F372">
        <f>IFERROR(__xludf.DUMMYFUNCTION("""COMPUTED_VALUE"""),2019.0)</f>
        <v>2019</v>
      </c>
      <c r="H372" s="3" t="str">
        <f>IFERROR(__xludf.DUMMYFUNCTION("""COMPUTED_VALUE"""),"AN #77")</f>
        <v>AN #77</v>
      </c>
      <c r="I372" t="str">
        <f>IFERROR(__xludf.DUMMYFUNCTION("""COMPUTED_VALUE"""),"Flo")</f>
        <v>Flo</v>
      </c>
      <c r="J372" t="str">
        <f>IFERROR(__xludf.DUMMYFUNCTION("""COMPUTED_VALUE"""),"The &lt;@lottery ticket hypothesis@&gt;(@The Lottery Ticket Hypothesis at Scale@) states that a randomly initialized dense or convolutional neural network contains (sparse) subnetworks, called ""winning tickets"", which can be trained to achieve performance sim"&amp;"ilar to the trained base network while requiring a lot less compute. 
The blogpost summarizes facebook AI's recent investigations of the generalization of winning tickets and the generality of the hypothesis. Because winning tickets are hard to find, we "&amp;"would like to reuse the ones we have found for similar tasks. To test whether this works, the authors trained classifiers, pruned and reset them to obtain winning tickets on different image datasets and then trained these on other datasets. Winning ticket"&amp;"s derived from similar datasets relevantly outperform random subnetworks after training and ones derived from larger or more complex datasets generalize better. For example, tickets from ImageNet are consistently among the best and tickets from CIFAR-100 "&amp;"generalize better than those from CIFAR-10.
Experiments in natural language processing and reinforcement learning suggest that the lottery ticket hypothesis is not just a peculiarity of image classification: for example, the performance of a large transf"&amp;"ormer model could be recovered from a winning ticket with just a third of the original weights, whereas random tickets with that amount of weights performed quite a bit worse. The analysis of simple shallow neural networks in a student-teacher setting is "&amp;"used as a toy model: when a larger student network is trained to mimic a smaller teacher with the same amount of layers, **student specialization** happens: some of the student's neurons learn to imitate single neurons of the teacher. This can be seen to "&amp;"happen more often and faster if the student neuron is already close to the teacher neuron at initialization. If the student network is large enough, every teacher neuron will be imitated by some student neuron and these student neurons collectively form a"&amp;" winning ticket. ")</f>
        <v>The &lt;@lottery ticket hypothesis@&gt;(@The Lottery Ticket Hypothesis at Scale@) states that a randomly initialized dense or convolutional neural network contains (sparse) subnetworks, called "winning tickets", which can be trained to achieve performance similar to the trained base network while requiring a lot less compute. 
The blogpost summarizes facebook AI's recent investigations of the generalization of winning tickets and the generality of the hypothesis. Because winning tickets are hard to find, we would like to reuse the ones we have found for similar tasks. To test whether this works, the authors trained classifiers, pruned and reset them to obtain winning tickets on different image datasets and then trained these on other datasets. Winning tickets derived from similar datasets relevantly outperform random subnetworks after training and ones derived from larger or more complex datasets generalize better. For example, tickets from ImageNet are consistently among the best and tickets from CIFAR-100 generalize better than those from CIFAR-10.
Experiments in natural language processing and reinforcement learning suggest that the lottery ticket hypothesis is not just a peculiarity of image classification: for example, the performance of a large transformer model could be recovered from a winning ticket with just a third of the original weights, whereas random tickets with that amount of weights performed quite a bit worse. The analysis of simple shallow neural networks in a student-teacher setting is used as a toy model: when a larger student network is trained to mimic a smaller teacher with the same amount of layers, **student specialization** happens: some of the student's neurons learn to imitate single neurons of the teacher. This can be seen to happen more often and faster if the student neuron is already close to the teacher neuron at initialization. If the student network is large enough, every teacher neuron will be imitated by some student neuron and these student neurons collectively form a winning ticket. </v>
      </c>
      <c r="K372" t="str">
        <f>IFERROR(__xludf.DUMMYFUNCTION("""COMPUTED_VALUE"""),"I enjoyed reading this blogpost and like the idea of using winning tickets for transfer learning. I would have been quite surprised if they had found that the lottery ticket hypothesis was specific to image classification, as similar to pretraining, winni"&amp;"ng tickets seem to provide an inductive bias constraining the set of features that can be learnt during training to more useful ones. I do not think that further research into that direction will directly help with quickly training models for novel tasks "&amp;"unless the tickets can be identified very efficiently which seems like a harder optimization problem than just training a network by gradient descent.")</f>
        <v>I enjoyed reading this blogpost and like the idea of using winning tickets for transfer learning. I would have been quite surprised if they had found that the lottery ticket hypothesis was specific to image classification, as similar to pretraining, winning tickets seem to provide an inductive bias constraining the set of features that can be learnt during training to more useful ones. I do not think that further research into that direction will directly help with quickly training models for novel tasks unless the tickets can be identified very efficiently which seems like a harder optimization problem than just training a network by gradient descent.</v>
      </c>
    </row>
    <row r="373">
      <c r="A373" t="str">
        <f>IFERROR(__xludf.DUMMYFUNCTION("""COMPUTED_VALUE"""),"Deep learning")</f>
        <v>Deep learning</v>
      </c>
      <c r="B373" t="str">
        <f>IFERROR(__xludf.DUMMYFUNCTION("""COMPUTED_VALUE"""),"")</f>
        <v/>
      </c>
      <c r="C373" s="3" t="str">
        <f>IFERROR(__xludf.DUMMYFUNCTION("""COMPUTED_VALUE"""),"SATNet: Bridging deep learning and logical reasoning using a differentiable satisfiability solver")</f>
        <v>SATNet: Bridging deep learning and logical reasoning using a differentiable satisfiability solver</v>
      </c>
      <c r="D373" t="str">
        <f>IFERROR(__xludf.DUMMYFUNCTION("""COMPUTED_VALUE"""),"Po-Wei Wang, Priya L. Donti, Bryan Wilder, Zico Kolter")</f>
        <v>Po-Wei Wang, Priya L. Donti, Bryan Wilder, Zico Kolter</v>
      </c>
      <c r="E373" t="str">
        <f>IFERROR(__xludf.DUMMYFUNCTION("""COMPUTED_VALUE"""),"arXiv")</f>
        <v>arXiv</v>
      </c>
      <c r="F373">
        <f>IFERROR(__xludf.DUMMYFUNCTION("""COMPUTED_VALUE"""),2019.0)</f>
        <v>2019</v>
      </c>
      <c r="H373" s="3" t="str">
        <f>IFERROR(__xludf.DUMMYFUNCTION("""COMPUTED_VALUE"""),"AN #75")</f>
        <v>AN #75</v>
      </c>
      <c r="I373" t="str">
        <f>IFERROR(__xludf.DUMMYFUNCTION("""COMPUTED_VALUE"""),"Asya")</f>
        <v>Asya</v>
      </c>
      <c r="J373" t="str">
        <f>IFERROR(__xludf.DUMMYFUNCTION("""COMPUTED_VALUE"""),"Historically, deep learning architectures have struggled with problems that involve logical reasoning, since they often impose non-local constraints that gradient descent has a hard time learning. This paper presents a new technique, SATNet, which allows "&amp;"neural nets to solve logical reasoning problems by encoding them explicitly as MAXSAT-solving neural network layers. A MAXSAT problem provides a large set of logical constraints on an exponentially large set of options, and the goal is to find the option "&amp;"that satisfies as many logical constraints as possible. Since MaxSAT is NP-complete, the authors design a layer that solves a relaxation of the MaxSAT problem in its forward pass (that can be solved quickly, unlike MaxSAT), while the backward pass compute"&amp;"s gradients as usual.
In experiment, SATNet is given bit representations of 9,000 9 x 9 Sudoku boards which it uses to learn the logical constraints of Sudoku, then presented with 1,000 test boards to solve. SATNet vastly outperforms traditional convolut"&amp;"ional neural networks given the same training / test setup, achieving 98.3% test accuracy where the convolutional net achieves 0%. It performs similarly well on a ""Visual"" Sudoku problem where the trained network consists of initial layers that perform "&amp;"digit recognition followed by SATNet layers, achieving 63.2% accuracy where the convolutional net achieves 0.1%.")</f>
        <v>Historically, deep learning architectures have struggled with problems that involve logical reasoning, since they often impose non-local constraints that gradient descent has a hard time learning. This paper presents a new technique, SATNet, which allows neural nets to solve logical reasoning problems by encoding them explicitly as MAXSAT-solving neural network layers. A MAXSAT problem provides a large set of logical constraints on an exponentially large set of options, and the goal is to find the option that satisfies as many logical constraints as possible. Since MaxSAT is NP-complete, the authors design a layer that solves a relaxation of the MaxSAT problem in its forward pass (that can be solved quickly, unlike MaxSAT), while the backward pass computes gradients as usual.
In experiment, SATNet is given bit representations of 9,000 9 x 9 Sudoku boards which it uses to learn the logical constraints of Sudoku, then presented with 1,000 test boards to solve. SATNet vastly outperforms traditional convolutional neural networks given the same training / test setup, achieving 98.3% test accuracy where the convolutional net achieves 0%. It performs similarly well on a "Visual" Sudoku problem where the trained network consists of initial layers that perform digit recognition followed by SATNet layers, achieving 63.2% accuracy where the convolutional net achieves 0.1%.</v>
      </c>
      <c r="K373" t="str">
        <f>IFERROR(__xludf.DUMMYFUNCTION("""COMPUTED_VALUE"""),"My impression is this is a big step forward in being able to embed logical reasoning in current deep learning techniques. From an engineering perspective, it seems extremely useful to be able to train systems that encorporate these layers end-to-end. It's"&amp;" worth being clear that in systems like these, a lot of generality is lost since part of the network is explicitly carved out for solving a particular problem of logical constraints-- it would be hard to use the same network to learn a different problem.")</f>
        <v>My impression is this is a big step forward in being able to embed logical reasoning in current deep learning techniques. From an engineering perspective, it seems extremely useful to be able to train systems that encorporate these layers end-to-end. It's worth being clear that in systems like these, a lot of generality is lost since part of the network is explicitly carved out for solving a particular problem of logical constraints-- it would be hard to use the same network to learn a different problem.</v>
      </c>
    </row>
    <row r="374">
      <c r="A374" t="str">
        <f>IFERROR(__xludf.DUMMYFUNCTION("""COMPUTED_VALUE"""),"Deep learning")</f>
        <v>Deep learning</v>
      </c>
      <c r="B374" t="str">
        <f>IFERROR(__xludf.DUMMYFUNCTION("""COMPUTED_VALUE"""),"")</f>
        <v/>
      </c>
      <c r="C374" s="3" t="str">
        <f>IFERROR(__xludf.DUMMYFUNCTION("""COMPUTED_VALUE"""),"the transformer … “explained”?")</f>
        <v>the transformer … “explained”?</v>
      </c>
      <c r="D374" t="str">
        <f>IFERROR(__xludf.DUMMYFUNCTION("""COMPUTED_VALUE"""),"nostalgebraist")</f>
        <v>nostalgebraist</v>
      </c>
      <c r="E374" t="str">
        <f>IFERROR(__xludf.DUMMYFUNCTION("""COMPUTED_VALUE"""),"Tumblr")</f>
        <v>Tumblr</v>
      </c>
      <c r="F374">
        <f>IFERROR(__xludf.DUMMYFUNCTION("""COMPUTED_VALUE"""),2019.0)</f>
        <v>2019</v>
      </c>
      <c r="G374" t="str">
        <f>IFERROR(__xludf.DUMMYFUNCTION("""COMPUTED_VALUE"""),"Daniel Filan")</f>
        <v>Daniel Filan</v>
      </c>
      <c r="H374" s="3" t="str">
        <f>IFERROR(__xludf.DUMMYFUNCTION("""COMPUTED_VALUE"""),"AN #58")</f>
        <v>AN #58</v>
      </c>
      <c r="I374" t="str">
        <f>IFERROR(__xludf.DUMMYFUNCTION("""COMPUTED_VALUE"""),"Rohin")</f>
        <v>Rohin</v>
      </c>
      <c r="J374" t="str">
        <f>IFERROR(__xludf.DUMMYFUNCTION("""COMPUTED_VALUE"""),"This is an excellent explanation of the intuitions and ideas behind self-attention and the [Transformer](https://ai.googleblog.com/2017/08/transformer-novel-neural-network.html) &lt;@architecture@&gt;(@Transformer-XL: Unleashing the Potential of Attention Model"&amp;"s@).")</f>
        <v>This is an excellent explanation of the intuitions and ideas behind self-attention and the [Transformer](https://ai.googleblog.com/2017/08/transformer-novel-neural-network.html) &lt;@architecture@&gt;(@Transformer-XL: Unleashing the Potential of Attention Models@).</v>
      </c>
    </row>
    <row r="375">
      <c r="A375" t="str">
        <f>IFERROR(__xludf.DUMMYFUNCTION("""COMPUTED_VALUE"""),"Deep learning")</f>
        <v>Deep learning</v>
      </c>
      <c r="B375" t="str">
        <f>IFERROR(__xludf.DUMMYFUNCTION("""COMPUTED_VALUE"""),"")</f>
        <v/>
      </c>
      <c r="C375" s="3" t="str">
        <f>IFERROR(__xludf.DUMMYFUNCTION("""COMPUTED_VALUE"""),"Deconstructing Lottery Tickets: Zeros, Signs, and the Supermask")</f>
        <v>Deconstructing Lottery Tickets: Zeros, Signs, and the Supermask</v>
      </c>
      <c r="D375" t="str">
        <f>IFERROR(__xludf.DUMMYFUNCTION("""COMPUTED_VALUE"""),"Hattie Zhou, Janice Lan, Rosanne Liu, Jason Yosinski")</f>
        <v>Hattie Zhou, Janice Lan, Rosanne Liu, Jason Yosinski</v>
      </c>
      <c r="E375" t="str">
        <f>IFERROR(__xludf.DUMMYFUNCTION("""COMPUTED_VALUE"""),"arXiv")</f>
        <v>arXiv</v>
      </c>
      <c r="F375">
        <f>IFERROR(__xludf.DUMMYFUNCTION("""COMPUTED_VALUE"""),2019.0)</f>
        <v>2019</v>
      </c>
      <c r="H375" s="3" t="str">
        <f>IFERROR(__xludf.DUMMYFUNCTION("""COMPUTED_VALUE"""),"AN #57")</f>
        <v>AN #57</v>
      </c>
      <c r="I375" t="str">
        <f>IFERROR(__xludf.DUMMYFUNCTION("""COMPUTED_VALUE"""),"Cody")</f>
        <v>Cody</v>
      </c>
      <c r="J375" t="str">
        <f>IFERROR(__xludf.DUMMYFUNCTION("""COMPUTED_VALUE"""),"This paper runs a series of experimental ablation studies to better understand the limits of the Lottery Ticket Hypothesis, and investigate variants of the initial pruning and masking procedure under which its effects are more and less pronounced. It is f"&amp;"irst and foremost a list of interesting results, without any central theory tying them together. These results include the observation that keeping pruned weights the same sign as their ""lottery ticket"" initialization seems more important than keeping t"&amp;"heir exact initial magnitudes, that taking a mixed strategy of zeroing pruned weights or freezing them at initialization can get better results, and that applying a learned 0/1 mask to a re-initialized network can get surprisingly high accuracy even witho"&amp;"ut re-training. ")</f>
        <v>This paper runs a series of experimental ablation studies to better understand the limits of the Lottery Ticket Hypothesis, and investigate variants of the initial pruning and masking procedure under which its effects are more and less pronounced. It is first and foremost a list of interesting results, without any central theory tying them together. These results include the observation that keeping pruned weights the same sign as their "lottery ticket" initialization seems more important than keeping their exact initial magnitudes, that taking a mixed strategy of zeroing pruned weights or freezing them at initialization can get better results, and that applying a learned 0/1 mask to a re-initialized network can get surprisingly high accuracy even without re-training. </v>
      </c>
      <c r="K375" t="str">
        <f>IFERROR(__xludf.DUMMYFUNCTION("""COMPUTED_VALUE"""),"While it certainly would have been exciting to have a paper presenting a unified (and empirically supported) theoretical understanding of the LTH, I respect the fact that this is such a purely empirical work, that tries to do one thing - designing and run"&amp;"ning clean, clear experiments - and does it well, without trying to construct explanations just for the sake of having them. We still have a ways to go in understanding the optimization dynamics underlying lottery tickets, but these seem like important an"&amp;"d valuable data points on the road to that understanding.")</f>
        <v>While it certainly would have been exciting to have a paper presenting a unified (and empirically supported) theoretical understanding of the LTH, I respect the fact that this is such a purely empirical work, that tries to do one thing - designing and running clean, clear experiments - and does it well, without trying to construct explanations just for the sake of having them. We still have a ways to go in understanding the optimization dynamics underlying lottery tickets, but these seem like important and valuable data points on the road to that understanding.</v>
      </c>
      <c r="M375" s="3" t="str">
        <f>IFERROR(__xludf.DUMMYFUNCTION("""COMPUTED_VALUE"""),"Cody's longer summary")</f>
        <v>Cody's longer summary</v>
      </c>
    </row>
    <row r="376">
      <c r="A376" t="str">
        <f>IFERROR(__xludf.DUMMYFUNCTION("""COMPUTED_VALUE"""),"Deep learning")</f>
        <v>Deep learning</v>
      </c>
      <c r="B376" t="str">
        <f>IFERROR(__xludf.DUMMYFUNCTION("""COMPUTED_VALUE"""),"")</f>
        <v/>
      </c>
      <c r="C376" s="3" t="str">
        <f>IFERROR(__xludf.DUMMYFUNCTION("""COMPUTED_VALUE"""),"Do we still need models or just more data and compute?")</f>
        <v>Do we still need models or just more data and compute?</v>
      </c>
      <c r="D376" t="str">
        <f>IFERROR(__xludf.DUMMYFUNCTION("""COMPUTED_VALUE"""),"Max Welling")</f>
        <v>Max Welling</v>
      </c>
      <c r="E376" t="str">
        <f>IFERROR(__xludf.DUMMYFUNCTION("""COMPUTED_VALUE"""),"University of Amsterdam Website")</f>
        <v>University of Amsterdam Website</v>
      </c>
      <c r="F376">
        <f>IFERROR(__xludf.DUMMYFUNCTION("""COMPUTED_VALUE"""),2019.0)</f>
        <v>2019</v>
      </c>
      <c r="H376" s="3" t="str">
        <f>IFERROR(__xludf.DUMMYFUNCTION("""COMPUTED_VALUE"""),"AN #54")</f>
        <v>AN #54</v>
      </c>
      <c r="I376" t="str">
        <f>IFERROR(__xludf.DUMMYFUNCTION("""COMPUTED_VALUE"""),"Rohin")</f>
        <v>Rohin</v>
      </c>
      <c r="J376" t="str">
        <f>IFERROR(__xludf.DUMMYFUNCTION("""COMPUTED_VALUE"""),"This is a response to &lt;@The Bitter Lesson@&gt;, that emphasizes the importance of data in addition to compute. It brings up a number of considerations that seem important to me, and is worth reading if you want to better understand my position on the bitter "&amp;"lesson.")</f>
        <v>This is a response to &lt;@The Bitter Lesson@&gt;, that emphasizes the importance of data in addition to compute. It brings up a number of considerations that seem important to me, and is worth reading if you want to better understand my position on the bitter lesson.</v>
      </c>
    </row>
    <row r="377">
      <c r="A377" t="str">
        <f>IFERROR(__xludf.DUMMYFUNCTION("""COMPUTED_VALUE"""),"Deep learning")</f>
        <v>Deep learning</v>
      </c>
      <c r="B377" t="str">
        <f>IFERROR(__xludf.DUMMYFUNCTION("""COMPUTED_VALUE"""),"")</f>
        <v/>
      </c>
      <c r="C377" s="3" t="str">
        <f>IFERROR(__xludf.DUMMYFUNCTION("""COMPUTED_VALUE"""),"Semantic Image Synthesis with Spatially-Adaptive Normalization")</f>
        <v>Semantic Image Synthesis with Spatially-Adaptive Normalization</v>
      </c>
      <c r="D377" t="str">
        <f>IFERROR(__xludf.DUMMYFUNCTION("""COMPUTED_VALUE"""),"Taesung Park, Ming-Yu Liu, Ting-Chun Wang and Jun-Yan Zhu")</f>
        <v>Taesung Park, Ming-Yu Liu, Ting-Chun Wang and Jun-Yan Zhu</v>
      </c>
      <c r="E377" t="str">
        <f>IFERROR(__xludf.DUMMYFUNCTION("""COMPUTED_VALUE"""),"CVPR 2019")</f>
        <v>CVPR 2019</v>
      </c>
      <c r="F377">
        <f>IFERROR(__xludf.DUMMYFUNCTION("""COMPUTED_VALUE"""),2019.0)</f>
        <v>2019</v>
      </c>
      <c r="H377" s="3" t="str">
        <f>IFERROR(__xludf.DUMMYFUNCTION("""COMPUTED_VALUE"""),"AN #54")</f>
        <v>AN #54</v>
      </c>
      <c r="I377" t="str">
        <f>IFERROR(__xludf.DUMMYFUNCTION("""COMPUTED_VALUE"""),"Dan H")</f>
        <v>Dan H</v>
      </c>
      <c r="J377" t="str">
        <f>IFERROR(__xludf.DUMMYFUNCTION("""COMPUTED_VALUE"""),"This paper shows how to create somewhat realistic images specified by semantic segmentation maps. They accomplish this by modifying batch normalization. Batch normalization modifications can be quite powerful for image generation, even enough to [control "&amp;"style](https://arxiv.org/abs/1703.06868). Their modification is that normalization is a direct function of the semantic segmentation map throughout the network, so that the semantic segmentation map is readily available to each ResBlock. Visualizations pr"&amp;"oduced by this method are [here](https://nvlabs.github.io/SPADE/).")</f>
        <v>This paper shows how to create somewhat realistic images specified by semantic segmentation maps. They accomplish this by modifying batch normalization. Batch normalization modifications can be quite powerful for image generation, even enough to [control style](https://arxiv.org/abs/1703.06868). Their modification is that normalization is a direct function of the semantic segmentation map throughout the network, so that the semantic segmentation map is readily available to each ResBlock. Visualizations produced by this method are [here](https://nvlabs.github.io/SPADE/).</v>
      </c>
    </row>
    <row r="378">
      <c r="A378" t="str">
        <f>IFERROR(__xludf.DUMMYFUNCTION("""COMPUTED_VALUE"""),"Deep learning")</f>
        <v>Deep learning</v>
      </c>
      <c r="B378" t="str">
        <f>IFERROR(__xludf.DUMMYFUNCTION("""COMPUTED_VALUE"""),"")</f>
        <v/>
      </c>
      <c r="C378" s="3" t="str">
        <f>IFERROR(__xludf.DUMMYFUNCTION("""COMPUTED_VALUE"""),"Measuring the Intrinsic Dimension of Objective Landscapes")</f>
        <v>Measuring the Intrinsic Dimension of Objective Landscapes</v>
      </c>
      <c r="D378" t="str">
        <f>IFERROR(__xludf.DUMMYFUNCTION("""COMPUTED_VALUE""")," Chunyuan Li, Rosanne Liu, and Jason Yosinski	")</f>
        <v> Chunyuan Li, Rosanne Liu, and Jason Yosinski	</v>
      </c>
      <c r="E378" t="str">
        <f>IFERROR(__xludf.DUMMYFUNCTION("""COMPUTED_VALUE"""),"Uber Engineering Blog")</f>
        <v>Uber Engineering Blog</v>
      </c>
      <c r="F378">
        <f>IFERROR(__xludf.DUMMYFUNCTION("""COMPUTED_VALUE"""),2018.0)</f>
        <v>2018</v>
      </c>
      <c r="H378" s="3" t="str">
        <f>IFERROR(__xludf.DUMMYFUNCTION("""COMPUTED_VALUE"""),"AN #53")</f>
        <v>AN #53</v>
      </c>
      <c r="I378" t="str">
        <f>IFERROR(__xludf.DUMMYFUNCTION("""COMPUTED_VALUE"""),"Cody")</f>
        <v>Cody</v>
      </c>
      <c r="J378" t="str">
        <f>IFERROR(__xludf.DUMMYFUNCTION("""COMPUTED_VALUE"""),"This paper proposes and defines a quantity called ""intrinsic dimension"", a geometrically-informed metric of how many degrees of freedom are actually needed to train a given model on a given dataset.  They calculate this by picking a set of random direct"&amp;"ions that span some subspace of dimension d, and taking gradient steps only along that lower-dimensional subspace. They consider the intrinsic dimension of a model and a dataset to be the smallest value d at which performance reaches 90% of a baseline, no"&amp;"rmally trained model on the dataset. The geometric intuition of this approach is that the dimensionality of parameter space can be, by definition, split into intrinsic dimension and its codimension, the dimension of the solution set. In this framing, high"&amp;"er solution set dimension (and lower intrinsic dimension) corresponds to proportionally more of the search space containing reasonable solution points, and therefore a situation where a learning agent will be more likely to find such a solution point. The"&amp;"re are some interesting observations here that correspond with our intuitions about model trainability: on MNIST, intrinsic dimensionality for a CNN is lower than for a fully connected network, but if you randomize pixel locations, CNN's intrinsic dimensi"&amp;"on shoots up above FC, matching the intuition that CNNs are appropriate when their assumption of local structure holds. ")</f>
        <v>This paper proposes and defines a quantity called "intrinsic dimension", a geometrically-informed metric of how many degrees of freedom are actually needed to train a given model on a given dataset.  They calculate this by picking a set of random directions that span some subspace of dimension d, and taking gradient steps only along that lower-dimensional subspace. They consider the intrinsic dimension of a model and a dataset to be the smallest value d at which performance reaches 90% of a baseline, normally trained model on the dataset. The geometric intuition of this approach is that the dimensionality of parameter space can be, by definition, split into intrinsic dimension and its codimension, the dimension of the solution set. In this framing, higher solution set dimension (and lower intrinsic dimension) corresponds to proportionally more of the search space containing reasonable solution points, and therefore a situation where a learning agent will be more likely to find such a solution point. There are some interesting observations here that correspond with our intuitions about model trainability: on MNIST, intrinsic dimensionality for a CNN is lower than for a fully connected network, but if you randomize pixel locations, CNN's intrinsic dimension shoots up above FC, matching the intuition that CNNs are appropriate when their assumption of local structure holds. </v>
      </c>
      <c r="K378" t="str">
        <f>IFERROR(__xludf.DUMMYFUNCTION("""COMPUTED_VALUE"""),"Overall, I find this an interesting and well-articulated paper, and am curious to see future work that addresses some of the extrapolations and claims implied by this paper, particularly their claim, surprising relative to my intuitions, that increasing n"&amp;"_parameters will, maybe monotonically, reduce difficulty of training, because it simply increases the dimensionality of the solution set. I'm also not sure how to feel about their simply asserting that a solution exists when a network reaches 90% of basel"&amp;"ines performance, since we may care about that ""last mile"" performance and it might also be the harder to reach.")</f>
        <v>Overall, I find this an interesting and well-articulated paper, and am curious to see future work that addresses some of the extrapolations and claims implied by this paper, particularly their claim, surprising relative to my intuitions, that increasing n_parameters will, maybe monotonically, reduce difficulty of training, because it simply increases the dimensionality of the solution set. I'm also not sure how to feel about their simply asserting that a solution exists when a network reaches 90% of baselines performance, since we may care about that "last mile" performance and it might also be the harder to reach.</v>
      </c>
      <c r="M378" s="3" t="str">
        <f>IFERROR(__xludf.DUMMYFUNCTION("""COMPUTED_VALUE"""),"Paper")</f>
        <v>Paper</v>
      </c>
    </row>
    <row r="379">
      <c r="A379" t="str">
        <f>IFERROR(__xludf.DUMMYFUNCTION("""COMPUTED_VALUE"""),"Deep learning")</f>
        <v>Deep learning</v>
      </c>
      <c r="B379" t="str">
        <f>IFERROR(__xludf.DUMMYFUNCTION("""COMPUTED_VALUE"""),"")</f>
        <v/>
      </c>
      <c r="C379" s="3" t="str">
        <f>IFERROR(__xludf.DUMMYFUNCTION("""COMPUTED_VALUE"""),"Measuring the Limits of Data Parallel Training for Neural Networks")</f>
        <v>Measuring the Limits of Data Parallel Training for Neural Networks</v>
      </c>
      <c r="D379" t="str">
        <f>IFERROR(__xludf.DUMMYFUNCTION("""COMPUTED_VALUE"""),"Chris Shallue and George Dahl")</f>
        <v>Chris Shallue and George Dahl</v>
      </c>
      <c r="E379" t="str">
        <f>IFERROR(__xludf.DUMMYFUNCTION("""COMPUTED_VALUE"""),"Google AI Blog")</f>
        <v>Google AI Blog</v>
      </c>
      <c r="F379">
        <f>IFERROR(__xludf.DUMMYFUNCTION("""COMPUTED_VALUE"""),2019.0)</f>
        <v>2019</v>
      </c>
      <c r="H379" s="3" t="str">
        <f>IFERROR(__xludf.DUMMYFUNCTION("""COMPUTED_VALUE"""),"AN #51")</f>
        <v>AN #51</v>
      </c>
      <c r="I379" t="str">
        <f>IFERROR(__xludf.DUMMYFUNCTION("""COMPUTED_VALUE"""),"Rohin")</f>
        <v>Rohin</v>
      </c>
      <c r="J379" t="str">
        <f>IFERROR(__xludf.DUMMYFUNCTION("""COMPUTED_VALUE"""),"Consider the relationship between the size of a single batch and the number of batches needed to reach a specific performance bound when using deep learning. If all that mattered for performance was the total number of examples that you take gradient step"&amp;"s on (i.e. the product of these two numbers), then you would expect a perfect inverse relationship between these two quantities, which would look like a line with negative slope on a log-log plot. In this case, we could scale batch sizes up arbitrarily fa"&amp;"r, and distribute them across as many machines as necessary, in order to reduce wall clock training time. A 2x increase in batch size with twice as many machines would lead to a 2x decrease in training time. However, as you make batch sizes really large, "&amp;"you face the problem of stale gradients: if you had updated on the first half of the batch and then computed gradients on the second half of the batch, the gradients for the second half would be ""better"", because they were computed with respect to a bet"&amp;"ter set of parameters. When this effect becomes significant, you no longer get the nice linear scaling from parallelization.
This post studies the relationship empirically across a number of datasets, architectures, and optimization algorithms. They find"&amp;" that universally, there is initially an era of perfect linear scaling as you increase batch size, followed by a region of diminishing marginal returns that ultimately leads to an asymptote where increasing batch size doesn't help at all with reducing wal"&amp;"l-clock training time. However, the transition points between these regimes vary wildly, suggesting that there may be low hanging fruit in the design of algorithms or architectures that explicitly aim to achieve very good scaling.")</f>
        <v>Consider the relationship between the size of a single batch and the number of batches needed to reach a specific performance bound when using deep learning. If all that mattered for performance was the total number of examples that you take gradient steps on (i.e. the product of these two numbers), then you would expect a perfect inverse relationship between these two quantities, which would look like a line with negative slope on a log-log plot. In this case, we could scale batch sizes up arbitrarily far, and distribute them across as many machines as necessary, in order to reduce wall clock training time. A 2x increase in batch size with twice as many machines would lead to a 2x decrease in training time. However, as you make batch sizes really large, you face the problem of stale gradients: if you had updated on the first half of the batch and then computed gradients on the second half of the batch, the gradients for the second half would be "better", because they were computed with respect to a better set of parameters. When this effect becomes significant, you no longer get the nice linear scaling from parallelization.
This post studies the relationship empirically across a number of datasets, architectures, and optimization algorithms. They find that universally, there is initially an era of perfect linear scaling as you increase batch size, followed by a region of diminishing marginal returns that ultimately leads to an asymptote where increasing batch size doesn't help at all with reducing wall-clock training time. However, the transition points between these regimes vary wildly, suggesting that there may be low hanging fruit in the design of algorithms or architectures that explicitly aim to achieve very good scaling.</v>
      </c>
      <c r="K379" t="str">
        <f>IFERROR(__xludf.DUMMYFUNCTION("""COMPUTED_VALUE"""),"OpenAI &lt;@found@&gt;(@How AI Training Scales@) that the best predictor of the maximum useful batch size was how noisy the gradient is. Presumably when you have noisy gradients, a larger batch size helps ""average out"" the noise across examples. Rereading the"&amp;"ir post, I notice that they mentioned the study I've summarized here and said that their results can help explain why there's so much variance in the transition points _across datasets_. However, I don't think it can explain the variance in transition poi"&amp;"nts _across architectures_. Noisy gradients are typically a significant problem, and so it would be weird if the variance in transition points across architectures were explained by the noisiness of the gradient: that would imply that two architectures re"&amp;"ach the same final performance even though one had the problem of noisy gradients while the other didn't. So there seems to be something left to explain here.
That said, I haven't looked in depth at the data, so the explanation could be very simple. For "&amp;"example, maybe the transition points don't vary much across architecture and vary much more across datasets, and the variance across architecture is small enough that its effect on performance is dwarfed by all the other things that can affect the perform"&amp;"ance of deep learning systems. Or perhaps while the noisiness of the gradient is a good predictor of the maximum batch size, it still only explains say 40% of the effect, and so variance across architectures is totally compatible with factors other than t"&amp;"he gradient noise affecting the maximum batch size.")</f>
        <v>OpenAI &lt;@found@&gt;(@How AI Training Scales@) that the best predictor of the maximum useful batch size was how noisy the gradient is. Presumably when you have noisy gradients, a larger batch size helps "average out" the noise across examples. Rereading their post, I notice that they mentioned the study I've summarized here and said that their results can help explain why there's so much variance in the transition points _across datasets_. However, I don't think it can explain the variance in transition points _across architectures_. Noisy gradients are typically a significant problem, and so it would be weird if the variance in transition points across architectures were explained by the noisiness of the gradient: that would imply that two architectures reach the same final performance even though one had the problem of noisy gradients while the other didn't. So there seems to be something left to explain here.
That said, I haven't looked in depth at the data, so the explanation could be very simple. For example, maybe the transition points don't vary much across architecture and vary much more across datasets, and the variance across architecture is small enough that its effect on performance is dwarfed by all the other things that can affect the performance of deep learning systems. Or perhaps while the noisiness of the gradient is a good predictor of the maximum batch size, it still only explains say 40% of the effect, and so variance across architectures is totally compatible with factors other than the gradient noise affecting the maximum batch size.</v>
      </c>
    </row>
    <row r="380">
      <c r="A380" t="str">
        <f>IFERROR(__xludf.DUMMYFUNCTION("""COMPUTED_VALUE"""),"Deep learning")</f>
        <v>Deep learning</v>
      </c>
      <c r="B380" t="str">
        <f>IFERROR(__xludf.DUMMYFUNCTION("""COMPUTED_VALUE"""),"")</f>
        <v/>
      </c>
      <c r="C380" s="3" t="str">
        <f>IFERROR(__xludf.DUMMYFUNCTION("""COMPUTED_VALUE"""),"A Comprehensive Survey on Graph Neural Networks")</f>
        <v>A Comprehensive Survey on Graph Neural Networks</v>
      </c>
      <c r="D380" t="str">
        <f>IFERROR(__xludf.DUMMYFUNCTION("""COMPUTED_VALUE"""),"
Zonghan Wu, Shirui Pan, Fengwen Chen, Guodong Long, Chengqi Zhang, Philip S. Yu")</f>
        <v>
Zonghan Wu, Shirui Pan, Fengwen Chen, Guodong Long, Chengqi Zhang, Philip S. Yu</v>
      </c>
      <c r="E380" t="str">
        <f>IFERROR(__xludf.DUMMYFUNCTION("""COMPUTED_VALUE"""),"arXiv")</f>
        <v>arXiv</v>
      </c>
      <c r="F380">
        <f>IFERROR(__xludf.DUMMYFUNCTION("""COMPUTED_VALUE"""),2019.0)</f>
        <v>2019</v>
      </c>
      <c r="H380" s="3" t="str">
        <f>IFERROR(__xludf.DUMMYFUNCTION("""COMPUTED_VALUE"""),"AN #42")</f>
        <v>AN #42</v>
      </c>
    </row>
    <row r="381">
      <c r="A381" t="str">
        <f>IFERROR(__xludf.DUMMYFUNCTION("""COMPUTED_VALUE"""),"Deep learning")</f>
        <v>Deep learning</v>
      </c>
      <c r="B381" t="str">
        <f>IFERROR(__xludf.DUMMYFUNCTION("""COMPUTED_VALUE"""),"")</f>
        <v/>
      </c>
      <c r="C381" s="3" t="str">
        <f>IFERROR(__xludf.DUMMYFUNCTION("""COMPUTED_VALUE"""),"How AI Training Scales")</f>
        <v>How AI Training Scales</v>
      </c>
      <c r="D381" t="str">
        <f>IFERROR(__xludf.DUMMYFUNCTION("""COMPUTED_VALUE"""),"Sam McCandlish, Jared Kaplan and Dario Amodei")</f>
        <v>Sam McCandlish, Jared Kaplan and Dario Amodei</v>
      </c>
      <c r="E381" t="str">
        <f>IFERROR(__xludf.DUMMYFUNCTION("""COMPUTED_VALUE"""),"OpenAI Blog")</f>
        <v>OpenAI Blog</v>
      </c>
      <c r="F381">
        <f>IFERROR(__xludf.DUMMYFUNCTION("""COMPUTED_VALUE"""),2018.0)</f>
        <v>2018</v>
      </c>
      <c r="H381" s="3" t="str">
        <f>IFERROR(__xludf.DUMMYFUNCTION("""COMPUTED_VALUE"""),"AN #37")</f>
        <v>AN #37</v>
      </c>
      <c r="I381" t="str">
        <f>IFERROR(__xludf.DUMMYFUNCTION("""COMPUTED_VALUE"""),"Rohin")</f>
        <v>Rohin</v>
      </c>
      <c r="J381" t="str">
        <f>IFERROR(__xludf.DUMMYFUNCTION("""COMPUTED_VALUE"""),"OpenAI has done an empirical investigation into the performance of AI systems, and found that the maximum useful batch size for a particular task is strongly influenced by the noise in the gradient. (Here, the noise in the gradient comes from the fact tha"&amp;"t we are using _stochastic_ gradient descent -- any difference in the gradients across batches counts as ""noise"".) They also found some preliminary results showing the more powerful ML techniques tend to have more gradient noise, and even a single model"&amp;" tends to have increased gradient noise over time as they get better at the task.")</f>
        <v>OpenAI has done an empirical investigation into the performance of AI systems, and found that the maximum useful batch size for a particular task is strongly influenced by the noise in the gradient. (Here, the noise in the gradient comes from the fact that we are using _stochastic_ gradient descent -- any difference in the gradients across batches counts as "noise".) They also found some preliminary results showing the more powerful ML techniques tend to have more gradient noise, and even a single model tends to have increased gradient noise over time as they get better at the task.</v>
      </c>
      <c r="K381" t="str">
        <f>IFERROR(__xludf.DUMMYFUNCTION("""COMPUTED_VALUE"""),"While OpenAI doesn't speculate on why this relationship exists, it seems to me that as you get larger batch sizes, you are improving the gradient by reducing noise by averaging over a larger batch. This predicts the results well: as the task gets harder a"&amp;"nd the noise in the gradients gets larger, there's more noise to get rid of by averaging over data points, and so there's more opportunity to have _even larger_ batch sizes.")</f>
        <v>While OpenAI doesn't speculate on why this relationship exists, it seems to me that as you get larger batch sizes, you are improving the gradient by reducing noise by averaging over a larger batch. This predicts the results well: as the task gets harder and the noise in the gradients gets larger, there's more noise to get rid of by averaging over data points, and so there's more opportunity to have _even larger_ batch sizes.</v>
      </c>
    </row>
    <row r="382">
      <c r="A382" t="str">
        <f>IFERROR(__xludf.DUMMYFUNCTION("""COMPUTED_VALUE"""),"Deep learning")</f>
        <v>Deep learning</v>
      </c>
      <c r="B382" t="str">
        <f>IFERROR(__xludf.DUMMYFUNCTION("""COMPUTED_VALUE"""),"")</f>
        <v/>
      </c>
      <c r="C382" s="3" t="str">
        <f>IFERROR(__xludf.DUMMYFUNCTION("""COMPUTED_VALUE"""),"Open Sourcing BERT: State-of-the-Art Pre-training for Natural Language Processing")</f>
        <v>Open Sourcing BERT: State-of-the-Art Pre-training for Natural Language Processing</v>
      </c>
      <c r="D382" t="str">
        <f>IFERROR(__xludf.DUMMYFUNCTION("""COMPUTED_VALUE"""),"Jacob Devlin and Ming-Wei Chang")</f>
        <v>Jacob Devlin and Ming-Wei Chang</v>
      </c>
      <c r="E382" t="str">
        <f>IFERROR(__xludf.DUMMYFUNCTION("""COMPUTED_VALUE"""),"Google AI Blog")</f>
        <v>Google AI Blog</v>
      </c>
      <c r="F382">
        <f>IFERROR(__xludf.DUMMYFUNCTION("""COMPUTED_VALUE"""),2018.0)</f>
        <v>2018</v>
      </c>
      <c r="H382" s="3" t="str">
        <f>IFERROR(__xludf.DUMMYFUNCTION("""COMPUTED_VALUE"""),"AN #32")</f>
        <v>AN #32</v>
      </c>
    </row>
    <row r="383">
      <c r="A383" t="str">
        <f>IFERROR(__xludf.DUMMYFUNCTION("""COMPUTED_VALUE"""),"Deep learning")</f>
        <v>Deep learning</v>
      </c>
      <c r="B383" t="str">
        <f>IFERROR(__xludf.DUMMYFUNCTION("""COMPUTED_VALUE"""),"")</f>
        <v/>
      </c>
      <c r="C383" s="3" t="str">
        <f>IFERROR(__xludf.DUMMYFUNCTION("""COMPUTED_VALUE"""),"Relational Deep Reinforcement Learning")</f>
        <v>Relational Deep Reinforcement Learning</v>
      </c>
      <c r="D383" t="str">
        <f>IFERROR(__xludf.DUMMYFUNCTION("""COMPUTED_VALUE"""),"Vinicius Zambaldi, David Raposo, Adam Santoro, Victor Bapst, Yujia Li, Igor Babuschkin, Karl Tuyls, David Reichert, Timothy Lillicrap, Edward Lockhart, Murray Shanahan, Victoria Langston, Razvan Pascanu, Matthew Botvinick, Oriol Vinyals, Peter Battaglia")</f>
        <v>Vinicius Zambaldi, David Raposo, Adam Santoro, Victor Bapst, Yujia Li, Igor Babuschkin, Karl Tuyls, David Reichert, Timothy Lillicrap, Edward Lockhart, Murray Shanahan, Victoria Langston, Razvan Pascanu, Matthew Botvinick, Oriol Vinyals, Peter Battaglia</v>
      </c>
      <c r="E383" t="str">
        <f>IFERROR(__xludf.DUMMYFUNCTION("""COMPUTED_VALUE"""),"NIPS 2018")</f>
        <v>NIPS 2018</v>
      </c>
      <c r="F383">
        <f>IFERROR(__xludf.DUMMYFUNCTION("""COMPUTED_VALUE"""),2018.0)</f>
        <v>2018</v>
      </c>
      <c r="H383" s="3" t="str">
        <f>IFERROR(__xludf.DUMMYFUNCTION("""COMPUTED_VALUE"""),"AN #30")</f>
        <v>AN #30</v>
      </c>
      <c r="I383" t="str">
        <f>IFERROR(__xludf.DUMMYFUNCTION("""COMPUTED_VALUE"""),"Richard")</f>
        <v>Richard</v>
      </c>
      <c r="J383" t="str">
        <f>IFERROR(__xludf.DUMMYFUNCTION("""COMPUTED_VALUE"""),"This paper uses the self-attention mechanism discussed in 'Relational recurrent neural networks' to compute relationships between entities extracted from input data. The system was tested on the Box-World environment, in which an agent needs to use keys t"&amp;"o open boxes in a certain order. It generalised very well to test environments which required much longer sequences of actions than any training examples, and improved slightly on a baseline for Starcraft mini-games.")</f>
        <v>This paper uses the self-attention mechanism discussed in 'Relational recurrent neural networks' to compute relationships between entities extracted from input data. The system was tested on the Box-World environment, in which an agent needs to use keys to open boxes in a certain order. It generalised very well to test environments which required much longer sequences of actions than any training examples, and improved slightly on a baseline for Starcraft mini-games.</v>
      </c>
      <c r="K383" t="str">
        <f>IFERROR(__xludf.DUMMYFUNCTION("""COMPUTED_VALUE"""),"Getting neural networks to generalise to longer versions of training problems is often surprisingly difficult, so I'm impressed by the Box-World results; I would have liked to see what happened on even longer problems.")</f>
        <v>Getting neural networks to generalise to longer versions of training problems is often surprisingly difficult, so I'm impressed by the Box-World results; I would have liked to see what happened on even longer problems.</v>
      </c>
    </row>
    <row r="384">
      <c r="A384" t="str">
        <f>IFERROR(__xludf.DUMMYFUNCTION("""COMPUTED_VALUE"""),"Deep learning")</f>
        <v>Deep learning</v>
      </c>
      <c r="B384" t="str">
        <f>IFERROR(__xludf.DUMMYFUNCTION("""COMPUTED_VALUE"""),"")</f>
        <v/>
      </c>
      <c r="C384" s="3" t="str">
        <f>IFERROR(__xludf.DUMMYFUNCTION("""COMPUTED_VALUE"""),"Large Scale GAN Training for High Fidelity Natural Image Synthesis")</f>
        <v>Large Scale GAN Training for High Fidelity Natural Image Synthesis</v>
      </c>
      <c r="D384" t="str">
        <f>IFERROR(__xludf.DUMMYFUNCTION("""COMPUTED_VALUE"""),"Andrew Brock, Jeff Donahue, Karen Simonyan")</f>
        <v>Andrew Brock, Jeff Donahue, Karen Simonyan</v>
      </c>
      <c r="E384" t="str">
        <f>IFERROR(__xludf.DUMMYFUNCTION("""COMPUTED_VALUE"""),"ICML 2018")</f>
        <v>ICML 2018</v>
      </c>
      <c r="F384">
        <f>IFERROR(__xludf.DUMMYFUNCTION("""COMPUTED_VALUE"""),2018.0)</f>
        <v>2018</v>
      </c>
      <c r="H384" s="3" t="str">
        <f>IFERROR(__xludf.DUMMYFUNCTION("""COMPUTED_VALUE"""),"AN #27")</f>
        <v>AN #27</v>
      </c>
    </row>
    <row r="385">
      <c r="A385" t="str">
        <f>IFERROR(__xludf.DUMMYFUNCTION("""COMPUTED_VALUE"""),"Deep learning")</f>
        <v>Deep learning</v>
      </c>
      <c r="B385" t="str">
        <f>IFERROR(__xludf.DUMMYFUNCTION("""COMPUTED_VALUE"""),"")</f>
        <v/>
      </c>
      <c r="C385" s="3" t="str">
        <f>IFERROR(__xludf.DUMMYFUNCTION("""COMPUTED_VALUE"""),"The Unreasonable Effectiveness of Deep Learning")</f>
        <v>The Unreasonable Effectiveness of Deep Learning</v>
      </c>
      <c r="D385" t="str">
        <f>IFERROR(__xludf.DUMMYFUNCTION("""COMPUTED_VALUE"""),"Richard Ngo")</f>
        <v>Richard Ngo</v>
      </c>
      <c r="E385" t="str">
        <f>IFERROR(__xludf.DUMMYFUNCTION("""COMPUTED_VALUE"""),"LessWrong")</f>
        <v>LessWrong</v>
      </c>
      <c r="F385">
        <f>IFERROR(__xludf.DUMMYFUNCTION("""COMPUTED_VALUE"""),2018.0)</f>
        <v>2018</v>
      </c>
      <c r="H385" s="3" t="str">
        <f>IFERROR(__xludf.DUMMYFUNCTION("""COMPUTED_VALUE"""),"AN #27")</f>
        <v>AN #27</v>
      </c>
    </row>
    <row r="386">
      <c r="A386" t="str">
        <f>IFERROR(__xludf.DUMMYFUNCTION("""COMPUTED_VALUE"""),"Deep learning")</f>
        <v>Deep learning</v>
      </c>
      <c r="B386" t="str">
        <f>IFERROR(__xludf.DUMMYFUNCTION("""COMPUTED_VALUE"""),"")</f>
        <v/>
      </c>
      <c r="C386" s="3" t="str">
        <f>IFERROR(__xludf.DUMMYFUNCTION("""COMPUTED_VALUE"""),"Grokking: Generalization Beyond Overfitting on Small Algorithmic Datasets")</f>
        <v>Grokking: Generalization Beyond Overfitting on Small Algorithmic Datasets</v>
      </c>
      <c r="D386" t="str">
        <f>IFERROR(__xludf.DUMMYFUNCTION("""COMPUTED_VALUE"""),"Alethea Power, Yuri Burda, Harri Edwards, Igor Babuschkin, Vedant Misra")</f>
        <v>Alethea Power, Yuri Burda, Harri Edwards, Igor Babuschkin, Vedant Misra</v>
      </c>
      <c r="E386" t="str">
        <f>IFERROR(__xludf.DUMMYFUNCTION("""COMPUTED_VALUE"""),"1st Mathematical Reasoning in General Artificial Intelligence Workshop, ICLR 2021")</f>
        <v>1st Mathematical Reasoning in General Artificial Intelligence Workshop, ICLR 2021</v>
      </c>
      <c r="F386">
        <f>IFERROR(__xludf.DUMMYFUNCTION("""COMPUTED_VALUE"""),2021.0)</f>
        <v>2021</v>
      </c>
      <c r="H386" s="3" t="str">
        <f>IFERROR(__xludf.DUMMYFUNCTION("""COMPUTED_VALUE"""),"AN #159")</f>
        <v>AN #159</v>
      </c>
      <c r="I386" t="str">
        <f>IFERROR(__xludf.DUMMYFUNCTION("""COMPUTED_VALUE"""),"Rohin")</f>
        <v>Rohin</v>
      </c>
      <c r="J386" t="str">
        <f>IFERROR(__xludf.DUMMYFUNCTION("""COMPUTED_VALUE"""),"This paper presents an interesting empirical phenomenon with deep learning: **grokking**. 
Consider tasks of the form “a ◦ b = ?”, where “◦” is some operation on modular arithmetic. For example, in the task of addition mod 97, an example problem would be"&amp;" “32 + 77 = ?”. There are exactly 97 possible operands, each of which gets its own token, and so there are 97^2 possible problems that are defined by pairs of tokens. We will train a neural net on some fraction of all possible problems and then ask how we"&amp;"ll it performs on the remaining problems it didn’t see: that is, we’re asking it to fill in the missing entries in the 97x97 table that defines addition mod 97.
It turns out that in these cases, the neural net memorizes the training dataset pretty quickl"&amp;"y (in around 10^3 updates), at which point it has terrible generalization performance. However, if you continue to train it all the way out to 10^6 updates, then it will often hit a phase transition where you go from random chance to perfect generalizatio"&amp;"n almost immediately. Intuitively, at the point of the phase transition, the network has “grokked” the function and can run it on new inputs as well. Some relevant details about grokking:
1. It isn’t specific to group or ring operations: you also see gro"&amp;"kking for tasks like “a/b if b is odd, otherwise a − b”.
2. It is quite sensitive to the choice of hyperparameters, especially learning rate; the learning rate can only vary over about a single order of magnitude.
3. The time till perfect generalization i"&amp;"s reduced by weight decay and by adding noise to the optimization process.
4. When you have 25-30% of possible examples as training data, a decrease of 1 percentage point leads to an increase of 40-50% in the median time to generalization.
5. As problems "&amp;"become more intuitively complicated, time till generalization increases (and sometimes generalization doesn’t happen at all). For example, models failed to grok the task x^3 + xy^2 + y (mod 97) even when provided with 95% of the possible examples as train"&amp;"ing data.
6. Grokking mostly still happens even when adding 1,000 “outliers” (points that could be incorrectly labeled), but mostly stops happening at 2,000 “outliers”.")</f>
        <v>This paper presents an interesting empirical phenomenon with deep learning: **grokking**. 
Consider tasks of the form “a ◦ b = ?”, where “◦” is some operation on modular arithmetic. For example, in the task of addition mod 97, an example problem would be “32 + 77 = ?”. There are exactly 97 possible operands, each of which gets its own token, and so there are 97^2 possible problems that are defined by pairs of tokens. We will train a neural net on some fraction of all possible problems and then ask how well it performs on the remaining problems it didn’t see: that is, we’re asking it to fill in the missing entries in the 97x97 table that defines addition mod 97.
It turns out that in these cases, the neural net memorizes the training dataset pretty quickly (in around 10^3 updates), at which point it has terrible generalization performance. However, if you continue to train it all the way out to 10^6 updates, then it will often hit a phase transition where you go from random chance to perfect generalization almost immediately. Intuitively, at the point of the phase transition, the network has “grokked” the function and can run it on new inputs as well. Some relevant details about grokking:
1. It isn’t specific to group or ring operations: you also see grokking for tasks like “a/b if b is odd, otherwise a − b”.
2. It is quite sensitive to the choice of hyperparameters, especially learning rate; the learning rate can only vary over about a single order of magnitude.
3. The time till perfect generalization is reduced by weight decay and by adding noise to the optimization process.
4. When you have 25-30% of possible examples as training data, a decrease of 1 percentage point leads to an increase of 40-50% in the median time to generalization.
5. As problems become more intuitively complicated, time till generalization increases (and sometimes generalization doesn’t happen at all). For example, models failed to grok the task x^3 + xy^2 + y (mod 97) even when provided with 95% of the possible examples as training data.
6. Grokking mostly still happens even when adding 1,000 “outliers” (points that could be incorrectly labeled), but mostly stops happening at 2,000 “outliers”.</v>
      </c>
      <c r="K386" t="str">
        <f>IFERROR(__xludf.DUMMYFUNCTION("""COMPUTED_VALUE"""),"Another interesting fact about neural net generalization! Like &lt;@double descent@&gt;(@Deep Double Descent@), this can’t easily be explained by appealing to the diversity model. I don’t really have a good theory for either of these phenomena, but one guess fo"&amp;"r grokking is that:
1. Functions that perfectly memorize the data without generalizing (i.e. probability 1 on the true answer and 0 elsewhere) are very complicated, nonlinear, and wonky. The memorizing functions learned by deep learning don’t get all the"&amp;" way there and instead assign a probability of (say) 0.95 to the true answer.
2. The correctly generalizing function is much simpler and for that reason can be easily pushed by deep learning to give a probability of 0.99 to the true answer.
3. Gradient de"&amp;"scent quickly gets to a memorizing function, and then moves mostly randomly through the space, but once it hits upon the correctly generalizing function (or something close enough to it), it very quickly becomes confident in it, getting to probability 0.9"&amp;"9 and then never moving very much again.
A similar theory could explain deep double descent: the worse your generalization, the more complicated, nonlinear and wonky you are, and so the more you explore to find a better generalizing function. The biggest"&amp;" problem with this theory is that it suggests that making the neural net larger should primarily advantage the memorizing functions, but in practice I expect it will actually advantage the correctly generalizing function. You might be able to rescue the t"&amp;"heory by incorporating aspects of the &lt;@lottery ticket hypothesis@&gt;(@The Lottery Ticket Hypothesis at Scale@).")</f>
        <v>Another interesting fact about neural net generalization! Like &lt;@double descent@&gt;(@Deep Double Descent@), this can’t easily be explained by appealing to the diversity model. I don’t really have a good theory for either of these phenomena, but one guess for grokking is that:
1. Functions that perfectly memorize the data without generalizing (i.e. probability 1 on the true answer and 0 elsewhere) are very complicated, nonlinear, and wonky. The memorizing functions learned by deep learning don’t get all the way there and instead assign a probability of (say) 0.95 to the true answer.
2. The correctly generalizing function is much simpler and for that reason can be easily pushed by deep learning to give a probability of 0.99 to the true answer.
3. Gradient descent quickly gets to a memorizing function, and then moves mostly randomly through the space, but once it hits upon the correctly generalizing function (or something close enough to it), it very quickly becomes confident in it, getting to probability 0.99 and then never moving very much again.
A similar theory could explain deep double descent: the worse your generalization, the more complicated, nonlinear and wonky you are, and so the more you explore to find a better generalizing function. The biggest problem with this theory is that it suggests that making the neural net larger should primarily advantage the memorizing functions, but in practice I expect it will actually advantage the correctly generalizing function. You might be able to rescue the theory by incorporating aspects of the &lt;@lottery ticket hypothesis@&gt;(@The Lottery Ticket Hypothesis at Scale@).</v>
      </c>
      <c r="M386" s="3" t="str">
        <f>IFERROR(__xludf.DUMMYFUNCTION("""COMPUTED_VALUE"""),"Reddit commentary")</f>
        <v>Reddit commentary</v>
      </c>
    </row>
    <row r="387">
      <c r="A387" t="str">
        <f>IFERROR(__xludf.DUMMYFUNCTION("""COMPUTED_VALUE"""),"Deep learning")</f>
        <v>Deep learning</v>
      </c>
      <c r="B387" t="str">
        <f>IFERROR(__xludf.DUMMYFUNCTION("""COMPUTED_VALUE"""),"")</f>
        <v/>
      </c>
      <c r="C387" s="3" t="str">
        <f>IFERROR(__xludf.DUMMYFUNCTION("""COMPUTED_VALUE"""),"Understanding the Lottery Ticket Hypothesis")</f>
        <v>Understanding the Lottery Ticket Hypothesis</v>
      </c>
      <c r="D387" t="str">
        <f>IFERROR(__xludf.DUMMYFUNCTION("""COMPUTED_VALUE"""),"Alignment Forum")</f>
        <v>Alignment Forum</v>
      </c>
      <c r="E387" t="str">
        <f>IFERROR(__xludf.DUMMYFUNCTION("""COMPUTED_VALUE"""),"Alex Flint")</f>
        <v>Alex Flint</v>
      </c>
      <c r="F387">
        <f>IFERROR(__xludf.DUMMYFUNCTION("""COMPUTED_VALUE"""),2021.0)</f>
        <v>2021</v>
      </c>
      <c r="H387" s="3" t="str">
        <f>IFERROR(__xludf.DUMMYFUNCTION("""COMPUTED_VALUE"""),"AN #151")</f>
        <v>AN #151</v>
      </c>
      <c r="I387" t="str">
        <f>IFERROR(__xludf.DUMMYFUNCTION("""COMPUTED_VALUE"""),"Rohin")</f>
        <v>Rohin</v>
      </c>
      <c r="J387" t="str">
        <f>IFERROR(__xludf.DUMMYFUNCTION("""COMPUTED_VALUE"""),"This post summarizes work on the &lt;@lottery ticket hypothesis@&gt;(@The Lottery Ticket Hypothesis at Scale@), including its implications for AI alignment.")</f>
        <v>This post summarizes work on the &lt;@lottery ticket hypothesis@&gt;(@The Lottery Ticket Hypothesis at Scale@), including its implications for AI alignment.</v>
      </c>
    </row>
    <row r="388">
      <c r="A388" t="str">
        <f>IFERROR(__xludf.DUMMYFUNCTION("""COMPUTED_VALUE"""),"Deep learning")</f>
        <v>Deep learning</v>
      </c>
      <c r="B388" t="str">
        <f>IFERROR(__xludf.DUMMYFUNCTION("""COMPUTED_VALUE"""),"")</f>
        <v/>
      </c>
      <c r="C388" s="3" t="str">
        <f>IFERROR(__xludf.DUMMYFUNCTION("""COMPUTED_VALUE"""),"Muppet: Massive Multi-task Representations with Pre-Finetuning")</f>
        <v>Muppet: Massive Multi-task Representations with Pre-Finetuning</v>
      </c>
      <c r="D388" t="str">
        <f>IFERROR(__xludf.DUMMYFUNCTION("""COMPUTED_VALUE"""),"Armen Aghajanyan, Anchit Gupta, Akshat Shrivastava, Xilun Chen, Luke Zettlemoyer, Sonal Gupta")</f>
        <v>Armen Aghajanyan, Anchit Gupta, Akshat Shrivastava, Xilun Chen, Luke Zettlemoyer, Sonal Gupta</v>
      </c>
      <c r="E388" t="str">
        <f>IFERROR(__xludf.DUMMYFUNCTION("""COMPUTED_VALUE"""),"arXiv")</f>
        <v>arXiv</v>
      </c>
      <c r="F388">
        <f>IFERROR(__xludf.DUMMYFUNCTION("""COMPUTED_VALUE"""),2021.0)</f>
        <v>2021</v>
      </c>
      <c r="H388" s="3" t="str">
        <f>IFERROR(__xludf.DUMMYFUNCTION("""COMPUTED_VALUE"""),"AN #150")</f>
        <v>AN #150</v>
      </c>
      <c r="I388" t="str">
        <f>IFERROR(__xludf.DUMMYFUNCTION("""COMPUTED_VALUE"""),"Rohin")</f>
        <v>Rohin</v>
      </c>
      <c r="J388" t="str">
        <f>IFERROR(__xludf.DUMMYFUNCTION("""COMPUTED_VALUE"""),"This paper proposes pre-finetuning: given a language model pretrained on a large dataset, we do a second stage where we train the model to solve a large variety of tasks (around 50 in this paper), and only after that do we finetune the model on our actual"&amp;" task of interest. The authors show that this leads to improved results, especially on tasks where we only have limited data.")</f>
        <v>This paper proposes pre-finetuning: given a language model pretrained on a large dataset, we do a second stage where we train the model to solve a large variety of tasks (around 50 in this paper), and only after that do we finetune the model on our actual task of interest. The authors show that this leads to improved results, especially on tasks where we only have limited data.</v>
      </c>
    </row>
    <row r="389">
      <c r="A389" t="str">
        <f>IFERROR(__xludf.DUMMYFUNCTION("""COMPUTED_VALUE"""),"Deep learning")</f>
        <v>Deep learning</v>
      </c>
      <c r="B389" t="str">
        <f>IFERROR(__xludf.DUMMYFUNCTION("""COMPUTED_VALUE"""),"")</f>
        <v/>
      </c>
      <c r="C389" s="3" t="str">
        <f>IFERROR(__xludf.DUMMYFUNCTION("""COMPUTED_VALUE"""),"Scaling Scaling Laws with Board Games")</f>
        <v>Scaling Scaling Laws with Board Games</v>
      </c>
      <c r="D389" t="str">
        <f>IFERROR(__xludf.DUMMYFUNCTION("""COMPUTED_VALUE"""),"Andrew L. Jones")</f>
        <v>Andrew L. Jones</v>
      </c>
      <c r="E389" t="str">
        <f>IFERROR(__xludf.DUMMYFUNCTION("""COMPUTED_VALUE"""),"arXiv")</f>
        <v>arXiv</v>
      </c>
      <c r="F389">
        <f>IFERROR(__xludf.DUMMYFUNCTION("""COMPUTED_VALUE"""),2021.0)</f>
        <v>2021</v>
      </c>
      <c r="H389" s="3" t="str">
        <f>IFERROR(__xludf.DUMMYFUNCTION("""COMPUTED_VALUE"""),"AN #149")</f>
        <v>AN #149</v>
      </c>
      <c r="I389" t="str">
        <f>IFERROR(__xludf.DUMMYFUNCTION("""COMPUTED_VALUE"""),"Rohin")</f>
        <v>Rohin</v>
      </c>
      <c r="J389" t="str">
        <f>IFERROR(__xludf.DUMMYFUNCTION("""COMPUTED_VALUE"""),"While we've seen &lt;@scaling laws@&gt;(@Scaling Laws for Neural Language Models@) for compute, data, and model size, we haven't yet seen scaling laws for the _problem size_. This paper studies this case using the board game Hex, in which difficulty can be incr"&amp;"eased by scaling up the size of the board. The author applies AlphaZero to a variety of different board sizes, model sizes, RL samples, etc and finds that performance tends to be a logistic function of compute / samples used. The function can be character"&amp;"ized as follows:
1. Slope: In the linearly-increasing regime, you will need about 2× as much compute as your opponent to beat them 2/3 of the time.
2) Perfect play: The minimum compute needed for perfect play increases 7× for each increment in board size"&amp;".
3) Takeoff: The minimum training compute needed to see any improvement over random play increases by 4× for each increment of board size.
These curves fit the data quite well. If the curves are fit to data from small board sizes and then used to predic"&amp;"t results for large board sizes, their error is small.
Recall that AlphaZero uses MCTS to amplify the neural net policy. The depth of this MCTS determines how much compute is spent on each decision, both at training time and test time. The author finds t"&amp;"hat a 10x increase in training-time compute allows you to eliminate about 15x of test-time compute while maintaining similar performance.")</f>
        <v>While we've seen &lt;@scaling laws@&gt;(@Scaling Laws for Neural Language Models@) for compute, data, and model size, we haven't yet seen scaling laws for the _problem size_. This paper studies this case using the board game Hex, in which difficulty can be increased by scaling up the size of the board. The author applies AlphaZero to a variety of different board sizes, model sizes, RL samples, etc and finds that performance tends to be a logistic function of compute / samples used. The function can be characterized as follows:
1. Slope: In the linearly-increasing regime, you will need about 2× as much compute as your opponent to beat them 2/3 of the time.
2) Perfect play: The minimum compute needed for perfect play increases 7× for each increment in board size.
3) Takeoff: The minimum training compute needed to see any improvement over random play increases by 4× for each increment of board size.
These curves fit the data quite well. If the curves are fit to data from small board sizes and then used to predict results for large board sizes, their error is small.
Recall that AlphaZero uses MCTS to amplify the neural net policy. The depth of this MCTS determines how much compute is spent on each decision, both at training time and test time. The author finds that a 10x increase in training-time compute allows you to eliminate about 15x of test-time compute while maintaining similar performance.</v>
      </c>
    </row>
    <row r="390">
      <c r="A390" t="str">
        <f>IFERROR(__xludf.DUMMYFUNCTION("""COMPUTED_VALUE"""),"Deep learning")</f>
        <v>Deep learning</v>
      </c>
      <c r="B390" t="str">
        <f>IFERROR(__xludf.DUMMYFUNCTION("""COMPUTED_VALUE"""),"")</f>
        <v/>
      </c>
      <c r="C390" s="3" t="str">
        <f>IFERROR(__xludf.DUMMYFUNCTION("""COMPUTED_VALUE"""),"Branch Specialization")</f>
        <v>Branch Specialization</v>
      </c>
      <c r="D390" t="str">
        <f>IFERROR(__xludf.DUMMYFUNCTION("""COMPUTED_VALUE"""),"Chelsea Voss, Gabriel Goh, Nick Cammarata, Michael Petrov, Ludwig Schubert, Chris Olah")</f>
        <v>Chelsea Voss, Gabriel Goh, Nick Cammarata, Michael Petrov, Ludwig Schubert, Chris Olah</v>
      </c>
      <c r="E390" t="str">
        <f>IFERROR(__xludf.DUMMYFUNCTION("""COMPUTED_VALUE"""),"Distill")</f>
        <v>Distill</v>
      </c>
      <c r="F390">
        <f>IFERROR(__xludf.DUMMYFUNCTION("""COMPUTED_VALUE"""),2021.0)</f>
        <v>2021</v>
      </c>
      <c r="H390" s="3" t="str">
        <f>IFERROR(__xludf.DUMMYFUNCTION("""COMPUTED_VALUE"""),"AN #147")</f>
        <v>AN #147</v>
      </c>
      <c r="I390" t="str">
        <f>IFERROR(__xludf.DUMMYFUNCTION("""COMPUTED_VALUE"""),"Rohin")</f>
        <v>Rohin</v>
      </c>
      <c r="J390" t="str">
        <f>IFERROR(__xludf.DUMMYFUNCTION("""COMPUTED_VALUE"""),"Neural network architectures sometimes have different “branches”, where later features can depend on earlier features _within the same branch_, but cannot depend on features in parallel branches. This post presents evidence showing that in these architect"&amp;"ures, branches often tend to specialize in particular types of features. For example:
1. The first two layers in AlexNet are split into two branches. In one branch, the first layer tends to learn black and white Gabor filters, while in the other branch, "&amp;"the first layer tends to learn low-frequency color detectors. This persists across retraining, or even training on a different dataset of natural images, such as Places (rather than ImageNet).
2. All 9 of the black and white vs. color detectors in mixed3a"&amp;" are in mixed3a_5x5 (p &lt; 1e-8). All 30 of the curve-related features in mixed3b are in mixed3b_5x5 (p &lt; 1e-20). There are confounds here, but also good reasons to expect that it is in fact branch specialization.
Given that branch specialization seems to "&amp;"be robust and consistent even across datasets, a natural hypothesis is that it is reflecting a structure that already exists. Even if you didn’t have branching, it seems likely that the model would still learn very similar neurons, and it seems plausible "&amp;"that e.g. the weights connecting the first-layer black-and-white Gabor filters to the second-layer color detectors are effectively zero. With branching, you learn the same features in such a way that all the weights that previously were effectively zero n"&amp;"ow don’t exist because they would be crossing branches. This would look like having the Gabor filters in one branch and the color detectors in the other branch.")</f>
        <v>Neural network architectures sometimes have different “branches”, where later features can depend on earlier features _within the same branch_, but cannot depend on features in parallel branches. This post presents evidence showing that in these architectures, branches often tend to specialize in particular types of features. For example:
1. The first two layers in AlexNet are split into two branches. In one branch, the first layer tends to learn black and white Gabor filters, while in the other branch, the first layer tends to learn low-frequency color detectors. This persists across retraining, or even training on a different dataset of natural images, such as Places (rather than ImageNet).
2. All 9 of the black and white vs. color detectors in mixed3a are in mixed3a_5x5 (p &lt; 1e-8). All 30 of the curve-related features in mixed3b are in mixed3b_5x5 (p &lt; 1e-20). There are confounds here, but also good reasons to expect that it is in fact branch specialization.
Given that branch specialization seems to be robust and consistent even across datasets, a natural hypothesis is that it is reflecting a structure that already exists. Even if you didn’t have branching, it seems likely that the model would still learn very similar neurons, and it seems plausible that e.g. the weights connecting the first-layer black-and-white Gabor filters to the second-layer color detectors are effectively zero. With branching, you learn the same features in such a way that all the weights that previously were effectively zero now don’t exist because they would be crossing branches. This would look like having the Gabor filters in one branch and the color detectors in the other branch.</v>
      </c>
      <c r="K390" t="str">
        <f>IFERROR(__xludf.DUMMYFUNCTION("""COMPUTED_VALUE"""),"I find the hypothesis the authors propose quite compelling (and this is very similar to the hypothesis that neural networks tend to be modular, which we discuss more below). Partly, this is because it has a common-sense explanation: when designing an orga"&amp;"nization, you want to put related functions in the same group to minimize the communication across groups. Here, the full network is the organization, the branches are an explicit constraint on communication, and so you want to put related functions in th"&amp;"e same branch.
At the end of the article, the authors also suggest that there could be a connection with the way that different regions of the brain are specialized to particular tasks. I’ll go further than the authors in my speculation: it seems plausib"&amp;"le to me that this specialization is simply the result of the brain’s learning algorithm reflecting the structure of the world through specialization. (Though it seems likely that the different areas of the brain must at least have different “architecture"&amp;"s”, in order for the same tasks to be routed to the same brain regions across humans.) But the case of AlexNet demonstrates that in theory, the only thing you need for specialization to arise is a restriction on the communication between one part of the a"&amp;"rchitecture and the other.")</f>
        <v>I find the hypothesis the authors propose quite compelling (and this is very similar to the hypothesis that neural networks tend to be modular, which we discuss more below). Partly, this is because it has a common-sense explanation: when designing an organization, you want to put related functions in the same group to minimize the communication across groups. Here, the full network is the organization, the branches are an explicit constraint on communication, and so you want to put related functions in the same branch.
At the end of the article, the authors also suggest that there could be a connection with the way that different regions of the brain are specialized to particular tasks. I’ll go further than the authors in my speculation: it seems plausible to me that this specialization is simply the result of the brain’s learning algorithm reflecting the structure of the world through specialization. (Though it seems likely that the different areas of the brain must at least have different “architectures”, in order for the same tasks to be routed to the same brain regions across humans.) But the case of AlexNet demonstrates that in theory, the only thing you need for specialization to arise is a restriction on the communication between one part of the architecture and the other.</v>
      </c>
    </row>
    <row r="391">
      <c r="A391" t="str">
        <f>IFERROR(__xludf.DUMMYFUNCTION("""COMPUTED_VALUE"""),"Deep learning")</f>
        <v>Deep learning</v>
      </c>
      <c r="B391" t="str">
        <f>IFERROR(__xludf.DUMMYFUNCTION("""COMPUTED_VALUE"""),"")</f>
        <v/>
      </c>
      <c r="C391" s="3" t="str">
        <f>IFERROR(__xludf.DUMMYFUNCTION("""COMPUTED_VALUE"""),"Multimodal Neurons in Artificial Neural Networks")</f>
        <v>Multimodal Neurons in Artificial Neural Networks</v>
      </c>
      <c r="D391" t="str">
        <f>IFERROR(__xludf.DUMMYFUNCTION("""COMPUTED_VALUE"""),"Gabriel Goh, Nick Cammarata, Chelsea Voss, Shan Carter, Michael Petrov, Ludwig Schubert, Alec Radford, Chris Olah")</f>
        <v>Gabriel Goh, Nick Cammarata, Chelsea Voss, Shan Carter, Michael Petrov, Ludwig Schubert, Alec Radford, Chris Olah</v>
      </c>
      <c r="E391" t="str">
        <f>IFERROR(__xludf.DUMMYFUNCTION("""COMPUTED_VALUE"""),"Distill")</f>
        <v>Distill</v>
      </c>
      <c r="F391">
        <f>IFERROR(__xludf.DUMMYFUNCTION("""COMPUTED_VALUE"""),2021.0)</f>
        <v>2021</v>
      </c>
      <c r="H391" s="3" t="str">
        <f>IFERROR(__xludf.DUMMYFUNCTION("""COMPUTED_VALUE"""),"AN #142")</f>
        <v>AN #142</v>
      </c>
      <c r="I391" t="str">
        <f>IFERROR(__xludf.DUMMYFUNCTION("""COMPUTED_VALUE"""),"Rohin")</f>
        <v>Rohin</v>
      </c>
      <c r="J391" t="str">
        <f>IFERROR(__xludf.DUMMYFUNCTION("""COMPUTED_VALUE"""),"[CLIP](https://openai.com/blog/clip/) is a large model that was trained to learn a separate embedding for images and text, such that the embedding for an image is maximally similar to the embedding for its caption. This paper uses feature visualization an"&amp;"d dataset examples to analyze the vision side of the model, and shows that there are many _multimodal_ neurons. For example, there is a Spiderman neuron that responds not just to pictures of Spiderman, but also to sketches of Spiderman, and even the word "&amp;"“spider” (written in the image, not the caption). The neurons are quite sophisticated, activating not just on instances of the concept, but also things that are _related_ to the concept. For example, the Spiderman neuron is also activated by images of oth"&amp;"er heroes and villains from the Spiderman movies and comics. There are lots of other neurons that I won’t go into, such as neurons for famous people, regions, facial emotions, religions, holidays, abstract concepts, numbers, and text.
Unsurprisingly, man"&amp;"y of these neurons encode stereotypes that we might consider problematic: for example, there is an immigration neuron that responds to Latin America, and a terrorism neuron that responds to the Middle East.
The concepts learned by CLIP also have some not"&amp;"ion of hierarchy and abstraction. In particular, the authors find that when they train a sparse linear classifier on top of the CLIP features, the resulting classifier has a “hierarchy” that very approximately matches the hierarchy used to organize the Im"&amp;"ageNet classes in the first place -- despite the fact that CLIP was never trained on ImageNet at all. (I’m not sure how approximate this match is.)
As mentioned before, the neurons can respond to text in the image, and in a few cases they can even respon"&amp;"d to text in different languages. For example, a “positivity” neuron responds to images of English “Thank You”, French “Merci”, German “Danke”, and Spanish “Gracias”. The fact that the model is so responsive to text in images means that it is actually ver"&amp;"y easy to influence its behavior. If we take an apple (originally correctly classified as a Granny Smith) and tape on a piece of paper with the word “iPod” written on it, it will now be classified as an iPod with near certainty. This constitutes a new and"&amp;" very easy to execute “typographic” adversarial attack.
However, not everything that CLIP is capable of can be explained with our current interpretability techniques. For example, CLIP is often able to tell whether an image is from San Francisco (and som"&amp;"etimes even what region within San Francisco), but the authors were not able to find a San Francisco neuron, nor did it look like there was a computation like “California + city”.")</f>
        <v>[CLIP](https://openai.com/blog/clip/) is a large model that was trained to learn a separate embedding for images and text, such that the embedding for an image is maximally similar to the embedding for its caption. This paper uses feature visualization and dataset examples to analyze the vision side of the model, and shows that there are many _multimodal_ neurons. For example, there is a Spiderman neuron that responds not just to pictures of Spiderman, but also to sketches of Spiderman, and even the word “spider” (written in the image, not the caption). The neurons are quite sophisticated, activating not just on instances of the concept, but also things that are _related_ to the concept. For example, the Spiderman neuron is also activated by images of other heroes and villains from the Spiderman movies and comics. There are lots of other neurons that I won’t go into, such as neurons for famous people, regions, facial emotions, religions, holidays, abstract concepts, numbers, and text.
Unsurprisingly, many of these neurons encode stereotypes that we might consider problematic: for example, there is an immigration neuron that responds to Latin America, and a terrorism neuron that responds to the Middle East.
The concepts learned by CLIP also have some notion of hierarchy and abstraction. In particular, the authors find that when they train a sparse linear classifier on top of the CLIP features, the resulting classifier has a “hierarchy” that very approximately matches the hierarchy used to organize the ImageNet classes in the first place -- despite the fact that CLIP was never trained on ImageNet at all. (I’m not sure how approximate this match is.)
As mentioned before, the neurons can respond to text in the image, and in a few cases they can even respond to text in different languages. For example, a “positivity” neuron responds to images of English “Thank You”, French “Merci”, German “Danke”, and Spanish “Gracias”. The fact that the model is so responsive to text in images means that it is actually very easy to influence its behavior. If we take an apple (originally correctly classified as a Granny Smith) and tape on a piece of paper with the word “iPod” written on it, it will now be classified as an iPod with near certainty. This constitutes a new and very easy to execute “typographic” adversarial attack.
However, not everything that CLIP is capable of can be explained with our current interpretability techniques. For example, CLIP is often able to tell whether an image is from San Francisco (and sometimes even what region within San Francisco), but the authors were not able to find a San Francisco neuron, nor did it look like there was a computation like “California + city”.</v>
      </c>
      <c r="K391" t="str">
        <f>IFERROR(__xludf.DUMMYFUNCTION("""COMPUTED_VALUE"""),"The “typographic adversarial attack” is interesting as a phenomenon that happens, but I’m not that happy about the phrasing -- it suggests that CLIP is dumb and making an elementary mistake. It’s worth noting here that what’s happening is that CLIP is bei"&amp;"ng asked to look at an image of a Granny Smith apple with a piece of paper saying “iPod” on it, and then to complete the caption “an image of ???” (or some other similar zero-shot prompt). It is quite possible that CLIP “knows” that the image contains a G"&amp;"ranny Smith apple with a piece of paper saying “iPod”, but when asked to complete the caption with a single class from the ImageNet classes, it ends up choosing “iPod” instead of “Granny Smith”. I’d caution against saying things like “CLIP thinks it is lo"&amp;"oking at an iPod”; this seems like too strong a claim given the evidence that we have right now.")</f>
        <v>The “typographic adversarial attack” is interesting as a phenomenon that happens, but I’m not that happy about the phrasing -- it suggests that CLIP is dumb and making an elementary mistake. It’s worth noting here that what’s happening is that CLIP is being asked to look at an image of a Granny Smith apple with a piece of paper saying “iPod” on it, and then to complete the caption “an image of ???” (or some other similar zero-shot prompt). It is quite possible that CLIP “knows” that the image contains a Granny Smith apple with a piece of paper saying “iPod”, but when asked to complete the caption with a single class from the ImageNet classes, it ends up choosing “iPod” instead of “Granny Smith”. I’d caution against saying things like “CLIP thinks it is looking at an iPod”; this seems like too strong a claim given the evidence that we have right now.</v>
      </c>
      <c r="M391" s="3" t="str">
        <f>IFERROR(__xludf.DUMMYFUNCTION("""COMPUTED_VALUE"""),"Distill paper")</f>
        <v>Distill paper</v>
      </c>
    </row>
    <row r="392">
      <c r="A392" t="str">
        <f>IFERROR(__xludf.DUMMYFUNCTION("""COMPUTED_VALUE"""),"Deep learning")</f>
        <v>Deep learning</v>
      </c>
      <c r="B392" t="str">
        <f>IFERROR(__xludf.DUMMYFUNCTION("""COMPUTED_VALUE"""),"")</f>
        <v/>
      </c>
      <c r="C392" s="3" t="str">
        <f>IFERROR(__xludf.DUMMYFUNCTION("""COMPUTED_VALUE"""),"Learning Curve Theory")</f>
        <v>Learning Curve Theory</v>
      </c>
      <c r="D392" t="str">
        <f>IFERROR(__xludf.DUMMYFUNCTION("""COMPUTED_VALUE"""),"Marcus Hutter")</f>
        <v>Marcus Hutter</v>
      </c>
      <c r="E392" t="str">
        <f>IFERROR(__xludf.DUMMYFUNCTION("""COMPUTED_VALUE"""),"arXiv")</f>
        <v>arXiv</v>
      </c>
      <c r="F392">
        <f>IFERROR(__xludf.DUMMYFUNCTION("""COMPUTED_VALUE"""),2021.0)</f>
        <v>2021</v>
      </c>
      <c r="H392" s="3" t="str">
        <f>IFERROR(__xludf.DUMMYFUNCTION("""COMPUTED_VALUE"""),"AN #141")</f>
        <v>AN #141</v>
      </c>
      <c r="I392" t="str">
        <f>IFERROR(__xludf.DUMMYFUNCTION("""COMPUTED_VALUE"""),"Rohin")</f>
        <v>Rohin</v>
      </c>
      <c r="J392" t="str">
        <f>IFERROR(__xludf.DUMMYFUNCTION("""COMPUTED_VALUE"""),"Like [last week’s highlight](https://arxiv.org/abs/2102.06701) ([AN #140](https://mailchi.mp/229fd666e06b/an-140-theoretical-models-that-predict-scaling-laws)), this paper proposes a theoretical model that could predict empirically observable scaling laws"&amp;". The author considers a very simple online learning model, in which we are given a feature vector and must classify it into one of two categories. We’ll also consider a very simple tabular algorithm that just memorizes the classifications of all previous"&amp;"ly seen vectors and spits out the correct classification if it has been seen before, and otherwise says “I don’t know”. How does the error incurred by this algorithm scale with data size?
The answer of course depends on the data distribution -- if we alw"&amp;"ays see the same feature vector, then we never make an error after the first timestep, whereas if the vector is chosen uniformly at random, we’ll always have maximal error. The author analyzes several possible data distributions in between these extremes."&amp;"
The most interesting case is when the data is drawn from a Zipf distribution. In this case, when you order the feature vectors from most to least likely, the nth vector has probability proportional to n^(-(α+1)). Then we see a power law for the scaling,"&amp;" n^(-β), where β = α / (α+1). This could explain the scaling laws observed in the wild.")</f>
        <v>Like [last week’s highlight](https://arxiv.org/abs/2102.06701) ([AN #140](https://mailchi.mp/229fd666e06b/an-140-theoretical-models-that-predict-scaling-laws)), this paper proposes a theoretical model that could predict empirically observable scaling laws. The author considers a very simple online learning model, in which we are given a feature vector and must classify it into one of two categories. We’ll also consider a very simple tabular algorithm that just memorizes the classifications of all previously seen vectors and spits out the correct classification if it has been seen before, and otherwise says “I don’t know”. How does the error incurred by this algorithm scale with data size?
The answer of course depends on the data distribution -- if we always see the same feature vector, then we never make an error after the first timestep, whereas if the vector is chosen uniformly at random, we’ll always have maximal error. The author analyzes several possible data distributions in between these extremes.
The most interesting case is when the data is drawn from a Zipf distribution. In this case, when you order the feature vectors from most to least likely, the nth vector has probability proportional to n^(-(α+1)). Then we see a power law for the scaling, n^(-β), where β = α / (α+1). This could explain the scaling laws observed in the wild.</v>
      </c>
      <c r="K392" t="str">
        <f>IFERROR(__xludf.DUMMYFUNCTION("""COMPUTED_VALUE"""),"As with last week’s paper, I’m happy to see more work on understanding scaling laws. For this paper, the “assumption on reality” is in which data distribution we assume the data is drawn from. However, overall I feel less compelled by this paper than with"&amp;" the one from last week, for two reasons: First, it seems to me that using a tabular (memorization) algorithm is probably too coarse of a model; I would guess that there are facts about neural nets that are relevant to scaling that aren’t captured by tabu"&amp;"lar algorithms. Second, I prefer the assumption that the data are drawn from a low-dimensional manifold rather than that the data are drawn from some specific distribution like a Zipf distribution (or others discussed in the paper).")</f>
        <v>As with last week’s paper, I’m happy to see more work on understanding scaling laws. For this paper, the “assumption on reality” is in which data distribution we assume the data is drawn from. However, overall I feel less compelled by this paper than with the one from last week, for two reasons: First, it seems to me that using a tabular (memorization) algorithm is probably too coarse of a model; I would guess that there are facts about neural nets that are relevant to scaling that aren’t captured by tabular algorithms. Second, I prefer the assumption that the data are drawn from a low-dimensional manifold rather than that the data are drawn from some specific distribution like a Zipf distribution (or others discussed in the paper).</v>
      </c>
    </row>
    <row r="393">
      <c r="A393" t="str">
        <f>IFERROR(__xludf.DUMMYFUNCTION("""COMPUTED_VALUE"""),"Deep learning")</f>
        <v>Deep learning</v>
      </c>
      <c r="B393" t="str">
        <f>IFERROR(__xludf.DUMMYFUNCTION("""COMPUTED_VALUE"""),"")</f>
        <v/>
      </c>
      <c r="C393" s="3" t="str">
        <f>IFERROR(__xludf.DUMMYFUNCTION("""COMPUTED_VALUE"""),"AlphaFold: a solution to a 50-year-old grand challenge in biology")</f>
        <v>AlphaFold: a solution to a 50-year-old grand challenge in biology</v>
      </c>
      <c r="D393" t="str">
        <f>IFERROR(__xludf.DUMMYFUNCTION("""COMPUTED_VALUE"""),"The AlphaFold team, John Jumper, Richard Evans, Alexander Pritzel, Tim Green, Michael Figurnov, Kathryn Tunyasuvunakool, Olaf Ronneberger, Russ Bates, Augustin Žídek, Alex Bridgland, Clemens Meyer, Simon A A Kohl, Anna Potapenko, Andrew J Ballard, Andrew "&amp;"Cowie, Bernardino Romera-Paredes, Stanislav Nikolov, Rishub Jain, Jonas Adler, Trevor Back, Stig Petersen, David Reiman, Martin Steinegger, Michalina Pacholska, David Silver, Oriol Vinyals, Andrew W Senior, Koray Kavukcuoglu, Pushmeet Kohli, Demis Hassabi"&amp;"s")</f>
        <v>The AlphaFold team, John Jumper, Richard Evans, Alexander Pritzel, Tim Green, Michael Figurnov, Kathryn Tunyasuvunakool, Olaf Ronneberger, Russ Bates, Augustin Žídek, Alex Bridgland, Clemens Meyer, Simon A A Kohl, Anna Potapenko, Andrew J Ballard, Andrew Cowie, Bernardino Romera-Paredes, Stanislav Nikolov, Rishub Jain, Jonas Adler, Trevor Back, Stig Petersen, David Reiman, Martin Steinegger, Michalina Pacholska, David Silver, Oriol Vinyals, Andrew W Senior, Koray Kavukcuoglu, Pushmeet Kohli, Demis Hassabis</v>
      </c>
      <c r="E393" t="str">
        <f>IFERROR(__xludf.DUMMYFUNCTION("""COMPUTED_VALUE"""),"DeepMind Website")</f>
        <v>DeepMind Website</v>
      </c>
      <c r="F393">
        <f>IFERROR(__xludf.DUMMYFUNCTION("""COMPUTED_VALUE"""),2020.0)</f>
        <v>2020</v>
      </c>
      <c r="H393" s="3" t="str">
        <f>IFERROR(__xludf.DUMMYFUNCTION("""COMPUTED_VALUE"""),"AN #128")</f>
        <v>AN #128</v>
      </c>
      <c r="I393" t="str">
        <f>IFERROR(__xludf.DUMMYFUNCTION("""COMPUTED_VALUE"""),"Rohin")</f>
        <v>Rohin</v>
      </c>
      <c r="J393" t="str">
        <f>IFERROR(__xludf.DUMMYFUNCTION("""COMPUTED_VALUE"""),"The newest results from &lt;@AlphaFold@&gt;(@AlphaFold: Using AI for scientific discovery@) on the CASP-14 assessment give it a median score of 92.4 GDT across all targets, where a score of 90 is informally considered to be competitive with results obtained fro"&amp;"m experimental methods. The system also shows some signs of real-world usability: for example, it was used earlier this year to predict the structure of two COVID proteins, which were later borne out by experimental results (that took several months to ob"&amp;"tain, if I understand correctly).")</f>
        <v>The newest results from &lt;@AlphaFold@&gt;(@AlphaFold: Using AI for scientific discovery@) on the CASP-14 assessment give it a median score of 92.4 GDT across all targets, where a score of 90 is informally considered to be competitive with results obtained from experimental methods. The system also shows some signs of real-world usability: for example, it was used earlier this year to predict the structure of two COVID proteins, which were later borne out by experimental results (that took several months to obtain, if I understand correctly).</v>
      </c>
      <c r="K393" t="str">
        <f>IFERROR(__xludf.DUMMYFUNCTION("""COMPUTED_VALUE"""),"Obviously this is an astounding accomplishment for DeepMind (conflict of interest notice: I work at DeepMind). I feel like I should have some opinion on what this means for the future of AI systems, but unfortunately I think I don’t know enough about prot"&amp;"ein folding to have any interesting takes.
From an outside view perspective, it seems like this is an example of deep learning crushing a task that a) humans put a lot of effort into and b) humans weren’t evolutionarily designed for. This is exactly what"&amp;" we saw with Go, Dota and StarCraft, and so this isn’t much of an update for me. Yes, this is a case of it being used in a real-world problem rather than a synthetic game, but that doesn’t seem particularly relevant.
**Asya's opinion:** I think this is p"&amp;"articularly interesting because this model is closer to being a source of revenue than solutions to other problems. This makes me think machine learning research might actually solve enough important problems to pay for itself in the near future.")</f>
        <v>Obviously this is an astounding accomplishment for DeepMind (conflict of interest notice: I work at DeepMind). I feel like I should have some opinion on what this means for the future of AI systems, but unfortunately I think I don’t know enough about protein folding to have any interesting takes.
From an outside view perspective, it seems like this is an example of deep learning crushing a task that a) humans put a lot of effort into and b) humans weren’t evolutionarily designed for. This is exactly what we saw with Go, Dota and StarCraft, and so this isn’t much of an update for me. Yes, this is a case of it being used in a real-world problem rather than a synthetic game, but that doesn’t seem particularly relevant.
**Asya's opinion:** I think this is particularly interesting because this model is closer to being a source of revenue than solutions to other problems. This makes me think machine learning research might actually solve enough important problems to pay for itself in the near future.</v>
      </c>
    </row>
    <row r="394">
      <c r="A394" t="str">
        <f>IFERROR(__xludf.DUMMYFUNCTION("""COMPUTED_VALUE"""),"Deep learning")</f>
        <v>Deep learning</v>
      </c>
      <c r="B394" t="str">
        <f>IFERROR(__xludf.DUMMYFUNCTION("""COMPUTED_VALUE"""),"")</f>
        <v/>
      </c>
      <c r="C394" s="3" t="str">
        <f>IFERROR(__xludf.DUMMYFUNCTION("""COMPUTED_VALUE"""),"Gradient Descent: The Ultimate Optimizer")</f>
        <v>Gradient Descent: The Ultimate Optimizer</v>
      </c>
      <c r="D394" t="str">
        <f>IFERROR(__xludf.DUMMYFUNCTION("""COMPUTED_VALUE"""),"Kartik Chandra, Erik Meijer, Samantha Andow, Emilio Arroyo-Fang, Irene Dea, Johann George, Melissa Grueter, Basil Hosmer, Steffi Stumpos, Alanna Tempest, Shannon Yang")</f>
        <v>Kartik Chandra, Erik Meijer, Samantha Andow, Emilio Arroyo-Fang, Irene Dea, Johann George, Melissa Grueter, Basil Hosmer, Steffi Stumpos, Alanna Tempest, Shannon Yang</v>
      </c>
      <c r="E394" t="str">
        <f>IFERROR(__xludf.DUMMYFUNCTION("""COMPUTED_VALUE"""),"arXiv")</f>
        <v>arXiv</v>
      </c>
      <c r="F394">
        <f>IFERROR(__xludf.DUMMYFUNCTION("""COMPUTED_VALUE"""),2020.0)</f>
        <v>2020</v>
      </c>
      <c r="H394" s="3" t="str">
        <f>IFERROR(__xludf.DUMMYFUNCTION("""COMPUTED_VALUE"""),"AN #124")</f>
        <v>AN #124</v>
      </c>
      <c r="I394" t="str">
        <f>IFERROR(__xludf.DUMMYFUNCTION("""COMPUTED_VALUE"""),"Rohin")</f>
        <v>Rohin</v>
      </c>
      <c r="J394" t="str">
        <f>IFERROR(__xludf.DUMMYFUNCTION("""COMPUTED_VALUE"""),"Hyperparameter tuning is an important and tedious step for most applications of machine learning. Often this can cause a project to take significantly longer, as you need to have multiple training runs with different hyperparameters in order to identify w"&amp;"hich ones work best. How can we do better?
This paper shows that in some cases, you can make the computation involving your hyperparameters differentiable, such that they too can be optimized using gradient descent _during the actual training run_. They "&amp;"show this for SGD and Adam (where for Adam they optimize all four hyperparameters, not just the learning rate). Since these hyperparameters are then optimized using another instantiation of gradient descent, that new instantiation also has its own hyperpa"&amp;"rameters that can once again be optimized. They show how to build an arbitrarily high “stack” of hyperparameter optimizers.
In practice, building a stack of just 3 or 4 such optimizers makes it very robust to the initial choice of parameters by a human, "&amp;"while only increasing the cost of training by less than 2x.")</f>
        <v>Hyperparameter tuning is an important and tedious step for most applications of machine learning. Often this can cause a project to take significantly longer, as you need to have multiple training runs with different hyperparameters in order to identify which ones work best. How can we do better?
This paper shows that in some cases, you can make the computation involving your hyperparameters differentiable, such that they too can be optimized using gradient descent _during the actual training run_. They show this for SGD and Adam (where for Adam they optimize all four hyperparameters, not just the learning rate). Since these hyperparameters are then optimized using another instantiation of gradient descent, that new instantiation also has its own hyperparameters that can once again be optimized. They show how to build an arbitrarily high “stack” of hyperparameter optimizers.
In practice, building a stack of just 3 or 4 such optimizers makes it very robust to the initial choice of parameters by a human, while only increasing the cost of training by less than 2x.</v>
      </c>
      <c r="K394" t="str">
        <f>IFERROR(__xludf.DUMMYFUNCTION("""COMPUTED_VALUE"""),"Fast hyperparameter tuning is a pretty important aspect of models. I particularly like [population-based training](https://deepmind.com/blog/article/population-based-training-neural-networks) for this purpose, because it doesn’t require your computation t"&amp;"o be differentiable. However, when you can make your computation differentiable, this method is probably significantly more efficient (and perhaps also more performant).")</f>
        <v>Fast hyperparameter tuning is a pretty important aspect of models. I particularly like [population-based training](https://deepmind.com/blog/article/population-based-training-neural-networks) for this purpose, because it doesn’t require your computation to be differentiable. However, when you can make your computation differentiable, this method is probably significantly more efficient (and perhaps also more performant).</v>
      </c>
    </row>
    <row r="395">
      <c r="A395" t="str">
        <f>IFERROR(__xludf.DUMMYFUNCTION("""COMPUTED_VALUE"""),"Deep learning")</f>
        <v>Deep learning</v>
      </c>
      <c r="B395" t="str">
        <f>IFERROR(__xludf.DUMMYFUNCTION("""COMPUTED_VALUE"""),"")</f>
        <v/>
      </c>
      <c r="C395" s="3" t="str">
        <f>IFERROR(__xludf.DUMMYFUNCTION("""COMPUTED_VALUE"""),"GShard: Scaling Giant Models with Conditional Computation and Automatic Sharding")</f>
        <v>GShard: Scaling Giant Models with Conditional Computation and Automatic Sharding</v>
      </c>
      <c r="D395" t="str">
        <f>IFERROR(__xludf.DUMMYFUNCTION("""COMPUTED_VALUE"""),"Dmitry Lepikhin, HyoukJoong Lee, Yuanzhong Xu, Dehao Chen, Orhan Firat, Yanping Huang, Maxim Krikun, Noam Shazeer, Zhifeng Chen")</f>
        <v>Dmitry Lepikhin, HyoukJoong Lee, Yuanzhong Xu, Dehao Chen, Orhan Firat, Yanping Huang, Maxim Krikun, Noam Shazeer, Zhifeng Chen</v>
      </c>
      <c r="E395" t="str">
        <f>IFERROR(__xludf.DUMMYFUNCTION("""COMPUTED_VALUE"""),"arXiv")</f>
        <v>arXiv</v>
      </c>
      <c r="F395">
        <f>IFERROR(__xludf.DUMMYFUNCTION("""COMPUTED_VALUE"""),2020.0)</f>
        <v>2020</v>
      </c>
      <c r="H395" s="3" t="str">
        <f>IFERROR(__xludf.DUMMYFUNCTION("""COMPUTED_VALUE"""),"AN #108")</f>
        <v>AN #108</v>
      </c>
      <c r="I395" t="str">
        <f>IFERROR(__xludf.DUMMYFUNCTION("""COMPUTED_VALUE"""),"Asya")</f>
        <v>Asya</v>
      </c>
      <c r="J395" t="str">
        <f>IFERROR(__xludf.DUMMYFUNCTION("""COMPUTED_VALUE"""),"This paper introduces GShard, a module that makes it easy to write parallel computation patterns with minimal changes to existing model code. GShard automatically does a lot of the work of splitting computations across machines, enabling the easy creation"&amp;" of much larger models than before.
The authors use GShard to train a 600 billion parameter multilingual Transformer translation model that's wide, rather than deep (36 layers). They use a ""mixture of experts"" model where some of the individual feed-fo"&amp;"rward networks in the Transformer are replaced with a set of feed-forward networks-- each one an ""expert"" in some part of the translation. The experts are distributed across different machines, and the function for sending inputs to experts is learned, "&amp;"with each input being sent to the top two most relevant experts. Since each expert only has to process a fraction of all the inputs, the amount of computation needed is dramatically less than if every input were fed through a single, larger network. This "&amp;"decrease in needed computation comes with a decrease in the amount of weight sharing done by the network.
The paper compares the 600 billion parameter model's performance to several other smaller models as well as a 96-layer deep model with only 2.3 bill"&amp;"ion parameters. For the wide networks, the authors find that in general, larger models do better, but that at some point the larger model starts doing worse for very ""low-resource"" languages-- languages that don't have much training data available. The "&amp;"authors argue that this is because the low-resource languages benefit from ""positive language transfer"", an effect where weights encode knowledge learned from training on other languages that can then be applied to the low-resource ones. As you increase"&amp;" the number of experts in the wide model past a certain point, the amount of training that each expert does decreases, so there's less positive language transfer to low-resource languages within each expert.
They also find that deeper networks are more s"&amp;"ample efficient, reaching better test error with the same amount of training examples, but are less computationally efficient (given current constraints). The 600 billion parameter, 36-layer model takes 22.4 TPU core years and 4 days to train, reaching a "&amp;"score on the BLEU benchmark of 44.3. The 2.3 billion parameter, 96-layer model takes 235 TPU core years and 42 days to train, reaching a score on the BLEU benchmark of 36.9.")</f>
        <v>This paper introduces GShard, a module that makes it easy to write parallel computation patterns with minimal changes to existing model code. GShard automatically does a lot of the work of splitting computations across machines, enabling the easy creation of much larger models than before.
The authors use GShard to train a 600 billion parameter multilingual Transformer translation model that's wide, rather than deep (36 layers). They use a "mixture of experts" model where some of the individual feed-forward networks in the Transformer are replaced with a set of feed-forward networks-- each one an "expert" in some part of the translation. The experts are distributed across different machines, and the function for sending inputs to experts is learned, with each input being sent to the top two most relevant experts. Since each expert only has to process a fraction of all the inputs, the amount of computation needed is dramatically less than if every input were fed through a single, larger network. This decrease in needed computation comes with a decrease in the amount of weight sharing done by the network.
The paper compares the 600 billion parameter model's performance to several other smaller models as well as a 96-layer deep model with only 2.3 billion parameters. For the wide networks, the authors find that in general, larger models do better, but that at some point the larger model starts doing worse for very "low-resource" languages-- languages that don't have much training data available. The authors argue that this is because the low-resource languages benefit from "positive language transfer", an effect where weights encode knowledge learned from training on other languages that can then be applied to the low-resource ones. As you increase the number of experts in the wide model past a certain point, the amount of training that each expert does decreases, so there's less positive language transfer to low-resource languages within each expert.
They also find that deeper networks are more sample efficient, reaching better test error with the same amount of training examples, but are less computationally efficient (given current constraints). The 600 billion parameter, 36-layer model takes 22.4 TPU core years and 4 days to train, reaching a score on the BLEU benchmark of 44.3. The 2.3 billion parameter, 96-layer model takes 235 TPU core years and 42 days to train, reaching a score on the BLEU benchmark of 36.9.</v>
      </c>
      <c r="K395" t="str">
        <f>IFERROR(__xludf.DUMMYFUNCTION("""COMPUTED_VALUE"""),"I spent most of the summary talking about the language model, but I think it's likely that the cooler thing is in fact GShard, as it will enable other very large models to do model parallelization in the future.
The improved efficiency for wide models he"&amp;"re seems like it may go away as we become able to train even deeper models that are extremely general and so much more sample efficient than wide models.
This model technically has more parameters than GPT-3, but it’s “sparse” in that not all the inputs "&amp;"are used to update all the parameters. Sometimes people compare the number of parameters in a neural network to the number of synapses in the human brain to guess at when we're likely to get human-level AI. I find using this number directly to be pretty d"&amp;"ubious, partially because, as this paper illustrates, the exact architecture of a system has a big influence on the effective power of each parameter, even within the relatively narrow domain of artificial neural networks.")</f>
        <v>I spent most of the summary talking about the language model, but I think it's likely that the cooler thing is in fact GShard, as it will enable other very large models to do model parallelization in the future.
The improved efficiency for wide models here seems like it may go away as we become able to train even deeper models that are extremely general and so much more sample efficient than wide models.
This model technically has more parameters than GPT-3, but it’s “sparse” in that not all the inputs are used to update all the parameters. Sometimes people compare the number of parameters in a neural network to the number of synapses in the human brain to guess at when we're likely to get human-level AI. I find using this number directly to be pretty dubious, partially because, as this paper illustrates, the exact architecture of a system has a big influence on the effective power of each parameter, even within the relatively narrow domain of artificial neural networks.</v>
      </c>
    </row>
    <row r="396">
      <c r="A396" t="str">
        <f>IFERROR(__xludf.DUMMYFUNCTION("""COMPUTED_VALUE"""),"Deep learning")</f>
        <v>Deep learning</v>
      </c>
      <c r="B396" t="str">
        <f>IFERROR(__xludf.DUMMYFUNCTION("""COMPUTED_VALUE"""),"")</f>
        <v/>
      </c>
      <c r="C396" s="3" t="str">
        <f>IFERROR(__xludf.DUMMYFUNCTION("""COMPUTED_VALUE"""),"Identifying Statistical Bias in Dataset Replication")</f>
        <v>Identifying Statistical Bias in Dataset Replication</v>
      </c>
      <c r="D396" t="str">
        <f>IFERROR(__xludf.DUMMYFUNCTION("""COMPUTED_VALUE"""),"Logan Engstrom, Andrew Ilyas, Aleksander Mądry, Shibani Santurkar, Jacob Steinhardt, Dimitris Tsipras")</f>
        <v>Logan Engstrom, Andrew Ilyas, Aleksander Mądry, Shibani Santurkar, Jacob Steinhardt, Dimitris Tsipras</v>
      </c>
      <c r="E396" t="str">
        <f>IFERROR(__xludf.DUMMYFUNCTION("""COMPUTED_VALUE"""),"Gradient Science")</f>
        <v>Gradient Science</v>
      </c>
      <c r="F396">
        <f>IFERROR(__xludf.DUMMYFUNCTION("""COMPUTED_VALUE"""),2020.0)</f>
        <v>2020</v>
      </c>
      <c r="H396" s="3" t="str">
        <f>IFERROR(__xludf.DUMMYFUNCTION("""COMPUTED_VALUE"""),"AN #103")</f>
        <v>AN #103</v>
      </c>
      <c r="I396" t="str">
        <f>IFERROR(__xludf.DUMMYFUNCTION("""COMPUTED_VALUE"""),"Flo")</f>
        <v>Flo</v>
      </c>
      <c r="J396" t="str">
        <f>IFERROR(__xludf.DUMMYFUNCTION("""COMPUTED_VALUE"""),"One way of dealing with finite and fixed test sets and the resulting possibility of overfitting on the test set is dataset replication, where one tries to closely mimic the original process of dataset creation to obtain a larger test set. This can lead to"&amp;" bias if the difficulty of the new test images is distributed differently than in the original test set. A previous attempt at [dataset replication on ImageNet](https://arxiv.org/abs/1902.10811) tried to get around this by measuring how often humans under"&amp;" time pressure correctly answered a yes/no question about an image's class (dubbed selection frequency), which can be seen as a proxy for classification difficulty. 
This data was then used to sample candidate images for every class which match the distr"&amp;"ibution of difficulty in the original test set. Still, all tested models performed worse on the replicated test set than on the original. Parts of this bias can be explained by noisy measurements combined with disparities in the initial distribution of di"&amp;"fficulty, which are likely as the original ImageNet data was prefiltered for quality. Basically, the more noisy our estimates for the difficulty are, the more the original distribution of difficulty matters. As an extreme example, imagine a class for whic"&amp;"h all images in the original test set have a selection frequency of 100%, but 90% of candidates in the new test set have a selection frequency of 50%, while only 10% are as easy to classify as the images in the original test set. Then, if we only use a si"&amp;"ngle human annotator, half of the difficult images in the candidate pool are indistinguishable from the easy ones, such that most images ending up in the new test set are more difficult to classify than the original ones, even after the adjustment.
The a"&amp;"uthors then replicate the ImageNet dataset replication with varying amounts of annotators and find that the gap in accuracy between the original and the new test set progressively shrinks with reduced noise from 11.7% with one annotator to 5.7% with 40. L"&amp;"astly, they discuss more sophisticated estimators for accuracy to further lower bias, which additionally decreases the accuracy gap down to around 3.5%.")</f>
        <v>One way of dealing with finite and fixed test sets and the resulting possibility of overfitting on the test set is dataset replication, where one tries to closely mimic the original process of dataset creation to obtain a larger test set. This can lead to bias if the difficulty of the new test images is distributed differently than in the original test set. A previous attempt at [dataset replication on ImageNet](https://arxiv.org/abs/1902.10811) tried to get around this by measuring how often humans under time pressure correctly answered a yes/no question about an image's class (dubbed selection frequency), which can be seen as a proxy for classification difficulty. 
This data was then used to sample candidate images for every class which match the distribution of difficulty in the original test set. Still, all tested models performed worse on the replicated test set than on the original. Parts of this bias can be explained by noisy measurements combined with disparities in the initial distribution of difficulty, which are likely as the original ImageNet data was prefiltered for quality. Basically, the more noisy our estimates for the difficulty are, the more the original distribution of difficulty matters. As an extreme example, imagine a class for which all images in the original test set have a selection frequency of 100%, but 90% of candidates in the new test set have a selection frequency of 50%, while only 10% are as easy to classify as the images in the original test set. Then, if we only use a single human annotator, half of the difficult images in the candidate pool are indistinguishable from the easy ones, such that most images ending up in the new test set are more difficult to classify than the original ones, even after the adjustment.
The authors then replicate the ImageNet dataset replication with varying amounts of annotators and find that the gap in accuracy between the original and the new test set progressively shrinks with reduced noise from 11.7% with one annotator to 5.7% with 40. Lastly, they discuss more sophisticated estimators for accuracy to further lower bias, which additionally decreases the accuracy gap down to around 3.5%.</v>
      </c>
      <c r="K396" t="str">
        <f>IFERROR(__xludf.DUMMYFUNCTION("""COMPUTED_VALUE"""),"This was a pretty interesting read and provides evidence against large effects of overfitting on the test set. On the other hand, results like this also seem to highlight how benchmarks are mostly useful for model comparison, and how nonrobust they can be"&amp;" to fairly benign distributional shift. ")</f>
        <v>This was a pretty interesting read and provides evidence against large effects of overfitting on the test set. On the other hand, results like this also seem to highlight how benchmarks are mostly useful for model comparison, and how nonrobust they can be to fairly benign distributional shift. </v>
      </c>
    </row>
    <row r="397">
      <c r="A397" t="str">
        <f>IFERROR(__xludf.DUMMYFUNCTION("""COMPUTED_VALUE"""),"Deep learning")</f>
        <v>Deep learning</v>
      </c>
      <c r="B397" t="str">
        <f>IFERROR(__xludf.DUMMYFUNCTION("""COMPUTED_VALUE"""),"")</f>
        <v/>
      </c>
      <c r="C397" s="3" t="str">
        <f>IFERROR(__xludf.DUMMYFUNCTION("""COMPUTED_VALUE"""),"More Efficient NLP Model Pre-training with ELECTRA")</f>
        <v>More Efficient NLP Model Pre-training with ELECTRA</v>
      </c>
      <c r="D397" t="str">
        <f>IFERROR(__xludf.DUMMYFUNCTION("""COMPUTED_VALUE"""),"Kevin Clark, Minh-Thang Luong, Quoc V. Le, Christopher D. Manning")</f>
        <v>Kevin Clark, Minh-Thang Luong, Quoc V. Le, Christopher D. Manning</v>
      </c>
      <c r="E397" t="str">
        <f>IFERROR(__xludf.DUMMYFUNCTION("""COMPUTED_VALUE"""),"ICLR 2020")</f>
        <v>ICLR 2020</v>
      </c>
      <c r="F397">
        <f>IFERROR(__xludf.DUMMYFUNCTION("""COMPUTED_VALUE"""),2020.0)</f>
        <v>2020</v>
      </c>
      <c r="H397" s="3" t="str">
        <f>IFERROR(__xludf.DUMMYFUNCTION("""COMPUTED_VALUE"""),"AN #102")</f>
        <v>AN #102</v>
      </c>
      <c r="I397" t="str">
        <f>IFERROR(__xludf.DUMMYFUNCTION("""COMPUTED_VALUE"""),"Flo")</f>
        <v>Flo</v>
      </c>
      <c r="J397" t="str">
        <f>IFERROR(__xludf.DUMMYFUNCTION("""COMPUTED_VALUE"""),"There are two main approaches to pretraining for NLP, language models (LMs) which iteratively predict the next word in a given incomplete sentence, and masked language models (MLMs), which predict the identities of a few masked words in an otherwise compl"&amp;"ete sentence. While not just looking at the previous words (bidirectionality) can be advantageous, MLMs only learn to predict the masked words, which reduces how much is learnt from a given sentence. 
The authors present an alternative approach, ELECTRA,"&amp;" that outperforms RoBERTa while requiring less than a third of the compute. This is achieved by changing the form of the pretraining task from predicting words to discriminating fake words: Instead of masking, some words are replaced by words generated by"&amp;" an MLM and the trained model has to classify these as fake. This way, we get bidirectionality, but also a more dense signal, as the model has to produce an output for every single word, not just the masked ones. While this looks similar to GANs, the gene"&amp;"rator is only trained on the usual MLM loss and is not incentivized to fool the discriminator, as GANs don't seem to work well on sequence data.")</f>
        <v>There are two main approaches to pretraining for NLP, language models (LMs) which iteratively predict the next word in a given incomplete sentence, and masked language models (MLMs), which predict the identities of a few masked words in an otherwise complete sentence. While not just looking at the previous words (bidirectionality) can be advantageous, MLMs only learn to predict the masked words, which reduces how much is learnt from a given sentence. 
The authors present an alternative approach, ELECTRA, that outperforms RoBERTa while requiring less than a third of the compute. This is achieved by changing the form of the pretraining task from predicting words to discriminating fake words: Instead of masking, some words are replaced by words generated by an MLM and the trained model has to classify these as fake. This way, we get bidirectionality, but also a more dense signal, as the model has to produce an output for every single word, not just the masked ones. While this looks similar to GANs, the generator is only trained on the usual MLM loss and is not incentivized to fool the discriminator, as GANs don't seem to work well on sequence data.</v>
      </c>
      <c r="K397" t="str">
        <f>IFERROR(__xludf.DUMMYFUNCTION("""COMPUTED_VALUE"""),"I found it a bit surprising that replacing word prediction with fake discrimination would help that much, but from the ablations, it seems like this is really mostly an instrument to get a loss signal for every single word, which is a cool idea. On a more"&amp;" zoomed-out perspective, results like this seem to show that gains in &lt;@algorithmic efficiency@&gt;(@AI and Efficiency@) are not fundamentally slowing down. ")</f>
        <v>I found it a bit surprising that replacing word prediction with fake discrimination would help that much, but from the ablations, it seems like this is really mostly an instrument to get a loss signal for every single word, which is a cool idea. On a more zoomed-out perspective, results like this seem to show that gains in &lt;@algorithmic efficiency@&gt;(@AI and Efficiency@) are not fundamentally slowing down. </v>
      </c>
      <c r="M397" s="3" t="str">
        <f>IFERROR(__xludf.DUMMYFUNCTION("""COMPUTED_VALUE"""),"Paper: ELECTRA: Pre-training Text Encoders as Discriminators Rather Than Generators")</f>
        <v>Paper: ELECTRA: Pre-training Text Encoders as Discriminators Rather Than Generators</v>
      </c>
    </row>
    <row r="398">
      <c r="A398" t="str">
        <f>IFERROR(__xludf.DUMMYFUNCTION("""COMPUTED_VALUE"""),"Deep learning")</f>
        <v>Deep learning</v>
      </c>
      <c r="B398" t="str">
        <f>IFERROR(__xludf.DUMMYFUNCTION("""COMPUTED_VALUE"""),"")</f>
        <v/>
      </c>
      <c r="C398" s="3" t="str">
        <f>IFERROR(__xludf.DUMMYFUNCTION("""COMPUTED_VALUE"""),"Growing Neural Cellular Automata")</f>
        <v>Growing Neural Cellular Automata</v>
      </c>
      <c r="D398" t="str">
        <f>IFERROR(__xludf.DUMMYFUNCTION("""COMPUTED_VALUE"""),"Alexander Mordvintsev, Ettore Randazzo, Eyvind Niklasson, Michael Levin")</f>
        <v>Alexander Mordvintsev, Ettore Randazzo, Eyvind Niklasson, Michael Levin</v>
      </c>
      <c r="E398" t="str">
        <f>IFERROR(__xludf.DUMMYFUNCTION("""COMPUTED_VALUE"""),"Distill")</f>
        <v>Distill</v>
      </c>
      <c r="F398">
        <f>IFERROR(__xludf.DUMMYFUNCTION("""COMPUTED_VALUE"""),2020.0)</f>
        <v>2020</v>
      </c>
      <c r="H398" s="3" t="str">
        <f>IFERROR(__xludf.DUMMYFUNCTION("""COMPUTED_VALUE"""),"AN #100")</f>
        <v>AN #100</v>
      </c>
      <c r="I398" t="str">
        <f>IFERROR(__xludf.DUMMYFUNCTION("""COMPUTED_VALUE"""),"Zach")</f>
        <v>Zach</v>
      </c>
      <c r="J398" t="str">
        <f>IFERROR(__xludf.DUMMYFUNCTION("""COMPUTED_VALUE"""),"The process of an organism's shape development (morphogensis) is an active area of research. One central problem is determining how cells decide how to grow and when to stop. One popular model for investigating this is Cellular Automata (CA). These model "&amp;"cells as living on a grid and interacting with each other via rules generated by looking at their nearest neighbors. The authors contribute to this research direction by introducing rule-sets that depend continuously on their local surroundings. The centr"&amp;"al insight connecting CA and deep learning is that because the rule-sets are constant the update rules work similarly to a convolutional filter. This allows the authors to take advantage of methods available to train neural networks to simulate CA. Using "&amp;"this insight, the authors train CA that can form into images that are resistant to perturbations and deletions. In other words, the CA are capable of regeneration.")</f>
        <v>The process of an organism's shape development (morphogensis) is an active area of research. One central problem is determining how cells decide how to grow and when to stop. One popular model for investigating this is Cellular Automata (CA). These model cells as living on a grid and interacting with each other via rules generated by looking at their nearest neighbors. The authors contribute to this research direction by introducing rule-sets that depend continuously on their local surroundings. The central insight connecting CA and deep learning is that because the rule-sets are constant the update rules work similarly to a convolutional filter. This allows the authors to take advantage of methods available to train neural networks to simulate CA. Using this insight, the authors train CA that can form into images that are resistant to perturbations and deletions. In other words, the CA are capable of regeneration.</v>
      </c>
      <c r="K398" t="str">
        <f>IFERROR(__xludf.DUMMYFUNCTION("""COMPUTED_VALUE"""),"The main relevance of an approach like this is that it provides proof-of-concept that complex goals, such as shape formation, can be programmed in an embarrassingly parallel fashion amenable to deep learning methodology. This naturally has implications in"&amp;" multi-agent settings where communication is expensive. I'd recommend checking out the main web app which allows you to watch and interact with the CA while they're growing. They also have a [code repository](https://colab.research.google.com/github/googl"&amp;"e-research/self-organising-systems/blob/master/notebooks/growing_ca.ipynb) that is easily adaptable to training on your own patterns. For example, I grew a regenerating Patrick Star [here](https://colab.research.google.com/drive/1BuE-0ceBP7ebTmX7pP_urP-FJ"&amp;"GvmjCpb?usp=sharing). ")</f>
        <v>The main relevance of an approach like this is that it provides proof-of-concept that complex goals, such as shape formation, can be programmed in an embarrassingly parallel fashion amenable to deep learning methodology. This naturally has implications in multi-agent settings where communication is expensive. I'd recommend checking out the main web app which allows you to watch and interact with the CA while they're growing. They also have a [code repository](https://colab.research.google.com/github/google-research/self-organising-systems/blob/master/notebooks/growing_ca.ipynb) that is easily adaptable to training on your own patterns. For example, I grew a regenerating Patrick Star [here](https://colab.research.google.com/drive/1BuE-0ceBP7ebTmX7pP_urP-FJGvmjCpb?usp=sharing). </v>
      </c>
    </row>
    <row r="399">
      <c r="A399" t="str">
        <f>IFERROR(__xludf.DUMMYFUNCTION("""COMPUTED_VALUE"""),"Deep learning")</f>
        <v>Deep learning</v>
      </c>
      <c r="B399" t="str">
        <f>IFERROR(__xludf.DUMMYFUNCTION("""COMPUTED_VALUE"""),"")</f>
        <v/>
      </c>
      <c r="C399" s="3" t="str">
        <f>IFERROR(__xludf.DUMMYFUNCTION("""COMPUTED_VALUE"""),"Universal Planning Networks")</f>
        <v>Universal Planning Networks</v>
      </c>
      <c r="D399" t="str">
        <f>IFERROR(__xludf.DUMMYFUNCTION("""COMPUTED_VALUE"""),"Aravind Srinivas, Allan Jabri, Pieter Abbeel, Sergey Levine, Chelsea Finn")</f>
        <v>Aravind Srinivas, Allan Jabri, Pieter Abbeel, Sergey Levine, Chelsea Finn</v>
      </c>
      <c r="E399" t="str">
        <f>IFERROR(__xludf.DUMMYFUNCTION("""COMPUTED_VALUE"""),"arXiv")</f>
        <v>arXiv</v>
      </c>
      <c r="F399">
        <f>IFERROR(__xludf.DUMMYFUNCTION("""COMPUTED_VALUE"""),2018.0)</f>
        <v>2018</v>
      </c>
      <c r="H399" s="3" t="str">
        <f>IFERROR(__xludf.DUMMYFUNCTION("""COMPUTED_VALUE"""),"AN #1")</f>
        <v>AN #1</v>
      </c>
      <c r="I399" t="str">
        <f>IFERROR(__xludf.DUMMYFUNCTION("""COMPUTED_VALUE"""),"Rohin")</f>
        <v>Rohin</v>
      </c>
      <c r="J399" t="str">
        <f>IFERROR(__xludf.DUMMYFUNCTION("""COMPUTED_VALUE"""),"This is an architecture that has a differentiable planning module, that is, a neural network that takes in (encodings of) states or observations and produces actions. You can use this in conjunction with eg. expert demonstrations (as in imitation learning"&amp;") in order to learn features that are optimized for the purpose of planning, focusing only on the details relevant to the task, unlike an auto-encoder, which must reconstruct the entire image, including irrelevant details.")</f>
        <v>This is an architecture that has a differentiable planning module, that is, a neural network that takes in (encodings of) states or observations and produces actions. You can use this in conjunction with eg. expert demonstrations (as in imitation learning) in order to learn features that are optimized for the purpose of planning, focusing only on the details relevant to the task, unlike an auto-encoder, which must reconstruct the entire image, including irrelevant details.</v>
      </c>
      <c r="K399" t="str">
        <f>IFERROR(__xludf.DUMMYFUNCTION("""COMPUTED_VALUE"""),"It's a good example of the push towards learning more and more complex algorithms using neural nets (in this case, planning). From a safety perspective, differentiable planning networks may be useful for modeling humans.")</f>
        <v>It's a good example of the push towards learning more and more complex algorithms using neural nets (in this case, planning). From a safety perspective, differentiable planning networks may be useful for modeling humans.</v>
      </c>
    </row>
    <row r="400">
      <c r="A400" t="str">
        <f>IFERROR(__xludf.DUMMYFUNCTION("""COMPUTED_VALUE"""),"Deep learning")</f>
        <v>Deep learning</v>
      </c>
      <c r="B400" t="str">
        <f>IFERROR(__xludf.DUMMYFUNCTION("""COMPUTED_VALUE"""),"")</f>
        <v/>
      </c>
      <c r="C400" s="3" t="str">
        <f>IFERROR(__xludf.DUMMYFUNCTION("""COMPUTED_VALUE"""),"The Lottery Ticket Hypothesis: Training Pruned Neural Networks")</f>
        <v>The Lottery Ticket Hypothesis: Training Pruned Neural Networks</v>
      </c>
      <c r="D400" t="str">
        <f>IFERROR(__xludf.DUMMYFUNCTION("""COMPUTED_VALUE"""),"Jonathan Frankle, Michael Carbin")</f>
        <v>Jonathan Frankle, Michael Carbin</v>
      </c>
      <c r="E400" t="str">
        <f>IFERROR(__xludf.DUMMYFUNCTION("""COMPUTED_VALUE"""),"ICLR 2019")</f>
        <v>ICLR 2019</v>
      </c>
      <c r="F400">
        <f>IFERROR(__xludf.DUMMYFUNCTION("""COMPUTED_VALUE"""),2018.0)</f>
        <v>2018</v>
      </c>
      <c r="H400" s="3" t="str">
        <f>IFERROR(__xludf.DUMMYFUNCTION("""COMPUTED_VALUE"""),"Recon #4")</f>
        <v>Recon #4</v>
      </c>
    </row>
    <row r="401">
      <c r="A401" t="str">
        <f>IFERROR(__xludf.DUMMYFUNCTION("""COMPUTED_VALUE"""),"Deep learning")</f>
        <v>Deep learning</v>
      </c>
      <c r="B401" t="str">
        <f>IFERROR(__xludf.DUMMYFUNCTION("""COMPUTED_VALUE"""),"")</f>
        <v/>
      </c>
      <c r="C401" s="3" t="str">
        <f>IFERROR(__xludf.DUMMYFUNCTION("""COMPUTED_VALUE"""),"AutoML-Zero: Evolving Machine Learning Algorithms From Scratch")</f>
        <v>AutoML-Zero: Evolving Machine Learning Algorithms From Scratch</v>
      </c>
      <c r="D401" t="str">
        <f>IFERROR(__xludf.DUMMYFUNCTION("""COMPUTED_VALUE"""),"Esteban Real*, Chen Liang*, David R. So, Quoc V. Le")</f>
        <v>Esteban Real*, Chen Liang*, David R. So, Quoc V. Le</v>
      </c>
      <c r="E401" t="str">
        <f>IFERROR(__xludf.DUMMYFUNCTION("""COMPUTED_VALUE"""),"arXiv")</f>
        <v>arXiv</v>
      </c>
      <c r="F401">
        <f>IFERROR(__xludf.DUMMYFUNCTION("""COMPUTED_VALUE"""),2020.0)</f>
        <v>2020</v>
      </c>
      <c r="H401" s="3" t="str">
        <f>IFERROR(__xludf.DUMMYFUNCTION("""COMPUTED_VALUE"""),"AN #95")</f>
        <v>AN #95</v>
      </c>
      <c r="I401" t="str">
        <f>IFERROR(__xludf.DUMMYFUNCTION("""COMPUTED_VALUE"""),"Sudhanshu")</f>
        <v>Sudhanshu</v>
      </c>
      <c r="J401" t="str">
        <f>IFERROR(__xludf.DUMMYFUNCTION("""COMPUTED_VALUE"""),"Most previous work in the area of automated machine learning, or AutoML, has focussed on narrow search spaces that are restricted to specific parts of the machine learning pipeline, e.g. the architecture of a neural network, or the optimizer in meta-learn"&amp;"ing. These spaces are often so constrained by the hand-engineered components around them that architectures and algorithms discovered, say, by evolutionary search (ES), are only slightly better than random search (RS). This work aims to set up the problem"&amp;" with very weak constraints and a wide search space: a) a machine learning program has three component functions, _Setup_, _Predict_, and _Learn_, which start out empty, and b) are populated by RS or ES with procedural operations from over 50 arithmetic, "&amp;"trigonometric, linear algebra, probability, and pre-calculus operators.
They demonstrate that with such a vast search space, RS fares very poorly in comparison to ES. They also report that ES finds several procedures that are recognizable as useful for m"&amp;"achine learning, such as a simple neural network, gradient descent, gradient normalization, multiplicative interactions, noise augmentation, noisy dropout and learning rate decay.")</f>
        <v>Most previous work in the area of automated machine learning, or AutoML, has focussed on narrow search spaces that are restricted to specific parts of the machine learning pipeline, e.g. the architecture of a neural network, or the optimizer in meta-learning. These spaces are often so constrained by the hand-engineered components around them that architectures and algorithms discovered, say, by evolutionary search (ES), are only slightly better than random search (RS). This work aims to set up the problem with very weak constraints and a wide search space: a) a machine learning program has three component functions, _Setup_, _Predict_, and _Learn_, which start out empty, and b) are populated by RS or ES with procedural operations from over 50 arithmetic, trigonometric, linear algebra, probability, and pre-calculus operators.
They demonstrate that with such a vast search space, RS fares very poorly in comparison to ES. They also report that ES finds several procedures that are recognizable as useful for machine learning, such as a simple neural network, gradient descent, gradient normalization, multiplicative interactions, noise augmentation, noisy dropout and learning rate decay.</v>
      </c>
      <c r="K401" t="str">
        <f>IFERROR(__xludf.DUMMYFUNCTION("""COMPUTED_VALUE"""),"This work empirically demonstrates that we now have sufficient methods and tricks in our ES toolkit that enable us to evolve machine learning algorithms from scratch. Additionally, this process produces computer code, which itself may yield to theoretical"&amp;" analysis furthering our knowledge of learning algorithms. I think that powerful AI systems of the future may employ such techniques to discover solutions.
**Rohin's opinion:** It’s cool to see automation of even the ML algorithms themselves. However, no"&amp;"te that there is no deep learning or function approximation in this system: it is a simple search algorithm that is commonly used in program synthesis. In fact, though the paper is presented as an ML paper, it seems to me much more like a classic program "&amp;"synthesis paper that happens to be working in the domain of ML algorithms.
Without any learned heuristics, these algorithms have a hard time scaling: they can only synthesize relatively short snippets of code, since the search space grows exponentially a"&amp;"s the code gets longer. Good results depend very strongly on being able to create a DSL in which the correct program is short. In this case, it looks like strong programs are about ~20 straight-line instructions, which seems on the more impressive side gi"&amp;"ven the simplicity of the algorithm and the DSL, though they did throw a huge amount of compute at the problem.")</f>
        <v>This work empirically demonstrates that we now have sufficient methods and tricks in our ES toolkit that enable us to evolve machine learning algorithms from scratch. Additionally, this process produces computer code, which itself may yield to theoretical analysis furthering our knowledge of learning algorithms. I think that powerful AI systems of the future may employ such techniques to discover solutions.
**Rohin's opinion:** It’s cool to see automation of even the ML algorithms themselves. However, note that there is no deep learning or function approximation in this system: it is a simple search algorithm that is commonly used in program synthesis. In fact, though the paper is presented as an ML paper, it seems to me much more like a classic program synthesis paper that happens to be working in the domain of ML algorithms.
Without any learned heuristics, these algorithms have a hard time scaling: they can only synthesize relatively short snippets of code, since the search space grows exponentially as the code gets longer. Good results depend very strongly on being able to create a DSL in which the correct program is short. In this case, it looks like strong programs are about ~20 straight-line instructions, which seems on the more impressive side given the simplicity of the algorithm and the DSL, though they did throw a huge amount of compute at the problem.</v>
      </c>
    </row>
    <row r="402">
      <c r="A402" t="str">
        <f>IFERROR(__xludf.DUMMYFUNCTION("""COMPUTED_VALUE"""),"Deep learning")</f>
        <v>Deep learning</v>
      </c>
      <c r="B402" t="str">
        <f>IFERROR(__xludf.DUMMYFUNCTION("""COMPUTED_VALUE"""),"")</f>
        <v/>
      </c>
      <c r="C402" s="3" t="str">
        <f>IFERROR(__xludf.DUMMYFUNCTION("""COMPUTED_VALUE"""),"Linear Mode Connectivity and the Lottery Ticket Hypothesis")</f>
        <v>Linear Mode Connectivity and the Lottery Ticket Hypothesis</v>
      </c>
      <c r="D402" t="str">
        <f>IFERROR(__xludf.DUMMYFUNCTION("""COMPUTED_VALUE"""),"Jonathan Frankle, Gintare Karolina Dziugaite, Daniel M. Roy, Michael Carbin")</f>
        <v>Jonathan Frankle, Gintare Karolina Dziugaite, Daniel M. Roy, Michael Carbin</v>
      </c>
      <c r="E402" t="str">
        <f>IFERROR(__xludf.DUMMYFUNCTION("""COMPUTED_VALUE"""),"arXiv")</f>
        <v>arXiv</v>
      </c>
      <c r="F402">
        <f>IFERROR(__xludf.DUMMYFUNCTION("""COMPUTED_VALUE"""),2020.0)</f>
        <v>2020</v>
      </c>
      <c r="H402" s="3" t="str">
        <f>IFERROR(__xludf.DUMMYFUNCTION("""COMPUTED_VALUE"""),"AN #92")</f>
        <v>AN #92</v>
      </c>
      <c r="I402" t="str">
        <f>IFERROR(__xludf.DUMMYFUNCTION("""COMPUTED_VALUE"""),"Flo")</f>
        <v>Flo</v>
      </c>
      <c r="J402" t="str">
        <f>IFERROR(__xludf.DUMMYFUNCTION("""COMPUTED_VALUE"""),"Instability analysis looks at how sensitive neural network training is to noise in SGD. A network is called stable if the test error remains approximately constant along the line connecting network weights obtained by training on differently ordered data."&amp;" 
The authors find that most popular networks in image classification are unstable at initialization for more challenging tasks but become stable long before convergence. They also find that &lt;@winning tickets@&gt;(@Understanding the generalization of ‘lotte"&amp;"ry tickets’ in neural networks@) found by iterative magnitude pruning are usually stable, while unstable subnetworks don't manage to match the original network's performance after training. As the original network, pruned subnetworks become more stable wh"&amp;"en they are initialized with weights from later stages of the training process. This is consistent with previous results showing that resetting subnetwork weights to states in early training leads to increased performance after retraining, compared to res"&amp;"etting to the initial state. While stability seems to correspond to better accuracy for subnetworks, very sparse subnetworks perform worse than the unpruned network, even if they are stable.")</f>
        <v>Instability analysis looks at how sensitive neural network training is to noise in SGD. A network is called stable if the test error remains approximately constant along the line connecting network weights obtained by training on differently ordered data. 
The authors find that most popular networks in image classification are unstable at initialization for more challenging tasks but become stable long before convergence. They also find that &lt;@winning tickets@&gt;(@Understanding the generalization of ‘lottery tickets’ in neural networks@) found by iterative magnitude pruning are usually stable, while unstable subnetworks don't manage to match the original network's performance after training. As the original network, pruned subnetworks become more stable when they are initialized with weights from later stages of the training process. This is consistent with previous results showing that resetting subnetwork weights to states in early training leads to increased performance after retraining, compared to resetting to the initial state. While stability seems to correspond to better accuracy for subnetworks, very sparse subnetworks perform worse than the unpruned network, even if they are stable.</v>
      </c>
      <c r="K402" t="str">
        <f>IFERROR(__xludf.DUMMYFUNCTION("""COMPUTED_VALUE"""),"The correspondence between subnetwork stability and performance after retraining might just be an artefact of both (somewhat obviously) improving with more training. What is interesting is that small amounts of training seem to have disproportionate effec"&amp;"ts for both factors, although one should keep in mind that the same is true for the loss, at least in absolute terms.")</f>
        <v>The correspondence between subnetwork stability and performance after retraining might just be an artefact of both (somewhat obviously) improving with more training. What is interesting is that small amounts of training seem to have disproportionate effects for both factors, although one should keep in mind that the same is true for the loss, at least in absolute terms.</v>
      </c>
    </row>
    <row r="403">
      <c r="A403" t="str">
        <f>IFERROR(__xludf.DUMMYFUNCTION("""COMPUTED_VALUE"""),"Deep learning")</f>
        <v>Deep learning</v>
      </c>
      <c r="B403" t="str">
        <f>IFERROR(__xludf.DUMMYFUNCTION("""COMPUTED_VALUE"""),"")</f>
        <v/>
      </c>
      <c r="C403" s="3" t="str">
        <f>IFERROR(__xludf.DUMMYFUNCTION("""COMPUTED_VALUE"""),"Speeding Up Transformer Training and Inference By Increasing Model Size")</f>
        <v>Speeding Up Transformer Training and Inference By Increasing Model Size</v>
      </c>
      <c r="D403" t="str">
        <f>IFERROR(__xludf.DUMMYFUNCTION("""COMPUTED_VALUE"""),"Zhuohan Li*, Eric Wallace*, Sheng Shen*, Kevin Lin*, Kurt Keutzer, Dan Klein, Joseph E. Gonzalez")</f>
        <v>Zhuohan Li*, Eric Wallace*, Sheng Shen*, Kevin Lin*, Kurt Keutzer, Dan Klein, Joseph E. Gonzalez</v>
      </c>
      <c r="E403" t="str">
        <f>IFERROR(__xludf.DUMMYFUNCTION("""COMPUTED_VALUE"""),"BAIR Blog")</f>
        <v>BAIR Blog</v>
      </c>
      <c r="F403">
        <f>IFERROR(__xludf.DUMMYFUNCTION("""COMPUTED_VALUE"""),2020.0)</f>
        <v>2020</v>
      </c>
      <c r="H403" s="3" t="str">
        <f>IFERROR(__xludf.DUMMYFUNCTION("""COMPUTED_VALUE"""),"AN #90")</f>
        <v>AN #90</v>
      </c>
      <c r="I403" t="str">
        <f>IFERROR(__xludf.DUMMYFUNCTION("""COMPUTED_VALUE"""),"Rohin")</f>
        <v>Rohin</v>
      </c>
      <c r="J403" t="str">
        <f>IFERROR(__xludf.DUMMYFUNCTION("""COMPUTED_VALUE"""),"This blog post and associated paper confirm the findings from &lt;@Scaling Laws for Neural Language Models@&gt; that the most efficient way to train Transformer-based language models is to train very large models and stop before convergence, rather than trainin"&amp;"g smaller models to convergence.")</f>
        <v>This blog post and associated paper confirm the findings from &lt;@Scaling Laws for Neural Language Models@&gt; that the most efficient way to train Transformer-based language models is to train very large models and stop before convergence, rather than training smaller models to convergence.</v>
      </c>
      <c r="M403" s="3" t="str">
        <f>IFERROR(__xludf.DUMMYFUNCTION("""COMPUTED_VALUE"""),"Paper: Train Large, Then Compress: Rethinking Model Size for Efficient Training and Inference of Transformers")</f>
        <v>Paper: Train Large, Then Compress: Rethinking Model Size for Efficient Training and Inference of Transformers</v>
      </c>
    </row>
    <row r="404">
      <c r="A404" t="str">
        <f>IFERROR(__xludf.DUMMYFUNCTION("""COMPUTED_VALUE"""),"Deep learning")</f>
        <v>Deep learning</v>
      </c>
      <c r="B404" t="str">
        <f>IFERROR(__xludf.DUMMYFUNCTION("""COMPUTED_VALUE"""),"")</f>
        <v/>
      </c>
      <c r="C404" s="3" t="str">
        <f>IFERROR(__xludf.DUMMYFUNCTION("""COMPUTED_VALUE"""),"Do Better ImageNet Models Transfer Better?")</f>
        <v>Do Better ImageNet Models Transfer Better?</v>
      </c>
      <c r="E404" t="str">
        <f>IFERROR(__xludf.DUMMYFUNCTION("""COMPUTED_VALUE"""),"arXiv")</f>
        <v>arXiv</v>
      </c>
      <c r="H404" s="3" t="str">
        <f>IFERROR(__xludf.DUMMYFUNCTION("""COMPUTED_VALUE"""),"AN #9")</f>
        <v>AN #9</v>
      </c>
      <c r="I404" t="str">
        <f>IFERROR(__xludf.DUMMYFUNCTION("""COMPUTED_VALUE"""),"Rohin")</f>
        <v>Rohin</v>
      </c>
      <c r="J404" t="str">
        <f>IFERROR(__xludf.DUMMYFUNCTION("""COMPUTED_VALUE"""),"See [Import AI](https://jack-clark.net/2018/05/29/import-ai-96-seeing-heartbeats-with-deepphys-better-synthetic-images-via-sagan-and-spotting-pedestrians-via-a-trans-european-dataset/)")</f>
        <v>See [Import AI](https://jack-clark.net/2018/05/29/import-ai-96-seeing-heartbeats-with-deepphys-better-synthetic-images-via-sagan-and-spotting-pedestrians-via-a-trans-european-dataset/)</v>
      </c>
    </row>
    <row r="405">
      <c r="A405" t="str">
        <f>IFERROR(__xludf.DUMMYFUNCTION("""COMPUTED_VALUE"""),"Deep learning")</f>
        <v>Deep learning</v>
      </c>
      <c r="B405" t="str">
        <f>IFERROR(__xludf.DUMMYFUNCTION("""COMPUTED_VALUE"""),"")</f>
        <v/>
      </c>
      <c r="C405" s="3" t="str">
        <f>IFERROR(__xludf.DUMMYFUNCTION("""COMPUTED_VALUE"""),"Deep Learning for Symbolic Mathematics")</f>
        <v>Deep Learning for Symbolic Mathematics</v>
      </c>
      <c r="D405" t="str">
        <f>IFERROR(__xludf.DUMMYFUNCTION("""COMPUTED_VALUE"""),"Guillaume Lample, François Charton")</f>
        <v>Guillaume Lample, François Charton</v>
      </c>
      <c r="E405" t="str">
        <f>IFERROR(__xludf.DUMMYFUNCTION("""COMPUTED_VALUE"""),"arXiv")</f>
        <v>arXiv</v>
      </c>
      <c r="F405">
        <f>IFERROR(__xludf.DUMMYFUNCTION("""COMPUTED_VALUE"""),2019.0)</f>
        <v>2019</v>
      </c>
      <c r="H405" s="3" t="str">
        <f>IFERROR(__xludf.DUMMYFUNCTION("""COMPUTED_VALUE"""),"AN #85")</f>
        <v>AN #85</v>
      </c>
      <c r="I405" t="str">
        <f>IFERROR(__xludf.DUMMYFUNCTION("""COMPUTED_VALUE"""),"Matthew")</f>
        <v>Matthew</v>
      </c>
      <c r="J405" t="str">
        <f>IFERROR(__xludf.DUMMYFUNCTION("""COMPUTED_VALUE"""),"This paper demonstrates the ability of sequence-to-sequence models to outperform [computer algebra systems](https://en.wikipedia.org/wiki/Computer_algebra_system) (CAS) at the tasks of symbolic integration and solving ordinary differential equations. Sinc"&amp;"e finding the derivative of a function is usually easier than integration, the authors generated a large training set by generating random mathematical expressions, and then using these expressions as the labels for their derivatives. The mathematical exp"&amp;"ressions were formulated as syntax trees, and mapped to sequences by writing them in Polish notation. These sequences were, in turn, used to train a transformer model. While their model outperformed top CAS on the training data set, and could compute answ"&amp;"ers much more quickly than the CAS could, tests of generalization were mixed: importantly, the model did not generalize extremely well to datasets that were generated using different techniques than the training dataset.")</f>
        <v>This paper demonstrates the ability of sequence-to-sequence models to outperform [computer algebra systems](https://en.wikipedia.org/wiki/Computer_algebra_system) (CAS) at the tasks of symbolic integration and solving ordinary differential equations. Since finding the derivative of a function is usually easier than integration, the authors generated a large training set by generating random mathematical expressions, and then using these expressions as the labels for their derivatives. The mathematical expressions were formulated as syntax trees, and mapped to sequences by writing them in Polish notation. These sequences were, in turn, used to train a transformer model. While their model outperformed top CAS on the training data set, and could compute answers much more quickly than the CAS could, tests of generalization were mixed: importantly, the model did not generalize extremely well to datasets that were generated using different techniques than the training dataset.</v>
      </c>
      <c r="K405" t="str">
        <f>IFERROR(__xludf.DUMMYFUNCTION("""COMPUTED_VALUE"""),"At first this paper appeared more ambitious than [Saxton et al. (2019)](https://arxiv.org/abs/1904.01557), but it ended up with more positive results, even though the papers used the same techniques. Therefore, my impression is not that we recently made r"&amp;"apid progress on incorporating mathematical reasoning into neural networks; rather, I now think that the tasks of integration and solving differential equations are simply well-suited for neural networks.")</f>
        <v>At first this paper appeared more ambitious than [Saxton et al. (2019)](https://arxiv.org/abs/1904.01557), but it ended up with more positive results, even though the papers used the same techniques. Therefore, my impression is not that we recently made rapid progress on incorporating mathematical reasoning into neural networks; rather, I now think that the tasks of integration and solving differential equations are simply well-suited for neural networks.</v>
      </c>
    </row>
    <row r="406">
      <c r="A406" t="str">
        <f>IFERROR(__xludf.DUMMYFUNCTION("""COMPUTED_VALUE"""),"Deep learning")</f>
        <v>Deep learning</v>
      </c>
      <c r="B406" t="str">
        <f>IFERROR(__xludf.DUMMYFUNCTION("""COMPUTED_VALUE"""),"")</f>
        <v/>
      </c>
      <c r="C406" s="3" t="str">
        <f>IFERROR(__xludf.DUMMYFUNCTION("""COMPUTED_VALUE"""),"Inductive biases stick around")</f>
        <v>Inductive biases stick around</v>
      </c>
      <c r="D406" t="str">
        <f>IFERROR(__xludf.DUMMYFUNCTION("""COMPUTED_VALUE"""),"Evan Hubinger")</f>
        <v>Evan Hubinger</v>
      </c>
      <c r="E406" t="str">
        <f>IFERROR(__xludf.DUMMYFUNCTION("""COMPUTED_VALUE"""),"Alignment Forum")</f>
        <v>Alignment Forum</v>
      </c>
      <c r="F406">
        <f>IFERROR(__xludf.DUMMYFUNCTION("""COMPUTED_VALUE"""),2019.0)</f>
        <v>2019</v>
      </c>
      <c r="H406" s="3" t="str">
        <f>IFERROR(__xludf.DUMMYFUNCTION("""COMPUTED_VALUE"""),"AN #78")</f>
        <v>AN #78</v>
      </c>
      <c r="I406" t="str">
        <f>IFERROR(__xludf.DUMMYFUNCTION("""COMPUTED_VALUE"""),"Rohin")</f>
        <v>Rohin</v>
      </c>
      <c r="J406" t="str">
        <f>IFERROR(__xludf.DUMMYFUNCTION("""COMPUTED_VALUE"""),"This update to Evan's &lt;@double descent post@&gt;(@Understanding “Deep Double Descent”@) explains why he thinks double descent is important. Specifically, Evan argues that it shows that inductive biases matter even for large, deep models. In particular, doubl"&amp;"e descent shows that larger models are _simpler_ than smaller models, at least in the overparameterized setting where models are past the interpolation threshold where they can get approximately zero training error. This makes the case for &lt;@mesa optimiza"&amp;"tion@&gt;(@Risks from Learned Optimization in Advanced Machine Learning Systems@) stronger, since mesa optimizers are _simple_, compressed policies.")</f>
        <v>This update to Evan's &lt;@double descent post@&gt;(@Understanding “Deep Double Descent”@) explains why he thinks double descent is important. Specifically, Evan argues that it shows that inductive biases matter even for large, deep models. In particular, double descent shows that larger models are _simpler_ than smaller models, at least in the overparameterized setting where models are past the interpolation threshold where they can get approximately zero training error. This makes the case for &lt;@mesa optimization@&gt;(@Risks from Learned Optimization in Advanced Machine Learning Systems@) stronger, since mesa optimizers are _simple_, compressed policies.</v>
      </c>
      <c r="K406" t="str">
        <f>IFERROR(__xludf.DUMMYFUNCTION("""COMPUTED_VALUE"""),"As you might have gathered last week, I'm not sold on double descent as a clear, always-present phenomenon, though it certainly is a real effect that occurs in at least some situations. So I tend not to believe counterintuitive conclusions like ""larger m"&amp;"odels are simpler"" that are premised on double descent.
Regardless, I expect that powerful AI systems are going to be severely underparameterized, and so I don't think it really matters that past the interpolation threshold larger models are simpler. I "&amp;"don't think the case for mesa optimization should depend on this; humans are certainly ""underparameterized"", but should count as mesa optimizers.")</f>
        <v>As you might have gathered last week, I'm not sold on double descent as a clear, always-present phenomenon, though it certainly is a real effect that occurs in at least some situations. So I tend not to believe counterintuitive conclusions like "larger models are simpler" that are premised on double descent.
Regardless, I expect that powerful AI systems are going to be severely underparameterized, and so I don't think it really matters that past the interpolation threshold larger models are simpler. I don't think the case for mesa optimization should depend on this; humans are certainly "underparameterized", but should count as mesa optimizers.</v>
      </c>
    </row>
    <row r="407">
      <c r="A407" t="str">
        <f>IFERROR(__xludf.DUMMYFUNCTION("""COMPUTED_VALUE"""),"Deep learning")</f>
        <v>Deep learning</v>
      </c>
      <c r="B407" t="str">
        <f>IFERROR(__xludf.DUMMYFUNCTION("""COMPUTED_VALUE"""),"")</f>
        <v/>
      </c>
      <c r="C407" s="3" t="str">
        <f>IFERROR(__xludf.DUMMYFUNCTION("""COMPUTED_VALUE"""),"Understanding “Deep Double Descent”")</f>
        <v>Understanding “Deep Double Descent”</v>
      </c>
      <c r="D407" t="str">
        <f>IFERROR(__xludf.DUMMYFUNCTION("""COMPUTED_VALUE"""),"Evan Hubinger")</f>
        <v>Evan Hubinger</v>
      </c>
      <c r="E407" t="str">
        <f>IFERROR(__xludf.DUMMYFUNCTION("""COMPUTED_VALUE"""),"Alignment Forum")</f>
        <v>Alignment Forum</v>
      </c>
      <c r="F407">
        <f>IFERROR(__xludf.DUMMYFUNCTION("""COMPUTED_VALUE"""),2019.0)</f>
        <v>2019</v>
      </c>
      <c r="H407" s="3" t="str">
        <f>IFERROR(__xludf.DUMMYFUNCTION("""COMPUTED_VALUE"""),"AN #77")</f>
        <v>AN #77</v>
      </c>
      <c r="I407" t="str">
        <f>IFERROR(__xludf.DUMMYFUNCTION("""COMPUTED_VALUE"""),"Rohin")</f>
        <v>Rohin</v>
      </c>
      <c r="J407" t="str">
        <f>IFERROR(__xludf.DUMMYFUNCTION("""COMPUTED_VALUE"""),"This post explains deep double descent (in more detail than my summaries), and speculates on its relevance to AI safety. In particular, Evan believes that deep double descent shows that neural nets are providing strong inductive biases that are crucial to"&amp;" their performance -- even _after_ getting to ~zero training loss, the inductive biases _continue_ to do work for us, and find better models that lead to lower test loss. As a result, it seems quite important to understand the inductive biases that neural"&amp;" nets use, which seems particularly relevant for e.g. &lt;@mesa optimization and pseudo alignment@&gt;(@Risks from Learned Optimization in Advanced Machine Learning Systems@).")</f>
        <v>This post explains deep double descent (in more detail than my summaries), and speculates on its relevance to AI safety. In particular, Evan believes that deep double descent shows that neural nets are providing strong inductive biases that are crucial to their performance -- even _after_ getting to ~zero training loss, the inductive biases _continue_ to do work for us, and find better models that lead to lower test loss. As a result, it seems quite important to understand the inductive biases that neural nets use, which seems particularly relevant for e.g. &lt;@mesa optimization and pseudo alignment@&gt;(@Risks from Learned Optimization in Advanced Machine Learning Systems@).</v>
      </c>
      <c r="K407" t="str">
        <f>IFERROR(__xludf.DUMMYFUNCTION("""COMPUTED_VALUE"""),"I certainly agree that neural nets have strong inductive biases that help with their generalization; a clear example of this is that neural nets can learn [randomly labeled data](https://arxiv.org/abs/1611.03530) (which can never generalize to the test se"&amp;"t), but nonetheless when trained on correctly labeled data such nets do generalize to test data. Perhaps more surprising here is that the inductive biases help even _after_ fully capturing the data (achieving zero training loss) -- you might have thought "&amp;"that the data would swamp the inductive biases. This might suggest that powerful AI systems will become simpler over time (assuming an inductive bias towards simplicity). However, this is happening in the regime where the neural nets are overparameterized"&amp;", so it makes sense that inductive biases would still play a large role. I expect that in contrast, powerful AI systems will be severely underparameterized, simply because of _how much data_ there is (for example, &lt;@the largest GPT-2 model still underfits"&amp;" the data@&gt;(@Better Language Models and Their Implications@)).")</f>
        <v>I certainly agree that neural nets have strong inductive biases that help with their generalization; a clear example of this is that neural nets can learn [randomly labeled data](https://arxiv.org/abs/1611.03530) (which can never generalize to the test set), but nonetheless when trained on correctly labeled data such nets do generalize to test data. Perhaps more surprising here is that the inductive biases help even _after_ fully capturing the data (achieving zero training loss) -- you might have thought that the data would swamp the inductive biases. This might suggest that powerful AI systems will become simpler over time (assuming an inductive bias towards simplicity). However, this is happening in the regime where the neural nets are overparameterized, so it makes sense that inductive biases would still play a large role. I expect that in contrast, powerful AI systems will be severely underparameterized, simply because of _how much data_ there is (for example, &lt;@the largest GPT-2 model still underfits the data@&gt;(@Better Language Models and Their Implications@)).</v>
      </c>
    </row>
    <row r="408">
      <c r="A408" t="str">
        <f>IFERROR(__xludf.DUMMYFUNCTION("""COMPUTED_VALUE"""),"Deep learning")</f>
        <v>Deep learning</v>
      </c>
      <c r="B408" t="str">
        <f>IFERROR(__xludf.DUMMYFUNCTION("""COMPUTED_VALUE"""),"")</f>
        <v/>
      </c>
      <c r="C408" s="3" t="str">
        <f>IFERROR(__xludf.DUMMYFUNCTION("""COMPUTED_VALUE"""),"Weight Agnostic Neural Networks")</f>
        <v>Weight Agnostic Neural Networks</v>
      </c>
      <c r="D408" t="str">
        <f>IFERROR(__xludf.DUMMYFUNCTION("""COMPUTED_VALUE"""),"Adam Gaier, David Ha")</f>
        <v>Adam Gaier, David Ha</v>
      </c>
      <c r="E408" t="str">
        <f>IFERROR(__xludf.DUMMYFUNCTION("""COMPUTED_VALUE"""),"arXiv")</f>
        <v>arXiv</v>
      </c>
      <c r="F408">
        <f>IFERROR(__xludf.DUMMYFUNCTION("""COMPUTED_VALUE"""),2019.0)</f>
        <v>2019</v>
      </c>
      <c r="H408" s="3" t="str">
        <f>IFERROR(__xludf.DUMMYFUNCTION("""COMPUTED_VALUE"""),"AN #61")</f>
        <v>AN #61</v>
      </c>
      <c r="I408" t="str">
        <f>IFERROR(__xludf.DUMMYFUNCTION("""COMPUTED_VALUE"""),"Cody")</f>
        <v>Cody</v>
      </c>
      <c r="J408" t="str">
        <f>IFERROR(__xludf.DUMMYFUNCTION("""COMPUTED_VALUE"""),"Inspired by the ability of animals to perform some tasks at birth, before learning about the world, this paper tries to find network architectures that perform well over a wide range of possible model parameters. The idea here is that if an architecture p"&amp;"erforms well with different sampled weights and without training to update those weights, then the architecture itself is what's responsible for encoding the solution, rather than any particular weight configuration. The authors look for such architecture"&amp;"s on both classification and reinforcement learning problems by employing NEAT, a evolutionary method from Neural Architecture Search that searches for the best-performing topologies within the space of possible node connections and activations. The autho"&amp;"rs find that they're able to construct architectures that do better than random on their test problems without training weights explicitly.")</f>
        <v>Inspired by the ability of animals to perform some tasks at birth, before learning about the world, this paper tries to find network architectures that perform well over a wide range of possible model parameters. The idea here is that if an architecture performs well with different sampled weights and without training to update those weights, then the architecture itself is what's responsible for encoding the solution, rather than any particular weight configuration. The authors look for such architectures on both classification and reinforcement learning problems by employing NEAT, a evolutionary method from Neural Architecture Search that searches for the best-performing topologies within the space of possible node connections and activations. The authors find that they're able to construct architectures that do better than random on their test problems without training weights explicitly.</v>
      </c>
      <c r="K408" t="str">
        <f>IFERROR(__xludf.DUMMYFUNCTION("""COMPUTED_VALUE"""),"I appreciate the premise of this paper, and in general feel positively towards papers that delve into a better understanding of how much of modern neural network performance is attributable to (discrete) structural architectures vs particular settings of "&amp;"continuous weight parameters, and I think this paper does that in a clever way by essentially marginalizing over different weight values. The framing of this paper, implicitly comparing networks used without weight training to animals with innate abilitie"&amp;"s, did make me wonder whether the architecture vs weights analogy to evolution vs learning is a sound one. Because, while it's true that the weights weren't explicitly gradient-descent trained in this paper, the network did still perform optimization base"&amp;"d on task performance, just over a set of discrete parameters rather than continuous ones. In that context, it doesn't really seem correct to consider the resulting architectures ""untrained"" in a way that I think that analogy would suggest. I'd be curio"&amp;"us to see more work in this direction that blends in ideas from meta-learning, and tries to find architectures that perform well on multiple tasks, rather than just one. ")</f>
        <v>I appreciate the premise of this paper, and in general feel positively towards papers that delve into a better understanding of how much of modern neural network performance is attributable to (discrete) structural architectures vs particular settings of continuous weight parameters, and I think this paper does that in a clever way by essentially marginalizing over different weight values. The framing of this paper, implicitly comparing networks used without weight training to animals with innate abilities, did make me wonder whether the architecture vs weights analogy to evolution vs learning is a sound one. Because, while it's true that the weights weren't explicitly gradient-descent trained in this paper, the network did still perform optimization based on task performance, just over a set of discrete parameters rather than continuous ones. In that context, it doesn't really seem correct to consider the resulting architectures "untrained" in a way that I think that analogy would suggest. I'd be curious to see more work in this direction that blends in ideas from meta-learning, and tries to find architectures that perform well on multiple tasks, rather than just one. </v>
      </c>
    </row>
    <row r="409">
      <c r="A409" t="str">
        <f>IFERROR(__xludf.DUMMYFUNCTION("""COMPUTED_VALUE"""),"Deep learning")</f>
        <v>Deep learning</v>
      </c>
      <c r="B409" t="str">
        <f>IFERROR(__xludf.DUMMYFUNCTION("""COMPUTED_VALUE"""),"")</f>
        <v/>
      </c>
      <c r="C409" s="3" t="str">
        <f>IFERROR(__xludf.DUMMYFUNCTION("""COMPUTED_VALUE"""),"Dynamic Control Flow in Large-Scale Machine Learning")</f>
        <v>Dynamic Control Flow in Large-Scale Machine Learning</v>
      </c>
      <c r="D409" t="str">
        <f>IFERROR(__xludf.DUMMYFUNCTION("""COMPUTED_VALUE"""),"Yuan Yu, Martín Abadi, Paul Barham, Eugene Brevdo, Mike Burrows, Andy Davis, Jeff Dean, Sanjay Ghemawat, Tim Harley, Peter Hawkins, Michael Isard, Manjunath Kudlur, Rajat Monga, Derek Murray, Xiaoqiang Zheng")</f>
        <v>Yuan Yu, Martín Abadi, Paul Barham, Eugene Brevdo, Mike Burrows, Andy Davis, Jeff Dean, Sanjay Ghemawat, Tim Harley, Peter Hawkins, Michael Isard, Manjunath Kudlur, Rajat Monga, Derek Murray, Xiaoqiang Zheng</v>
      </c>
      <c r="E409" t="str">
        <f>IFERROR(__xludf.DUMMYFUNCTION("""COMPUTED_VALUE"""),"arXiv")</f>
        <v>arXiv</v>
      </c>
      <c r="F409">
        <f>IFERROR(__xludf.DUMMYFUNCTION("""COMPUTED_VALUE"""),2018.0)</f>
        <v>2018</v>
      </c>
      <c r="H409" s="3" t="str">
        <f>IFERROR(__xludf.DUMMYFUNCTION("""COMPUTED_VALUE"""),"AN #6")</f>
        <v>AN #6</v>
      </c>
    </row>
    <row r="410">
      <c r="A410" t="str">
        <f>IFERROR(__xludf.DUMMYFUNCTION("""COMPUTED_VALUE"""),"Deep learning")</f>
        <v>Deep learning</v>
      </c>
      <c r="B410" t="str">
        <f>IFERROR(__xludf.DUMMYFUNCTION("""COMPUTED_VALUE"""),"")</f>
        <v/>
      </c>
      <c r="C410" s="3" t="str">
        <f>IFERROR(__xludf.DUMMYFUNCTION("""COMPUTED_VALUE"""),"XLNet: Generalized Autoregressive Pretraining for Language Understanding")</f>
        <v>XLNet: Generalized Autoregressive Pretraining for Language Understanding</v>
      </c>
      <c r="D410" t="str">
        <f>IFERROR(__xludf.DUMMYFUNCTION("""COMPUTED_VALUE"""),"Zhilin Yang*, Zihang Dai*, Yiming Yang, Jaime Carbonell, Ruslan Salakhutdinov, Quoc V. Le")</f>
        <v>Zhilin Yang*, Zihang Dai*, Yiming Yang, Jaime Carbonell, Ruslan Salakhutdinov, Quoc V. Le</v>
      </c>
      <c r="E410" t="str">
        <f>IFERROR(__xludf.DUMMYFUNCTION("""COMPUTED_VALUE"""),"arXiv")</f>
        <v>arXiv</v>
      </c>
      <c r="F410">
        <f>IFERROR(__xludf.DUMMYFUNCTION("""COMPUTED_VALUE"""),2019.0)</f>
        <v>2019</v>
      </c>
      <c r="H410" s="3" t="str">
        <f>IFERROR(__xludf.DUMMYFUNCTION("""COMPUTED_VALUE"""),"AN #59")</f>
        <v>AN #59</v>
      </c>
      <c r="I410" t="str">
        <f>IFERROR(__xludf.DUMMYFUNCTION("""COMPUTED_VALUE"""),"Rohin")</f>
        <v>Rohin</v>
      </c>
      <c r="J410" t="str">
        <f>IFERROR(__xludf.DUMMYFUNCTION("""COMPUTED_VALUE"""),"XLNet sets significantly improved state-of-the-art scores on many NLP tasks, beating out BERT. This was likely due to pretraining on significantly more data, though there are also architectural improvements.")</f>
        <v>XLNet sets significantly improved state-of-the-art scores on many NLP tasks, beating out BERT. This was likely due to pretraining on significantly more data, though there are also architectural improvements.</v>
      </c>
    </row>
    <row r="411">
      <c r="A411" t="str">
        <f>IFERROR(__xludf.DUMMYFUNCTION("""COMPUTED_VALUE"""),"Deep learning")</f>
        <v>Deep learning</v>
      </c>
      <c r="B411" t="str">
        <f>IFERROR(__xludf.DUMMYFUNCTION("""COMPUTED_VALUE"""),"")</f>
        <v/>
      </c>
      <c r="C411" s="3" t="str">
        <f>IFERROR(__xludf.DUMMYFUNCTION("""COMPUTED_VALUE"""),"Ray Interference: a Source of Plateaus in Deep Reinforcement Learning")</f>
        <v>Ray Interference: a Source of Plateaus in Deep Reinforcement Learning</v>
      </c>
      <c r="D411" t="str">
        <f>IFERROR(__xludf.DUMMYFUNCTION("""COMPUTED_VALUE"""),"Tom Schaul, Diana Borsa, Joseph Modayil, Razvan Pascanu")</f>
        <v>Tom Schaul, Diana Borsa, Joseph Modayil, Razvan Pascanu</v>
      </c>
      <c r="E411" t="str">
        <f>IFERROR(__xludf.DUMMYFUNCTION("""COMPUTED_VALUE"""),"arXiv")</f>
        <v>arXiv</v>
      </c>
      <c r="F411">
        <f>IFERROR(__xludf.DUMMYFUNCTION("""COMPUTED_VALUE"""),2019.0)</f>
        <v>2019</v>
      </c>
      <c r="H411" s="3" t="str">
        <f>IFERROR(__xludf.DUMMYFUNCTION("""COMPUTED_VALUE"""),"AN #58")</f>
        <v>AN #58</v>
      </c>
      <c r="I411" t="str">
        <f>IFERROR(__xludf.DUMMYFUNCTION("""COMPUTED_VALUE"""),"Cody")</f>
        <v>Cody</v>
      </c>
      <c r="J411" t="str">
        <f>IFERROR(__xludf.DUMMYFUNCTION("""COMPUTED_VALUE"""),"The authors argue that Deep RL is subject to a particular kind of training pathology called ""ray interference"", caused by situations where (1) there are multiple sub-tasks within a task, and the gradient update of one can decrease performance on the oth"&amp;"ers, and (2) the ability to learn on a given sub-task is a function of its current performance. Performance interference can happen whenever there are shared components between notional subcomponents or subtasks, and the fact that many RL algorithms learn"&amp;" on-policy means that low performance might lead to little data collection in a region of parameter space, and make it harder to increase performance there in future. ")</f>
        <v>The authors argue that Deep RL is subject to a particular kind of training pathology called "ray interference", caused by situations where (1) there are multiple sub-tasks within a task, and the gradient update of one can decrease performance on the others, and (2) the ability to learn on a given sub-task is a function of its current performance. Performance interference can happen whenever there are shared components between notional subcomponents or subtasks, and the fact that many RL algorithms learn on-policy means that low performance might lead to little data collection in a region of parameter space, and make it harder to increase performance there in future. </v>
      </c>
      <c r="K411" t="str">
        <f>IFERROR(__xludf.DUMMYFUNCTION("""COMPUTED_VALUE"""),"This seems like a useful mental concept, but it seems quite difficult to effectively remedy, except through preferring off-policy methods to on-policy ones, since there isn't really a way to decompose real RL tasks into separable components the way they d"&amp;"o in their toy example")</f>
        <v>This seems like a useful mental concept, but it seems quite difficult to effectively remedy, except through preferring off-policy methods to on-policy ones, since there isn't really a way to decompose real RL tasks into separable components the way they do in their toy example</v>
      </c>
    </row>
    <row r="412">
      <c r="A412" t="str">
        <f>IFERROR(__xludf.DUMMYFUNCTION("""COMPUTED_VALUE"""),"Deep learning")</f>
        <v>Deep learning</v>
      </c>
      <c r="B412" t="str">
        <f>IFERROR(__xludf.DUMMYFUNCTION("""COMPUTED_VALUE"""),"")</f>
        <v/>
      </c>
      <c r="C412" s="3" t="str">
        <f>IFERROR(__xludf.DUMMYFUNCTION("""COMPUTED_VALUE"""),"Generative Modeling with Sparse Transformers")</f>
        <v>Generative Modeling with Sparse Transformers</v>
      </c>
      <c r="D412" t="str">
        <f>IFERROR(__xludf.DUMMYFUNCTION("""COMPUTED_VALUE"""),"Rewon Child and Scott Gray")</f>
        <v>Rewon Child and Scott Gray</v>
      </c>
      <c r="E412" t="str">
        <f>IFERROR(__xludf.DUMMYFUNCTION("""COMPUTED_VALUE"""),"OpenAI Blog")</f>
        <v>OpenAI Blog</v>
      </c>
      <c r="F412">
        <f>IFERROR(__xludf.DUMMYFUNCTION("""COMPUTED_VALUE"""),2019.0)</f>
        <v>2019</v>
      </c>
      <c r="H412" s="3" t="str">
        <f>IFERROR(__xludf.DUMMYFUNCTION("""COMPUTED_VALUE"""),"AN #56")</f>
        <v>AN #56</v>
      </c>
      <c r="I412" t="str">
        <f>IFERROR(__xludf.DUMMYFUNCTION("""COMPUTED_VALUE"""),"Cody")</f>
        <v>Cody</v>
      </c>
      <c r="J412" t="str">
        <f>IFERROR(__xludf.DUMMYFUNCTION("""COMPUTED_VALUE"""),"I see this paper as trying to interpolate the space between convolution (fixed receptive field, number of layers needed to gain visibility to the whole sequence grows with sequence length) and attention (visibility to the entire sequence at each operation"&amp;", but n^2 memory and compute scaling with sequence length, since each new element needs to query and be queried by each other element). This is done by creating  chains of operations that are more efficient, and can offer visibility to the whole sequence "&amp;"in k steps rather than k=1 steps, as with normal attention. An example of this is one attention step that pulls in information from the last 7 elements, and then a second that pulls in information from each 7th element back in time (the ""aggregation poin"&amp;"ts"" of the first operation). ")</f>
        <v>I see this paper as trying to interpolate the space between convolution (fixed receptive field, number of layers needed to gain visibility to the whole sequence grows with sequence length) and attention (visibility to the entire sequence at each operation, but n^2 memory and compute scaling with sequence length, since each new element needs to query and be queried by each other element). This is done by creating  chains of operations that are more efficient, and can offer visibility to the whole sequence in k steps rather than k=1 steps, as with normal attention. An example of this is one attention step that pulls in information from the last 7 elements, and then a second that pulls in information from each 7th element back in time (the "aggregation points" of the first operation). </v>
      </c>
      <c r="K412" t="str">
        <f>IFERROR(__xludf.DUMMYFUNCTION("""COMPUTED_VALUE"""),"I find this paper really clever and potentially quite high-impact, since Transformers are *so* widely used, and this paper could offer a substantial speedup without much theoretical loss of information. I also just enjoyed having to think more about the t"&amp;"rade-offs between convolutions, RNNs, and transformers, and how to get access to different points along those tradeoff curves.")</f>
        <v>I find this paper really clever and potentially quite high-impact, since Transformers are *so* widely used, and this paper could offer a substantial speedup without much theoretical loss of information. I also just enjoyed having to think more about the trade-offs between convolutions, RNNs, and transformers, and how to get access to different points along those tradeoff curves.</v>
      </c>
    </row>
    <row r="413">
      <c r="A413" t="str">
        <f>IFERROR(__xludf.DUMMYFUNCTION("""COMPUTED_VALUE"""),"Deep learning")</f>
        <v>Deep learning</v>
      </c>
      <c r="B413" t="str">
        <f>IFERROR(__xludf.DUMMYFUNCTION("""COMPUTED_VALUE"""),"")</f>
        <v/>
      </c>
      <c r="C413" s="3" t="str">
        <f>IFERROR(__xludf.DUMMYFUNCTION("""COMPUTED_VALUE"""),"Introducing Translatotron: An End-to-End Speech-to-Speech Translation Model")</f>
        <v>Introducing Translatotron: An End-to-End Speech-to-Speech Translation Model</v>
      </c>
      <c r="D413" t="str">
        <f>IFERROR(__xludf.DUMMYFUNCTION("""COMPUTED_VALUE"""),"Ye Jia and Ron Weiss")</f>
        <v>Ye Jia and Ron Weiss</v>
      </c>
      <c r="E413" t="str">
        <f>IFERROR(__xludf.DUMMYFUNCTION("""COMPUTED_VALUE"""),"Google AI Blog")</f>
        <v>Google AI Blog</v>
      </c>
      <c r="F413">
        <f>IFERROR(__xludf.DUMMYFUNCTION("""COMPUTED_VALUE"""),2019.0)</f>
        <v>2019</v>
      </c>
      <c r="H413" s="3" t="str">
        <f>IFERROR(__xludf.DUMMYFUNCTION("""COMPUTED_VALUE"""),"AN #56")</f>
        <v>AN #56</v>
      </c>
      <c r="I413" t="str">
        <f>IFERROR(__xludf.DUMMYFUNCTION("""COMPUTED_VALUE"""),"Rohin")</f>
        <v>Rohin</v>
      </c>
      <c r="J413" t="str">
        <f>IFERROR(__xludf.DUMMYFUNCTION("""COMPUTED_VALUE"""),"This post introduces Translatotron, a system that takes speech (not text!) in one language and translates it to another language. This is in contrast to most current ""cascaded"" systems, which typically go from speech to text, then translate to the other"&amp;" language, and then go back from text to speech. While Translatotron doesn't beat current systems, it demonstrates the feasibility of this approach.")</f>
        <v>This post introduces Translatotron, a system that takes speech (not text!) in one language and translates it to another language. This is in contrast to most current "cascaded" systems, which typically go from speech to text, then translate to the other language, and then go back from text to speech. While Translatotron doesn't beat current systems, it demonstrates the feasibility of this approach.</v>
      </c>
      <c r="K413" t="str">
        <f>IFERROR(__xludf.DUMMYFUNCTION("""COMPUTED_VALUE"""),"Machine translation used to be done in multiple stages (involving parse trees as an intermediate representation), and then it was done better using end-to-end training of a deep neural net. This looks like the beginning of the same process for speech-to-s"&amp;"peech translation. I'm not sure how much people care about speech-to-speech translation, but **if it's an important problem, I'd expect the direct speech-to-speech systems to outperform the cascaded approach relatively soon**. I'm particularly interested "&amp;"to see whether you can ""bootstrap"" by using the cascaded approach to generate training data for the end-to-end approach, and then finetune the end-to-end approach on the direct speech-to-speech data that's available to improve performance further.")</f>
        <v>Machine translation used to be done in multiple stages (involving parse trees as an intermediate representation), and then it was done better using end-to-end training of a deep neural net. This looks like the beginning of the same process for speech-to-speech translation. I'm not sure how much people care about speech-to-speech translation, but **if it's an important problem, I'd expect the direct speech-to-speech systems to outperform the cascaded approach relatively soon**. I'm particularly interested to see whether you can "bootstrap" by using the cascaded approach to generate training data for the end-to-end approach, and then finetune the end-to-end approach on the direct speech-to-speech data that's available to improve performance further.</v>
      </c>
    </row>
    <row r="414">
      <c r="A414" t="str">
        <f>IFERROR(__xludf.DUMMYFUNCTION("""COMPUTED_VALUE"""),"Deep learning")</f>
        <v>Deep learning</v>
      </c>
      <c r="B414" t="str">
        <f>IFERROR(__xludf.DUMMYFUNCTION("""COMPUTED_VALUE"""),"")</f>
        <v/>
      </c>
      <c r="C414" s="3" t="str">
        <f>IFERROR(__xludf.DUMMYFUNCTION("""COMPUTED_VALUE"""),"A Recipe for Training Neural Networks")</f>
        <v>A Recipe for Training Neural Networks</v>
      </c>
      <c r="D414" t="str">
        <f>IFERROR(__xludf.DUMMYFUNCTION("""COMPUTED_VALUE"""),"Andrej Karpathy")</f>
        <v>Andrej Karpathy</v>
      </c>
      <c r="E414" t="str">
        <f>IFERROR(__xludf.DUMMYFUNCTION("""COMPUTED_VALUE"""),"Author's Website")</f>
        <v>Author's Website</v>
      </c>
      <c r="F414">
        <f>IFERROR(__xludf.DUMMYFUNCTION("""COMPUTED_VALUE"""),2019.0)</f>
        <v>2019</v>
      </c>
      <c r="H414" s="3" t="str">
        <f>IFERROR(__xludf.DUMMYFUNCTION("""COMPUTED_VALUE"""),"AN #56")</f>
        <v>AN #56</v>
      </c>
      <c r="I414" t="str">
        <f>IFERROR(__xludf.DUMMYFUNCTION("""COMPUTED_VALUE"""),"Rohin")</f>
        <v>Rohin</v>
      </c>
      <c r="J414" t="str">
        <f>IFERROR(__xludf.DUMMYFUNCTION("""COMPUTED_VALUE"""),"This is a great post detailing how to train neural networks in practice when you want to do anything more complicated than training the most common architecture on the most common dataset. For all of you readers who are training neural nets, I strongly re"&amp;"commend this post; the reason I'm not summarizing it in depth is because a) it would be a really long summary and b) it's not that related to AI alignment.")</f>
        <v>This is a great post detailing how to train neural networks in practice when you want to do anything more complicated than training the most common architecture on the most common dataset. For all of you readers who are training neural nets, I strongly recommend this post; the reason I'm not summarizing it in depth is because a) it would be a really long summary and b) it's not that related to AI alignment.</v>
      </c>
    </row>
    <row r="415">
      <c r="A415" t="str">
        <f>IFERROR(__xludf.DUMMYFUNCTION("""COMPUTED_VALUE"""),"Deep learning")</f>
        <v>Deep learning</v>
      </c>
      <c r="B415" t="str">
        <f>IFERROR(__xludf.DUMMYFUNCTION("""COMPUTED_VALUE"""),"")</f>
        <v/>
      </c>
      <c r="C415" s="3" t="str">
        <f>IFERROR(__xludf.DUMMYFUNCTION("""COMPUTED_VALUE"""),"MLPerf")</f>
        <v>MLPerf</v>
      </c>
      <c r="E415" t="str">
        <f>IFERROR(__xludf.DUMMYFUNCTION("""COMPUTED_VALUE"""),"MLPerf Website")</f>
        <v>MLPerf Website</v>
      </c>
      <c r="F415">
        <f>IFERROR(__xludf.DUMMYFUNCTION("""COMPUTED_VALUE"""),2018.0)</f>
        <v>2018</v>
      </c>
      <c r="H415" s="3" t="str">
        <f>IFERROR(__xludf.DUMMYFUNCTION("""COMPUTED_VALUE"""),"AN #5")</f>
        <v>AN #5</v>
      </c>
      <c r="I415" t="str">
        <f>IFERROR(__xludf.DUMMYFUNCTION("""COMPUTED_VALUE"""),"Rohin")</f>
        <v>Rohin</v>
      </c>
      <c r="J415" t="str">
        <f>IFERROR(__xludf.DUMMYFUNCTION("""COMPUTED_VALUE"""),"From their overview: ""The MLPerf effort aims to build a common set of benchmarks that enables the machine learning (ML) field to measure system performance for both training and inference from mobile devices to cloud services."" They have a track to meas"&amp;"ure the performance of hardware and software systems that support ML models, as well as a track that aims to advance the state-of-the-art in ML models. They consider a broad set of problems (though it seems like they are all problems where some deep learn"&amp;"ing technique is state-of-the-art).")</f>
        <v>From their overview: "The MLPerf effort aims to build a common set of benchmarks that enables the machine learning (ML) field to measure system performance for both training and inference from mobile devices to cloud services." They have a track to measure the performance of hardware and software systems that support ML models, as well as a track that aims to advance the state-of-the-art in ML models. They consider a broad set of problems (though it seems like they are all problems where some deep learning technique is state-of-the-art).</v>
      </c>
    </row>
    <row r="416">
      <c r="A416" t="str">
        <f>IFERROR(__xludf.DUMMYFUNCTION("""COMPUTED_VALUE"""),"Deep learning")</f>
        <v>Deep learning</v>
      </c>
      <c r="B416" t="str">
        <f>IFERROR(__xludf.DUMMYFUNCTION("""COMPUTED_VALUE"""),"")</f>
        <v/>
      </c>
      <c r="C416" s="3" t="str">
        <f>IFERROR(__xludf.DUMMYFUNCTION("""COMPUTED_VALUE"""),"The Best of Both Worlds: Combining Recent Advances in Neural Machine Translation")</f>
        <v>The Best of Both Worlds: Combining Recent Advances in Neural Machine Translation</v>
      </c>
      <c r="D416" t="str">
        <f>IFERROR(__xludf.DUMMYFUNCTION("""COMPUTED_VALUE"""),"Mia Xu Chen, Orhan Firat, Ankur Bapna, Melvin Johnson, Wolfgang Macherey, George Foster, Llion Jones, Niki Parmar, Mike Schuster, Zhifeng Chen, Yonghui Wu, Macduff Hughes")</f>
        <v>Mia Xu Chen, Orhan Firat, Ankur Bapna, Melvin Johnson, Wolfgang Macherey, George Foster, Llion Jones, Niki Parmar, Mike Schuster, Zhifeng Chen, Yonghui Wu, Macduff Hughes</v>
      </c>
      <c r="E416" t="str">
        <f>IFERROR(__xludf.DUMMYFUNCTION("""COMPUTED_VALUE"""),"arXiv")</f>
        <v>arXiv</v>
      </c>
      <c r="F416">
        <f>IFERROR(__xludf.DUMMYFUNCTION("""COMPUTED_VALUE"""),2018.0)</f>
        <v>2018</v>
      </c>
      <c r="H416" s="3" t="str">
        <f>IFERROR(__xludf.DUMMYFUNCTION("""COMPUTED_VALUE"""),"AN #5")</f>
        <v>AN #5</v>
      </c>
    </row>
    <row r="417">
      <c r="A417" t="str">
        <f>IFERROR(__xludf.DUMMYFUNCTION("""COMPUTED_VALUE"""),"Deep learning")</f>
        <v>Deep learning</v>
      </c>
      <c r="B417" t="str">
        <f>IFERROR(__xludf.DUMMYFUNCTION("""COMPUTED_VALUE"""),"")</f>
        <v/>
      </c>
      <c r="C417" s="3" t="str">
        <f>IFERROR(__xludf.DUMMYFUNCTION("""COMPUTED_VALUE"""),"Self-Tuning Networks: Bilevel Optimization of Hyperparameters using Structured Best-Response Functions")</f>
        <v>Self-Tuning Networks: Bilevel Optimization of Hyperparameters using Structured Best-Response Functions</v>
      </c>
      <c r="D417" t="str">
        <f>IFERROR(__xludf.DUMMYFUNCTION("""COMPUTED_VALUE"""),"Matthew MacKay, Paul Vicol, Jon Lorraine, David Duvenaud, Roger Grosse")</f>
        <v>Matthew MacKay, Paul Vicol, Jon Lorraine, David Duvenaud, Roger Grosse</v>
      </c>
      <c r="E417" t="str">
        <f>IFERROR(__xludf.DUMMYFUNCTION("""COMPUTED_VALUE"""),"arXiv")</f>
        <v>arXiv</v>
      </c>
      <c r="F417">
        <f>IFERROR(__xludf.DUMMYFUNCTION("""COMPUTED_VALUE"""),2019.0)</f>
        <v>2019</v>
      </c>
      <c r="H417" s="3" t="str">
        <f>IFERROR(__xludf.DUMMYFUNCTION("""COMPUTED_VALUE"""),"AN #49")</f>
        <v>AN #49</v>
      </c>
    </row>
    <row r="418">
      <c r="A418" t="str">
        <f>IFERROR(__xludf.DUMMYFUNCTION("""COMPUTED_VALUE"""),"Deep learning")</f>
        <v>Deep learning</v>
      </c>
      <c r="B418" t="str">
        <f>IFERROR(__xludf.DUMMYFUNCTION("""COMPUTED_VALUE"""),"")</f>
        <v/>
      </c>
      <c r="C418" s="3" t="str">
        <f>IFERROR(__xludf.DUMMYFUNCTION("""COMPUTED_VALUE"""),"Random Search and Reproducibility for Neural Architecture Search")</f>
        <v>Random Search and Reproducibility for Neural Architecture Search</v>
      </c>
      <c r="D418" t="str">
        <f>IFERROR(__xludf.DUMMYFUNCTION("""COMPUTED_VALUE"""),"Liam Li, Ameet Talwalkar")</f>
        <v>Liam Li, Ameet Talwalkar</v>
      </c>
      <c r="E418" t="str">
        <f>IFERROR(__xludf.DUMMYFUNCTION("""COMPUTED_VALUE"""),"AAAI-AIES 2019")</f>
        <v>AAAI-AIES 2019</v>
      </c>
      <c r="F418">
        <f>IFERROR(__xludf.DUMMYFUNCTION("""COMPUTED_VALUE"""),2019.0)</f>
        <v>2019</v>
      </c>
      <c r="H418" s="3" t="str">
        <f>IFERROR(__xludf.DUMMYFUNCTION("""COMPUTED_VALUE"""),"AN #47")</f>
        <v>AN #47</v>
      </c>
    </row>
    <row r="419">
      <c r="A419" t="str">
        <f>IFERROR(__xludf.DUMMYFUNCTION("""COMPUTED_VALUE"""),"Deep learning")</f>
        <v>Deep learning</v>
      </c>
      <c r="B419" t="str">
        <f>IFERROR(__xludf.DUMMYFUNCTION("""COMPUTED_VALUE"""),"")</f>
        <v/>
      </c>
      <c r="C419" s="3" t="str">
        <f>IFERROR(__xludf.DUMMYFUNCTION("""COMPUTED_VALUE"""),"A Conservative Human Baseline Estimate for GLUE: People Still (Mostly) Beat Machines")</f>
        <v>A Conservative Human Baseline Estimate for GLUE: People Still (Mostly) Beat Machines</v>
      </c>
      <c r="D419" t="str">
        <f>IFERROR(__xludf.DUMMYFUNCTION("""COMPUTED_VALUE"""),"Nikita Nangia, Samuel R. Bowman")</f>
        <v>Nikita Nangia, Samuel R. Bowman</v>
      </c>
      <c r="E419" t="str">
        <f>IFERROR(__xludf.DUMMYFUNCTION("""COMPUTED_VALUE"""),"Github")</f>
        <v>Github</v>
      </c>
      <c r="F419">
        <f>IFERROR(__xludf.DUMMYFUNCTION("""COMPUTED_VALUE"""),2019.0)</f>
        <v>2019</v>
      </c>
      <c r="H419" s="3" t="str">
        <f>IFERROR(__xludf.DUMMYFUNCTION("""COMPUTED_VALUE"""),"AN #45")</f>
        <v>AN #45</v>
      </c>
      <c r="I419" t="str">
        <f>IFERROR(__xludf.DUMMYFUNCTION("""COMPUTED_VALUE"""),"Dan H")</f>
        <v>Dan H</v>
      </c>
      <c r="J419" t="str">
        <f>IFERROR(__xludf.DUMMYFUNCTION("""COMPUTED_VALUE"""),"[BERT](https://arxiv.org/abs/1810.04805) tremendously improves performance on several NLP datasets, such that it has ""taken over"" NLP. GLUE represents performance of NLP models across a broad range of NLP datasets. Now GLUE has human performance measure"&amp;"ments. According to the [current GLUE leaderboard](https://gluebenchmark.com/leaderboard), the gap between human performance and models fine-tuned on GLUE datasets is a mere 4.7%. Hence many current NLP datasets are nearly ""solved.""")</f>
        <v>[BERT](https://arxiv.org/abs/1810.04805) tremendously improves performance on several NLP datasets, such that it has "taken over" NLP. GLUE represents performance of NLP models across a broad range of NLP datasets. Now GLUE has human performance measurements. According to the [current GLUE leaderboard](https://gluebenchmark.com/leaderboard), the gap between human performance and models fine-tuned on GLUE datasets is a mere 4.7%. Hence many current NLP datasets are nearly "solved."</v>
      </c>
    </row>
    <row r="420">
      <c r="A420" t="str">
        <f>IFERROR(__xludf.DUMMYFUNCTION("""COMPUTED_VALUE"""),"Deep learning")</f>
        <v>Deep learning</v>
      </c>
      <c r="B420" t="str">
        <f>IFERROR(__xludf.DUMMYFUNCTION("""COMPUTED_VALUE"""),"")</f>
        <v/>
      </c>
      <c r="C420" s="3" t="str">
        <f>IFERROR(__xludf.DUMMYFUNCTION("""COMPUTED_VALUE"""),"Attentive Neural Processes")</f>
        <v>Attentive Neural Processes</v>
      </c>
      <c r="D420" t="str">
        <f>IFERROR(__xludf.DUMMYFUNCTION("""COMPUTED_VALUE"""),"Hyunjik Kim, Andriy Mnih, Jonathan Schwarz, Marta Garnelo, Ali Eslami, Dan Rosenbaum, Oriol Vinyals, Yee Whye Teh")</f>
        <v>Hyunjik Kim, Andriy Mnih, Jonathan Schwarz, Marta Garnelo, Ali Eslami, Dan Rosenbaum, Oriol Vinyals, Yee Whye Teh</v>
      </c>
      <c r="E420" t="str">
        <f>IFERROR(__xludf.DUMMYFUNCTION("""COMPUTED_VALUE"""),"arXiv")</f>
        <v>arXiv</v>
      </c>
      <c r="F420">
        <f>IFERROR(__xludf.DUMMYFUNCTION("""COMPUTED_VALUE"""),2019.0)</f>
        <v>2019</v>
      </c>
      <c r="H420" s="3" t="str">
        <f>IFERROR(__xludf.DUMMYFUNCTION("""COMPUTED_VALUE"""),"AN #43")</f>
        <v>AN #43</v>
      </c>
    </row>
    <row r="421">
      <c r="A421" t="str">
        <f>IFERROR(__xludf.DUMMYFUNCTION("""COMPUTED_VALUE"""),"Deep learning")</f>
        <v>Deep learning</v>
      </c>
      <c r="B421" t="str">
        <f>IFERROR(__xludf.DUMMYFUNCTION("""COMPUTED_VALUE"""),"")</f>
        <v/>
      </c>
      <c r="C421" s="3" t="str">
        <f>IFERROR(__xludf.DUMMYFUNCTION("""COMPUTED_VALUE"""),"Graph Neural Networks: A Review of Methods and Applications")</f>
        <v>Graph Neural Networks: A Review of Methods and Applications</v>
      </c>
      <c r="D421" t="str">
        <f>IFERROR(__xludf.DUMMYFUNCTION("""COMPUTED_VALUE"""),"Jie Zhou, Ganqu Cui, Zhengyan Zhang, Cheng Yang, Zhiyuan Liu, Lifeng Wang, Changcheng Li, Maosong Sun")</f>
        <v>Jie Zhou, Ganqu Cui, Zhengyan Zhang, Cheng Yang, Zhiyuan Liu, Lifeng Wang, Changcheng Li, Maosong Sun</v>
      </c>
      <c r="E421" t="str">
        <f>IFERROR(__xludf.DUMMYFUNCTION("""COMPUTED_VALUE"""),"CVPR 2018")</f>
        <v>CVPR 2018</v>
      </c>
      <c r="F421">
        <f>IFERROR(__xludf.DUMMYFUNCTION("""COMPUTED_VALUE"""),2019.0)</f>
        <v>2019</v>
      </c>
      <c r="H421" s="3" t="str">
        <f>IFERROR(__xludf.DUMMYFUNCTION("""COMPUTED_VALUE"""),"AN #42")</f>
        <v>AN #42</v>
      </c>
    </row>
    <row r="422">
      <c r="A422" t="str">
        <f>IFERROR(__xludf.DUMMYFUNCTION("""COMPUTED_VALUE"""),"Deep learning")</f>
        <v>Deep learning</v>
      </c>
      <c r="B422" t="str">
        <f>IFERROR(__xludf.DUMMYFUNCTION("""COMPUTED_VALUE"""),"")</f>
        <v/>
      </c>
      <c r="C422" s="3" t="str">
        <f>IFERROR(__xludf.DUMMYFUNCTION("""COMPUTED_VALUE"""),"Phrase-Based &amp; Neural Unsupervised Machine Translation")</f>
        <v>Phrase-Based &amp; Neural Unsupervised Machine Translation</v>
      </c>
      <c r="D422" t="str">
        <f>IFERROR(__xludf.DUMMYFUNCTION("""COMPUTED_VALUE"""),"Guillaume Lample, Myle Ott, Alexis Conneau, Ludovic Denoyer, Marc'Aurelio Ranzato")</f>
        <v>Guillaume Lample, Myle Ott, Alexis Conneau, Ludovic Denoyer, Marc'Aurelio Ranzato</v>
      </c>
      <c r="E422" t="str">
        <f>IFERROR(__xludf.DUMMYFUNCTION("""COMPUTED_VALUE"""),"NIPS 2018")</f>
        <v>NIPS 2018</v>
      </c>
      <c r="F422">
        <f>IFERROR(__xludf.DUMMYFUNCTION("""COMPUTED_VALUE"""),2018.0)</f>
        <v>2018</v>
      </c>
      <c r="H422" s="3" t="str">
        <f>IFERROR(__xludf.DUMMYFUNCTION("""COMPUTED_VALUE"""),"AN #4")</f>
        <v>AN #4</v>
      </c>
    </row>
    <row r="423">
      <c r="A423" t="str">
        <f>IFERROR(__xludf.DUMMYFUNCTION("""COMPUTED_VALUE"""),"Deep learning")</f>
        <v>Deep learning</v>
      </c>
      <c r="B423" t="str">
        <f>IFERROR(__xludf.DUMMYFUNCTION("""COMPUTED_VALUE"""),"")</f>
        <v/>
      </c>
      <c r="C423" s="3" t="str">
        <f>IFERROR(__xludf.DUMMYFUNCTION("""COMPUTED_VALUE"""),"Realistic Evaluation of Deep Semi-Supervised Learning Algorithms")</f>
        <v>Realistic Evaluation of Deep Semi-Supervised Learning Algorithms</v>
      </c>
      <c r="D423" t="str">
        <f>IFERROR(__xludf.DUMMYFUNCTION("""COMPUTED_VALUE"""),"Avital Oliver, Augustus Odena, Colin Raffel, Ekin D. Cubuk, Ian J. Goodfellow")</f>
        <v>Avital Oliver, Augustus Odena, Colin Raffel, Ekin D. Cubuk, Ian J. Goodfellow</v>
      </c>
      <c r="E423" t="str">
        <f>IFERROR(__xludf.DUMMYFUNCTION("""COMPUTED_VALUE"""),"arXiv")</f>
        <v>arXiv</v>
      </c>
      <c r="F423">
        <f>IFERROR(__xludf.DUMMYFUNCTION("""COMPUTED_VALUE"""),2018.0)</f>
        <v>2018</v>
      </c>
      <c r="H423" s="3" t="str">
        <f>IFERROR(__xludf.DUMMYFUNCTION("""COMPUTED_VALUE"""),"AN #4")</f>
        <v>AN #4</v>
      </c>
    </row>
    <row r="424">
      <c r="A424" t="str">
        <f>IFERROR(__xludf.DUMMYFUNCTION("""COMPUTED_VALUE"""),"Deep learning")</f>
        <v>Deep learning</v>
      </c>
      <c r="B424" t="str">
        <f>IFERROR(__xludf.DUMMYFUNCTION("""COMPUTED_VALUE"""),"")</f>
        <v/>
      </c>
      <c r="C424" s="3" t="str">
        <f>IFERROR(__xludf.DUMMYFUNCTION("""COMPUTED_VALUE"""),"Do Better ImageNet Models Transfer Better?")</f>
        <v>Do Better ImageNet Models Transfer Better?</v>
      </c>
      <c r="D424" t="str">
        <f>IFERROR(__xludf.DUMMYFUNCTION("""COMPUTED_VALUE"""),"Simon Kornblith, Jonathon Shlens, and Quoc V. Le")</f>
        <v>Simon Kornblith, Jonathon Shlens, and Quoc V. Le</v>
      </c>
      <c r="E424" t="str">
        <f>IFERROR(__xludf.DUMMYFUNCTION("""COMPUTED_VALUE"""),"ICLR 2019")</f>
        <v>ICLR 2019</v>
      </c>
      <c r="F424">
        <f>IFERROR(__xludf.DUMMYFUNCTION("""COMPUTED_VALUE"""),2018.0)</f>
        <v>2018</v>
      </c>
      <c r="H424" s="3" t="str">
        <f>IFERROR(__xludf.DUMMYFUNCTION("""COMPUTED_VALUE"""),"AN #34")</f>
        <v>AN #34</v>
      </c>
      <c r="I424" t="str">
        <f>IFERROR(__xludf.DUMMYFUNCTION("""COMPUTED_VALUE"""),"Dan H")</f>
        <v>Dan H</v>
      </c>
      <c r="K424" t="str">
        <f>IFERROR(__xludf.DUMMYFUNCTION("""COMPUTED_VALUE"""),"This paper shows a strong correlation between a model's ImageNet accuracy and its accuracy on transfer learning tasks. In turn, better ImageNet models learn stronger features. This is evidence against the assertion that researchers are simply overfitting "&amp;"ImageNet. [Other evidence](https://arxiv.org/abs/1811.08883) is that the architectures themselves work better on different vision tasks. Further evidence against overfitting ImageNet is that many architectures which are desgined for CIFAR-10, when trained"&amp;" on ImageNet, [can be highly competitive on ImageNet](https://arxiv.org/pdf/1802.01548.pdf).")</f>
        <v>This paper shows a strong correlation between a model's ImageNet accuracy and its accuracy on transfer learning tasks. In turn, better ImageNet models learn stronger features. This is evidence against the assertion that researchers are simply overfitting ImageNet. [Other evidence](https://arxiv.org/abs/1811.08883) is that the architectures themselves work better on different vision tasks. Further evidence against overfitting ImageNet is that many architectures which are desgined for CIFAR-10, when trained on ImageNet, [can be highly competitive on ImageNet](https://arxiv.org/pdf/1802.01548.pdf).</v>
      </c>
    </row>
    <row r="425">
      <c r="A425" t="str">
        <f>IFERROR(__xludf.DUMMYFUNCTION("""COMPUTED_VALUE"""),"Deep learning")</f>
        <v>Deep learning</v>
      </c>
      <c r="B425" t="str">
        <f>IFERROR(__xludf.DUMMYFUNCTION("""COMPUTED_VALUE"""),"")</f>
        <v/>
      </c>
      <c r="C425" s="3" t="str">
        <f>IFERROR(__xludf.DUMMYFUNCTION("""COMPUTED_VALUE"""),"Gather-Excite: Exploiting Feature Context in Convolutional Neural Networks")</f>
        <v>Gather-Excite: Exploiting Feature Context in Convolutional Neural Networks</v>
      </c>
      <c r="D425" t="str">
        <f>IFERROR(__xludf.DUMMYFUNCTION("""COMPUTED_VALUE"""),"Jie Hu, Li Shen, Samuel Albanie, Gang Sun, Andrea Vedaldi")</f>
        <v>Jie Hu, Li Shen, Samuel Albanie, Gang Sun, Andrea Vedaldi</v>
      </c>
      <c r="E425" t="str">
        <f>IFERROR(__xludf.DUMMYFUNCTION("""COMPUTED_VALUE"""),"NIPS")</f>
        <v>NIPS</v>
      </c>
      <c r="F425">
        <f>IFERROR(__xludf.DUMMYFUNCTION("""COMPUTED_VALUE"""),2018.0)</f>
        <v>2018</v>
      </c>
      <c r="H425" s="3" t="str">
        <f>IFERROR(__xludf.DUMMYFUNCTION("""COMPUTED_VALUE"""),"AN #34")</f>
        <v>AN #34</v>
      </c>
      <c r="I425" t="str">
        <f>IFERROR(__xludf.DUMMYFUNCTION("""COMPUTED_VALUE"""),"Dan H")</f>
        <v>Dan H</v>
      </c>
      <c r="M425" t="str">
        <f>IFERROR(__xludf.DUMMYFUNCTION("""COMPUTED_VALUE"""),"This method uses spatial summarization for increasing convnet accuracy and was discovered around the same time as [this similar work](http://openaccess.thecvf.com/content_ECCV_2018/papers/Sanghyun_Woo_Convolutional_Block_Attention_ECCV_2018_paper.pdf). Pa"&amp;"pers with independent rediscoveries tend to be worth taking more seriously.")</f>
        <v>This method uses spatial summarization for increasing convnet accuracy and was discovered around the same time as [this similar work](http://openaccess.thecvf.com/content_ECCV_2018/papers/Sanghyun_Woo_Convolutional_Block_Attention_ECCV_2018_paper.pdf). Papers with independent rediscoveries tend to be worth taking more seriously.</v>
      </c>
    </row>
    <row r="426">
      <c r="A426" t="str">
        <f>IFERROR(__xludf.DUMMYFUNCTION("""COMPUTED_VALUE"""),"Deep learning")</f>
        <v>Deep learning</v>
      </c>
      <c r="B426" t="str">
        <f>IFERROR(__xludf.DUMMYFUNCTION("""COMPUTED_VALUE"""),"")</f>
        <v/>
      </c>
      <c r="C426" s="3" t="str">
        <f>IFERROR(__xludf.DUMMYFUNCTION("""COMPUTED_VALUE"""),"Improving Generalization for Abstract Reasoning Tasks Using Disentangled Feature Representations")</f>
        <v>Improving Generalization for Abstract Reasoning Tasks Using Disentangled Feature Representations</v>
      </c>
      <c r="D426" t="str">
        <f>IFERROR(__xludf.DUMMYFUNCTION("""COMPUTED_VALUE"""),"Xander Steenbrugge, Sam Leroux, Tim Verbelen, Bart Dhoedt")</f>
        <v>Xander Steenbrugge, Sam Leroux, Tim Verbelen, Bart Dhoedt</v>
      </c>
      <c r="E426" t="str">
        <f>IFERROR(__xludf.DUMMYFUNCTION("""COMPUTED_VALUE"""),"arXiv")</f>
        <v>arXiv</v>
      </c>
      <c r="F426">
        <f>IFERROR(__xludf.DUMMYFUNCTION("""COMPUTED_VALUE"""),2018.0)</f>
        <v>2018</v>
      </c>
      <c r="H426" s="3" t="str">
        <f>IFERROR(__xludf.DUMMYFUNCTION("""COMPUTED_VALUE"""),"AN #34")</f>
        <v>AN #34</v>
      </c>
    </row>
    <row r="427">
      <c r="A427" t="str">
        <f>IFERROR(__xludf.DUMMYFUNCTION("""COMPUTED_VALUE"""),"Deep learning")</f>
        <v>Deep learning</v>
      </c>
      <c r="B427" t="str">
        <f>IFERROR(__xludf.DUMMYFUNCTION("""COMPUTED_VALUE"""),"")</f>
        <v/>
      </c>
      <c r="C427" s="3" t="str">
        <f>IFERROR(__xludf.DUMMYFUNCTION("""COMPUTED_VALUE"""),"Approximating CNNs with Bag-of-local-Features models works surprisingly well on ImageNet")</f>
        <v>Approximating CNNs with Bag-of-local-Features models works surprisingly well on ImageNet</v>
      </c>
      <c r="D427" t="str">
        <f>IFERROR(__xludf.DUMMYFUNCTION("""COMPUTED_VALUE"""),"Anonymous")</f>
        <v>Anonymous</v>
      </c>
      <c r="E427" t="str">
        <f>IFERROR(__xludf.DUMMYFUNCTION("""COMPUTED_VALUE"""),"OpenReview")</f>
        <v>OpenReview</v>
      </c>
      <c r="F427">
        <f>IFERROR(__xludf.DUMMYFUNCTION("""COMPUTED_VALUE"""),2018.0)</f>
        <v>2018</v>
      </c>
      <c r="H427" s="3" t="str">
        <f>IFERROR(__xludf.DUMMYFUNCTION("""COMPUTED_VALUE"""),"AN #33")</f>
        <v>AN #33</v>
      </c>
      <c r="I427" t="str">
        <f>IFERROR(__xludf.DUMMYFUNCTION("""COMPUTED_VALUE"""),"Dan H")</f>
        <v>Dan H</v>
      </c>
      <c r="J427" t="str">
        <f>IFERROR(__xludf.DUMMYFUNCTION("""COMPUTED_VALUE"""),"This paper proposes a bag-of-features model using patches as features, and they show that this can obtain accuracy similar to VGGNet architectures. They classify each patch and produce the final classification by a majority vote; Figure 1 of the paper tel"&amp;"ls all. In some ways this model is more interpretable than other deep architectures, as it is clear which regions activated which class. They attempt to show that, like their model, VGGNet does not use global shape information but instead uses localized f"&amp;"eatures.")</f>
        <v>This paper proposes a bag-of-features model using patches as features, and they show that this can obtain accuracy similar to VGGNet architectures. They classify each patch and produce the final classification by a majority vote; Figure 1 of the paper tells all. In some ways this model is more interpretable than other deep architectures, as it is clear which regions activated which class. They attempt to show that, like their model, VGGNet does not use global shape information but instead uses localized features.</v>
      </c>
    </row>
    <row r="428">
      <c r="A428" t="str">
        <f>IFERROR(__xludf.DUMMYFUNCTION("""COMPUTED_VALUE"""),"Deep learning")</f>
        <v>Deep learning</v>
      </c>
      <c r="B428" t="str">
        <f>IFERROR(__xludf.DUMMYFUNCTION("""COMPUTED_VALUE"""),"")</f>
        <v/>
      </c>
      <c r="C428" s="3" t="str">
        <f>IFERROR(__xludf.DUMMYFUNCTION("""COMPUTED_VALUE"""),"Learning Concepts with Energy Functions")</f>
        <v>Learning Concepts with Energy Functions</v>
      </c>
      <c r="D428" t="str">
        <f>IFERROR(__xludf.DUMMYFUNCTION("""COMPUTED_VALUE"""),"Igor Mordatch")</f>
        <v>Igor Mordatch</v>
      </c>
      <c r="E428" t="str">
        <f>IFERROR(__xludf.DUMMYFUNCTION("""COMPUTED_VALUE"""),"OpenAI Blog")</f>
        <v>OpenAI Blog</v>
      </c>
      <c r="F428">
        <f>IFERROR(__xludf.DUMMYFUNCTION("""COMPUTED_VALUE"""),2018.0)</f>
        <v>2018</v>
      </c>
      <c r="H428" s="3" t="str">
        <f>IFERROR(__xludf.DUMMYFUNCTION("""COMPUTED_VALUE"""),"AN #32")</f>
        <v>AN #32</v>
      </c>
      <c r="I428" t="str">
        <f>IFERROR(__xludf.DUMMYFUNCTION("""COMPUTED_VALUE"""),"Rohin")</f>
        <v>Rohin</v>
      </c>
      <c r="J428" t="str">
        <f>IFERROR(__xludf.DUMMYFUNCTION("""COMPUTED_VALUE"""),"")</f>
        <v/>
      </c>
      <c r="K428" t="str">
        <f>IFERROR(__xludf.DUMMYFUNCTION("""COMPUTED_VALUE"""),"")</f>
        <v/>
      </c>
    </row>
    <row r="429">
      <c r="A429" t="str">
        <f>IFERROR(__xludf.DUMMYFUNCTION("""COMPUTED_VALUE"""),"Deep learning")</f>
        <v>Deep learning</v>
      </c>
      <c r="B429" t="str">
        <f>IFERROR(__xludf.DUMMYFUNCTION("""COMPUTED_VALUE"""),"")</f>
        <v/>
      </c>
      <c r="C429" s="3" t="str">
        <f>IFERROR(__xludf.DUMMYFUNCTION("""COMPUTED_VALUE"""),"Introducing AdaNet: Fast and Flexible AutoML with Learning Guarantees")</f>
        <v>Introducing AdaNet: Fast and Flexible AutoML with Learning Guarantees</v>
      </c>
      <c r="D429" t="str">
        <f>IFERROR(__xludf.DUMMYFUNCTION("""COMPUTED_VALUE"""),"Charles Weill")</f>
        <v>Charles Weill</v>
      </c>
      <c r="E429" t="str">
        <f>IFERROR(__xludf.DUMMYFUNCTION("""COMPUTED_VALUE"""),"Google AI Blog")</f>
        <v>Google AI Blog</v>
      </c>
      <c r="F429">
        <f>IFERROR(__xludf.DUMMYFUNCTION("""COMPUTED_VALUE"""),2018.0)</f>
        <v>2018</v>
      </c>
      <c r="H429" s="3" t="str">
        <f>IFERROR(__xludf.DUMMYFUNCTION("""COMPUTED_VALUE"""),"AN #31")</f>
        <v>AN #31</v>
      </c>
    </row>
    <row r="430">
      <c r="A430" t="str">
        <f>IFERROR(__xludf.DUMMYFUNCTION("""COMPUTED_VALUE"""),"Deep learning")</f>
        <v>Deep learning</v>
      </c>
      <c r="B430" t="str">
        <f>IFERROR(__xludf.DUMMYFUNCTION("""COMPUTED_VALUE"""),"")</f>
        <v/>
      </c>
      <c r="C430" s="3" t="str">
        <f>IFERROR(__xludf.DUMMYFUNCTION("""COMPUTED_VALUE"""),"Relational recurrent neural networks")</f>
        <v>Relational recurrent neural networks</v>
      </c>
      <c r="D430" t="str">
        <f>IFERROR(__xludf.DUMMYFUNCTION("""COMPUTED_VALUE"""),"Adam Santoro, Ryan Faulkner, David Raposo, Jack Rae, Mike Chrzanowski, Theophane Weber, Daan Wierstra, Oriol Vinyals, Razvan Pascanu, Timothy Lillicrap")</f>
        <v>Adam Santoro, Ryan Faulkner, David Raposo, Jack Rae, Mike Chrzanowski, Theophane Weber, Daan Wierstra, Oriol Vinyals, Razvan Pascanu, Timothy Lillicrap</v>
      </c>
      <c r="E430" t="str">
        <f>IFERROR(__xludf.DUMMYFUNCTION("""COMPUTED_VALUE"""),"CVPR 2018")</f>
        <v>CVPR 2018</v>
      </c>
      <c r="F430">
        <f>IFERROR(__xludf.DUMMYFUNCTION("""COMPUTED_VALUE"""),2018.0)</f>
        <v>2018</v>
      </c>
      <c r="H430" s="3" t="str">
        <f>IFERROR(__xludf.DUMMYFUNCTION("""COMPUTED_VALUE"""),"AN #30")</f>
        <v>AN #30</v>
      </c>
      <c r="I430" t="str">
        <f>IFERROR(__xludf.DUMMYFUNCTION("""COMPUTED_VALUE"""),"Richard")</f>
        <v>Richard</v>
      </c>
      <c r="J430" t="str">
        <f>IFERROR(__xludf.DUMMYFUNCTION("""COMPUTED_VALUE"""),"This paper introduces the Relational Memory Core, which allows interactions between memories stored in memory-based neural networks. It does so using a ""self-attention mechanism"": each memory updates its contents by attending to all other memories via s"&amp;"everal ""attention heads"" which focus on different features. This leads to particularly good performance on the nth-farthest task, which requires the ranking of pairwise distances between a set of vectors (91% accuracy, compared with baseline 30%), and t"&amp;"he Mini-Pacman task.")</f>
        <v>This paper introduces the Relational Memory Core, which allows interactions between memories stored in memory-based neural networks. It does so using a "self-attention mechanism": each memory updates its contents by attending to all other memories via several "attention heads" which focus on different features. This leads to particularly good performance on the nth-farthest task, which requires the ranking of pairwise distances between a set of vectors (91% accuracy, compared with baseline 30%), and the Mini-Pacman task.</v>
      </c>
      <c r="K430" t="str">
        <f>IFERROR(__xludf.DUMMYFUNCTION("""COMPUTED_VALUE"""),"While performance is good on small problems, comparing every memory to every other doesn't scale well (a concern the authors also mention in their discussion). It remains to be seen how pruning older memories affects performance.")</f>
        <v>While performance is good on small problems, comparing every memory to every other doesn't scale well (a concern the authors also mention in their discussion). It remains to be seen how pruning older memories affects performance.</v>
      </c>
    </row>
    <row r="431">
      <c r="A431" t="str">
        <f>IFERROR(__xludf.DUMMYFUNCTION("""COMPUTED_VALUE"""),"Deep learning")</f>
        <v>Deep learning</v>
      </c>
      <c r="B431" t="str">
        <f>IFERROR(__xludf.DUMMYFUNCTION("""COMPUTED_VALUE"""),"")</f>
        <v/>
      </c>
      <c r="C431" s="3" t="str">
        <f>IFERROR(__xludf.DUMMYFUNCTION("""COMPUTED_VALUE"""),"Relational inductive bias for physical construction in humans and machines")</f>
        <v>Relational inductive bias for physical construction in humans and machines</v>
      </c>
      <c r="D431" t="str">
        <f>IFERROR(__xludf.DUMMYFUNCTION("""COMPUTED_VALUE"""),"Jessica B. Hamrick, Kelsey R. Allen, Victor Bapst, Tina Zhu, Kevin R. McKee, Joshua B. Tenenbaum, Peter W. Battaglia")</f>
        <v>Jessica B. Hamrick, Kelsey R. Allen, Victor Bapst, Tina Zhu, Kevin R. McKee, Joshua B. Tenenbaum, Peter W. Battaglia</v>
      </c>
      <c r="E431" t="str">
        <f>IFERROR(__xludf.DUMMYFUNCTION("""COMPUTED_VALUE"""),"arXiv")</f>
        <v>arXiv</v>
      </c>
      <c r="F431">
        <f>IFERROR(__xludf.DUMMYFUNCTION("""COMPUTED_VALUE"""),2018.0)</f>
        <v>2018</v>
      </c>
      <c r="H431" s="3" t="str">
        <f>IFERROR(__xludf.DUMMYFUNCTION("""COMPUTED_VALUE"""),"AN #30")</f>
        <v>AN #30</v>
      </c>
    </row>
    <row r="432">
      <c r="A432" t="str">
        <f>IFERROR(__xludf.DUMMYFUNCTION("""COMPUTED_VALUE"""),"Deep learning")</f>
        <v>Deep learning</v>
      </c>
      <c r="B432" t="str">
        <f>IFERROR(__xludf.DUMMYFUNCTION("""COMPUTED_VALUE"""),"")</f>
        <v/>
      </c>
      <c r="C432" s="3" t="str">
        <f>IFERROR(__xludf.DUMMYFUNCTION("""COMPUTED_VALUE"""),"DAWNBench")</f>
        <v>DAWNBench</v>
      </c>
      <c r="E432" t="str">
        <f>IFERROR(__xludf.DUMMYFUNCTION("""COMPUTED_VALUE"""),"Dawn Lab Website")</f>
        <v>Dawn Lab Website</v>
      </c>
      <c r="F432">
        <f>IFERROR(__xludf.DUMMYFUNCTION("""COMPUTED_VALUE"""),2018.0)</f>
        <v>2018</v>
      </c>
      <c r="H432" s="3" t="str">
        <f>IFERROR(__xludf.DUMMYFUNCTION("""COMPUTED_VALUE"""),"AN #3")</f>
        <v>AN #3</v>
      </c>
      <c r="I432" t="str">
        <f>IFERROR(__xludf.DUMMYFUNCTION("""COMPUTED_VALUE"""),"Rohin")</f>
        <v>Rohin</v>
      </c>
      <c r="J432" t="str">
        <f>IFERROR(__xludf.DUMMYFUNCTION("""COMPUTED_VALUE"""),"This is a collection of statistics for time and compute costs, both for training and inference, for various common models and benchmarks.")</f>
        <v>This is a collection of statistics for time and compute costs, both for training and inference, for various common models and benchmarks.</v>
      </c>
      <c r="K432" t="str">
        <f>IFERROR(__xludf.DUMMYFUNCTION("""COMPUTED_VALUE"""),"It's worth skimming through the page to get a sense of concrete numbers for various benchmarks used in the ML community.")</f>
        <v>It's worth skimming through the page to get a sense of concrete numbers for various benchmarks used in the ML community.</v>
      </c>
    </row>
    <row r="433">
      <c r="A433" t="str">
        <f>IFERROR(__xludf.DUMMYFUNCTION("""COMPUTED_VALUE"""),"Deep learning")</f>
        <v>Deep learning</v>
      </c>
      <c r="B433" t="str">
        <f>IFERROR(__xludf.DUMMYFUNCTION("""COMPUTED_VALUE"""),"")</f>
        <v/>
      </c>
      <c r="C433" s="3" t="str">
        <f>IFERROR(__xludf.DUMMYFUNCTION("""COMPUTED_VALUE"""),"Large scale distributed neural network training through online distillation")</f>
        <v>Large scale distributed neural network training through online distillation</v>
      </c>
      <c r="D433" t="str">
        <f>IFERROR(__xludf.DUMMYFUNCTION("""COMPUTED_VALUE"""),"Rohan Anil, Gabriel Pereyra, Alexandre Passos, Robert Ormandi, George E. Dahl, Geoffrey E. Hinton")</f>
        <v>Rohan Anil, Gabriel Pereyra, Alexandre Passos, Robert Ormandi, George E. Dahl, Geoffrey E. Hinton</v>
      </c>
      <c r="E433" t="str">
        <f>IFERROR(__xludf.DUMMYFUNCTION("""COMPUTED_VALUE"""),"arXiv")</f>
        <v>arXiv</v>
      </c>
      <c r="F433">
        <f>IFERROR(__xludf.DUMMYFUNCTION("""COMPUTED_VALUE"""),2018.0)</f>
        <v>2018</v>
      </c>
      <c r="H433" s="3" t="str">
        <f>IFERROR(__xludf.DUMMYFUNCTION("""COMPUTED_VALUE"""),"AN #3")</f>
        <v>AN #3</v>
      </c>
    </row>
    <row r="434">
      <c r="A434" t="str">
        <f>IFERROR(__xludf.DUMMYFUNCTION("""COMPUTED_VALUE"""),"Deep learning")</f>
        <v>Deep learning</v>
      </c>
      <c r="B434" t="str">
        <f>IFERROR(__xludf.DUMMYFUNCTION("""COMPUTED_VALUE"""),"")</f>
        <v/>
      </c>
      <c r="C434" s="3" t="str">
        <f>IFERROR(__xludf.DUMMYFUNCTION("""COMPUTED_VALUE"""),"Discriminator Rejection Sampling")</f>
        <v>Discriminator Rejection Sampling</v>
      </c>
      <c r="D434" t="str">
        <f>IFERROR(__xludf.DUMMYFUNCTION("""COMPUTED_VALUE"""),"Samaneh Azadi, Catherine Olsson, Trevor Darrell, Ian Goodfellow, Augustus Odena")</f>
        <v>Samaneh Azadi, Catherine Olsson, Trevor Darrell, Ian Goodfellow, Augustus Odena</v>
      </c>
      <c r="E434" t="str">
        <f>IFERROR(__xludf.DUMMYFUNCTION("""COMPUTED_VALUE"""),"ICLR 2019")</f>
        <v>ICLR 2019</v>
      </c>
      <c r="F434">
        <f>IFERROR(__xludf.DUMMYFUNCTION("""COMPUTED_VALUE"""),2018.0)</f>
        <v>2018</v>
      </c>
      <c r="H434" s="3" t="str">
        <f>IFERROR(__xludf.DUMMYFUNCTION("""COMPUTED_VALUE"""),"AN #29")</f>
        <v>AN #29</v>
      </c>
      <c r="I434" t="str">
        <f>IFERROR(__xludf.DUMMYFUNCTION("""COMPUTED_VALUE"""),"Rohin")</f>
        <v>Rohin</v>
      </c>
      <c r="J434" t="str">
        <f>IFERROR(__xludf.DUMMYFUNCTION("""COMPUTED_VALUE"""),"Under simplifying assumptions, GAN training should converge to the generator modelling the true data distribution while the discriminator always outputs 0.5. In practice, at the end of training the discriminator can still distinguish between images from t"&amp;"he generator and images from the dataset. This suggests that we can improve the generated images by only choosing the ones that the discriminator thinks are from the dataset. However, if we use a threshold (rejecting all images where the discriminator is "&amp;"at least X% sure it comes from the generator), then we no longer model the true underlying distribution, since some low probability images could never be generated. They instead propose a rejection sampling algorithm that still recovers the data distribut"&amp;"ion under strict assumptions, and then relax those assumptions to get a practical algorithm, and show that it improves performance.")</f>
        <v>Under simplifying assumptions, GAN training should converge to the generator modelling the true data distribution while the discriminator always outputs 0.5. In practice, at the end of training the discriminator can still distinguish between images from the generator and images from the dataset. This suggests that we can improve the generated images by only choosing the ones that the discriminator thinks are from the dataset. However, if we use a threshold (rejecting all images where the discriminator is at least X% sure it comes from the generator), then we no longer model the true underlying distribution, since some low probability images could never be generated. They instead propose a rejection sampling algorithm that still recovers the data distribution under strict assumptions, and then relax those assumptions to get a practical algorithm, and show that it improves performance.</v>
      </c>
    </row>
    <row r="435">
      <c r="A435" t="str">
        <f>IFERROR(__xludf.DUMMYFUNCTION("""COMPUTED_VALUE"""),"Deep learning")</f>
        <v>Deep learning</v>
      </c>
      <c r="B435" t="str">
        <f>IFERROR(__xludf.DUMMYFUNCTION("""COMPUTED_VALUE"""),"")</f>
        <v/>
      </c>
      <c r="C435" s="3" t="str">
        <f>IFERROR(__xludf.DUMMYFUNCTION("""COMPUTED_VALUE"""),"Neural Guided Constraint Logic Programming for Program Synthesis")</f>
        <v>Neural Guided Constraint Logic Programming for Program Synthesis</v>
      </c>
      <c r="D435" t="str">
        <f>IFERROR(__xludf.DUMMYFUNCTION("""COMPUTED_VALUE"""),"Lisa Zhang, Gregory Rosenblatt, Ethan Fetaya, Renjie Liao, William E. Byrd, Matthew Might, Raquel Urtasun, Richard Zemel")</f>
        <v>Lisa Zhang, Gregory Rosenblatt, Ethan Fetaya, Renjie Liao, William E. Byrd, Matthew Might, Raquel Urtasun, Richard Zemel</v>
      </c>
      <c r="E435" t="str">
        <f>IFERROR(__xludf.DUMMYFUNCTION("""COMPUTED_VALUE"""),"Proceedings of the 2018 26th ACM Joint Meeting on European Software Engineering Conference and Symposium on the Foundations of Software Engineering")</f>
        <v>Proceedings of the 2018 26th ACM Joint Meeting on European Software Engineering Conference and Symposium on the Foundations of Software Engineering</v>
      </c>
      <c r="F435">
        <f>IFERROR(__xludf.DUMMYFUNCTION("""COMPUTED_VALUE"""),2018.0)</f>
        <v>2018</v>
      </c>
      <c r="H435" s="3" t="str">
        <f>IFERROR(__xludf.DUMMYFUNCTION("""COMPUTED_VALUE"""),"AN #24")</f>
        <v>AN #24</v>
      </c>
      <c r="I435" t="str">
        <f>IFERROR(__xludf.DUMMYFUNCTION("""COMPUTED_VALUE"""),"Rohin")</f>
        <v>Rohin</v>
      </c>
      <c r="J435" t="str">
        <f>IFERROR(__xludf.DUMMYFUNCTION("""COMPUTED_VALUE"""),"In program synthesis from examples, we want to find a program consistent with a given set of input-output examples. One classic approach is to use logic programming. In logic programming, instead of writing functions that compute output = f(input), we wri"&amp;"te rules to compute relations. To encode standard functions, we would write the relation (f, i, o), which is interpreted as ""computing f(i) gives o"". In logic programming, you can let any variable be unknown, and the language will search for a solution."&amp;" Using this you can eg. invert a function f on a specific output o, using the query (f, ?, o). To apply logic programming to program synthesis, we write an interpreter eval for the language we want to synthesize in, and pose the query (eval, ?, i, o). The"&amp;"y consider the lambda calculus with pairs and lists as their language.
The algorithm that falls out is a recursive descent search over the possible structure of the program, that generates and checks partial constraints over the partial programs implied "&amp;"by the input-output examples during the search. The search has branching points where it must choose, for some as-yet-unknown part of the program, what language construct it should use (if, cons, variable, etc.) This paper attempts to use a neural net to "&amp;"predict what choice the search should make to find a solution, replacing some simple hand-tuned heuristics. It can be trained either using reinforcement learning (where the search choices are actions, the partial search trees are states, and the goal is t"&amp;"o find a complete program), or through supervised learning since they know for training programs what choices are optimal. They also use a curriculum and experience replay. They evaluate against classical symbolic approaches (λ2, Escher, Myth) and RobustF"&amp;"ill, and show that their method generalizes better to finding longer programs not seen in the training dataset.")</f>
        <v>In program synthesis from examples, we want to find a program consistent with a given set of input-output examples. One classic approach is to use logic programming. In logic programming, instead of writing functions that compute output = f(input), we write rules to compute relations. To encode standard functions, we would write the relation (f, i, o), which is interpreted as "computing f(i) gives o". In logic programming, you can let any variable be unknown, and the language will search for a solution. Using this you can eg. invert a function f on a specific output o, using the query (f, ?, o). To apply logic programming to program synthesis, we write an interpreter eval for the language we want to synthesize in, and pose the query (eval, ?, i, o). They consider the lambda calculus with pairs and lists as their language.
The algorithm that falls out is a recursive descent search over the possible structure of the program, that generates and checks partial constraints over the partial programs implied by the input-output examples during the search. The search has branching points where it must choose, for some as-yet-unknown part of the program, what language construct it should use (if, cons, variable, etc.) This paper attempts to use a neural net to predict what choice the search should make to find a solution, replacing some simple hand-tuned heuristics. It can be trained either using reinforcement learning (where the search choices are actions, the partial search trees are states, and the goal is to find a complete program), or through supervised learning since they know for training programs what choices are optimal. They also use a curriculum and experience replay. They evaluate against classical symbolic approaches (λ2, Escher, Myth) and RobustFill, and show that their method generalizes better to finding longer programs not seen in the training dataset.</v>
      </c>
      <c r="K435" t="str">
        <f>IFERROR(__xludf.DUMMYFUNCTION("""COMPUTED_VALUE"""),"It always makes me happy to read a paper about making symbolic approaches faster using neural nets to learn heuristics. That said, I'm concerned about the evaluation in this paper -- their programs are fairly strange, often involving a huge mess of cons ("&amp;"make-pair), car (first) and cdr (second), and not including recursion. The symbolic approaches they evaluate against are aiming to synthesize recursive functions similar to what people write, and I wouldn't be surprised if they had heuristics that activel"&amp;"y discouraged these big messes of cars and cdrs, since normal programs don't look like that. The programs are also primarily taking pieces of data out of an input, and then recombining them in some way -- this feels like a significantly easier task than m"&amp;"ost synthesis problems (in the sense that I could probably write a handcoded solution that performs very well on this domain only).")</f>
        <v>It always makes me happy to read a paper about making symbolic approaches faster using neural nets to learn heuristics. That said, I'm concerned about the evaluation in this paper -- their programs are fairly strange, often involving a huge mess of cons (make-pair), car (first) and cdr (second), and not including recursion. The symbolic approaches they evaluate against are aiming to synthesize recursive functions similar to what people write, and I wouldn't be surprised if they had heuristics that actively discouraged these big messes of cars and cdrs, since normal programs don't look like that. The programs are also primarily taking pieces of data out of an input, and then recombining them in some way -- this feels like a significantly easier task than most synthesis problems (in the sense that I could probably write a handcoded solution that performs very well on this domain only).</v>
      </c>
    </row>
    <row r="436">
      <c r="A436" t="str">
        <f>IFERROR(__xludf.DUMMYFUNCTION("""COMPUTED_VALUE"""),"Deep learning")</f>
        <v>Deep learning</v>
      </c>
      <c r="B436" t="str">
        <f>IFERROR(__xludf.DUMMYFUNCTION("""COMPUTED_VALUE"""),"")</f>
        <v/>
      </c>
      <c r="C436" s="3" t="str">
        <f>IFERROR(__xludf.DUMMYFUNCTION("""COMPUTED_VALUE"""),"Transfer Learning for Estimating Causal Effects using Neural Networks")</f>
        <v>Transfer Learning for Estimating Causal Effects using Neural Networks</v>
      </c>
      <c r="D436" t="str">
        <f>IFERROR(__xludf.DUMMYFUNCTION("""COMPUTED_VALUE"""),"Sören R. Künzel, Bradly C. Stadie, Nikita Vemuri, Varsha Ramakrishnan, Jasjeet S. Sekhon, Pieter Abbeel")</f>
        <v>Sören R. Künzel, Bradly C. Stadie, Nikita Vemuri, Varsha Ramakrishnan, Jasjeet S. Sekhon, Pieter Abbeel</v>
      </c>
      <c r="E436" t="str">
        <f>IFERROR(__xludf.DUMMYFUNCTION("""COMPUTED_VALUE"""),"EMNLP 2018")</f>
        <v>EMNLP 2018</v>
      </c>
      <c r="F436">
        <f>IFERROR(__xludf.DUMMYFUNCTION("""COMPUTED_VALUE"""),2018.0)</f>
        <v>2018</v>
      </c>
      <c r="H436" s="3" t="str">
        <f>IFERROR(__xludf.DUMMYFUNCTION("""COMPUTED_VALUE"""),"AN #22")</f>
        <v>AN #22</v>
      </c>
    </row>
    <row r="437">
      <c r="A437" t="str">
        <f>IFERROR(__xludf.DUMMYFUNCTION("""COMPUTED_VALUE"""),"Deep learning")</f>
        <v>Deep learning</v>
      </c>
      <c r="B437" t="str">
        <f>IFERROR(__xludf.DUMMYFUNCTION("""COMPUTED_VALUE"""),"")</f>
        <v/>
      </c>
      <c r="C437" s="3" t="str">
        <f>IFERROR(__xludf.DUMMYFUNCTION("""COMPUTED_VALUE"""),"Why Self-Attention? A Targeted Evaluation of Neural Machine Translation Architectures")</f>
        <v>Why Self-Attention? A Targeted Evaluation of Neural Machine Translation Architectures</v>
      </c>
      <c r="D437" t="str">
        <f>IFERROR(__xludf.DUMMYFUNCTION("""COMPUTED_VALUE"""),"Gongbo Tang, Mathias Müller, Annette Rios, Rico Sennrich")</f>
        <v>Gongbo Tang, Mathias Müller, Annette Rios, Rico Sennrich</v>
      </c>
      <c r="E437" t="str">
        <f>IFERROR(__xludf.DUMMYFUNCTION("""COMPUTED_VALUE"""),"arXiv")</f>
        <v>arXiv</v>
      </c>
      <c r="F437">
        <f>IFERROR(__xludf.DUMMYFUNCTION("""COMPUTED_VALUE"""),2018.0)</f>
        <v>2018</v>
      </c>
      <c r="H437" s="3" t="str">
        <f>IFERROR(__xludf.DUMMYFUNCTION("""COMPUTED_VALUE"""),"AN #22")</f>
        <v>AN #22</v>
      </c>
    </row>
    <row r="438">
      <c r="A438" t="str">
        <f>IFERROR(__xludf.DUMMYFUNCTION("""COMPUTED_VALUE"""),"Deep learning")</f>
        <v>Deep learning</v>
      </c>
      <c r="B438" t="str">
        <f>IFERROR(__xludf.DUMMYFUNCTION("""COMPUTED_VALUE"""),"")</f>
        <v/>
      </c>
      <c r="C438" s="3" t="str">
        <f>IFERROR(__xludf.DUMMYFUNCTION("""COMPUTED_VALUE"""),"Analyzing Inverse Problems with Invertible Neural Networks")</f>
        <v>Analyzing Inverse Problems with Invertible Neural Networks</v>
      </c>
      <c r="D438" t="str">
        <f>IFERROR(__xludf.DUMMYFUNCTION("""COMPUTED_VALUE"""),"Lynton Ardizzone, Jakob Kruse, Sebastian Wirkert, Daniel Rahner, Eric W. Pellegrini, Ralf S. Klessen, Lena Maier-Hein, Carsten Rother, Ullrich Köthe")</f>
        <v>Lynton Ardizzone, Jakob Kruse, Sebastian Wirkert, Daniel Rahner, Eric W. Pellegrini, Ralf S. Klessen, Lena Maier-Hein, Carsten Rother, Ullrich Köthe</v>
      </c>
      <c r="E438" t="str">
        <f>IFERROR(__xludf.DUMMYFUNCTION("""COMPUTED_VALUE"""),"arXiv")</f>
        <v>arXiv</v>
      </c>
      <c r="F438">
        <f>IFERROR(__xludf.DUMMYFUNCTION("""COMPUTED_VALUE"""),2018.0)</f>
        <v>2018</v>
      </c>
      <c r="H438" s="3" t="str">
        <f>IFERROR(__xludf.DUMMYFUNCTION("""COMPUTED_VALUE"""),"AN #21")</f>
        <v>AN #21</v>
      </c>
    </row>
    <row r="439">
      <c r="A439" t="str">
        <f>IFERROR(__xludf.DUMMYFUNCTION("""COMPUTED_VALUE"""),"Deep learning")</f>
        <v>Deep learning</v>
      </c>
      <c r="B439" t="str">
        <f>IFERROR(__xludf.DUMMYFUNCTION("""COMPUTED_VALUE"""),"")</f>
        <v/>
      </c>
      <c r="C439" s="3" t="str">
        <f>IFERROR(__xludf.DUMMYFUNCTION("""COMPUTED_VALUE"""),"Neural Architecture Search: A Survey")</f>
        <v>Neural Architecture Search: A Survey</v>
      </c>
      <c r="D439" t="str">
        <f>IFERROR(__xludf.DUMMYFUNCTION("""COMPUTED_VALUE"""),"Thomas Elsken, Jan Hendrik Metzen, Frank Hutter")</f>
        <v>Thomas Elsken, Jan Hendrik Metzen, Frank Hutter</v>
      </c>
      <c r="E439" t="str">
        <f>IFERROR(__xludf.DUMMYFUNCTION("""COMPUTED_VALUE"""),"Proceedings of the Artificial Life Conference 2018")</f>
        <v>Proceedings of the Artificial Life Conference 2018</v>
      </c>
      <c r="F439">
        <f>IFERROR(__xludf.DUMMYFUNCTION("""COMPUTED_VALUE"""),2018.0)</f>
        <v>2018</v>
      </c>
      <c r="H439" s="3" t="str">
        <f>IFERROR(__xludf.DUMMYFUNCTION("""COMPUTED_VALUE"""),"AN #21")</f>
        <v>AN #21</v>
      </c>
    </row>
    <row r="440">
      <c r="A440" t="str">
        <f>IFERROR(__xludf.DUMMYFUNCTION("""COMPUTED_VALUE"""),"Deep learning")</f>
        <v>Deep learning</v>
      </c>
      <c r="B440" t="str">
        <f>IFERROR(__xludf.DUMMYFUNCTION("""COMPUTED_VALUE"""),"")</f>
        <v/>
      </c>
      <c r="C440" s="3" t="str">
        <f>IFERROR(__xludf.DUMMYFUNCTION("""COMPUTED_VALUE"""),"Spherical CNNs")</f>
        <v>Spherical CNNs</v>
      </c>
      <c r="D440" t="str">
        <f>IFERROR(__xludf.DUMMYFUNCTION("""COMPUTED_VALUE"""),"Taco S. Cohen, Mario Geiger, Jonas Koehler, Max Welling")</f>
        <v>Taco S. Cohen, Mario Geiger, Jonas Koehler, Max Welling</v>
      </c>
      <c r="E440" t="str">
        <f>IFERROR(__xludf.DUMMYFUNCTION("""COMPUTED_VALUE"""),"ICLR 2018")</f>
        <v>ICLR 2018</v>
      </c>
      <c r="F440">
        <f>IFERROR(__xludf.DUMMYFUNCTION("""COMPUTED_VALUE"""),2018.0)</f>
        <v>2018</v>
      </c>
      <c r="H440" s="3" t="str">
        <f>IFERROR(__xludf.DUMMYFUNCTION("""COMPUTED_VALUE"""),"AN #2")</f>
        <v>AN #2</v>
      </c>
    </row>
    <row r="441">
      <c r="A441" t="str">
        <f>IFERROR(__xludf.DUMMYFUNCTION("""COMPUTED_VALUE"""),"Deep learning")</f>
        <v>Deep learning</v>
      </c>
      <c r="B441" t="str">
        <f>IFERROR(__xludf.DUMMYFUNCTION("""COMPUTED_VALUE"""),"")</f>
        <v/>
      </c>
      <c r="C441" s="3" t="str">
        <f>IFERROR(__xludf.DUMMYFUNCTION("""COMPUTED_VALUE"""),"When Recurrent Models Don't Need to be Recurrent")</f>
        <v>When Recurrent Models Don't Need to be Recurrent</v>
      </c>
      <c r="D441" t="str">
        <f>IFERROR(__xludf.DUMMYFUNCTION("""COMPUTED_VALUE"""),"John Miller")</f>
        <v>John Miller</v>
      </c>
      <c r="E441" t="str">
        <f>IFERROR(__xludf.DUMMYFUNCTION("""COMPUTED_VALUE"""),"BAIR Blog")</f>
        <v>BAIR Blog</v>
      </c>
      <c r="F441">
        <f>IFERROR(__xludf.DUMMYFUNCTION("""COMPUTED_VALUE"""),2018.0)</f>
        <v>2018</v>
      </c>
      <c r="H441" s="3" t="str">
        <f>IFERROR(__xludf.DUMMYFUNCTION("""COMPUTED_VALUE"""),"AN #19")</f>
        <v>AN #19</v>
      </c>
      <c r="I441" t="str">
        <f>IFERROR(__xludf.DUMMYFUNCTION("""COMPUTED_VALUE"""),"Rohin")</f>
        <v>Rohin</v>
      </c>
      <c r="J441" t="str">
        <f>IFERROR(__xludf.DUMMYFUNCTION("""COMPUTED_VALUE"""),"Recurrent neural networks (RNNs) are able to use and update a hidden state over an entire sequence, which means that in theory it is possible for them to learn very long term dependencies in a sequence, that a feedforward model would not be able to do. Fo"&amp;"r example, it would be easy to assign weights to an RNN so that on input x_n it outputs n (the length of the sequence so far), whereas a feedforward model could not learn this function. Despite this, in practice feedforward methods match and exceed the pe"&amp;"rformance of RNNs on sequence modeling tasks. This post argues that this is because of gradient descent -- any stable gradient descent on RNNs can be well approximated by gradient descent on a feedforward model (both at training and inference time).")</f>
        <v>Recurrent neural networks (RNNs) are able to use and update a hidden state over an entire sequence, which means that in theory it is possible for them to learn very long term dependencies in a sequence, that a feedforward model would not be able to do. For example, it would be easy to assign weights to an RNN so that on input x_n it outputs n (the length of the sequence so far), whereas a feedforward model could not learn this function. Despite this, in practice feedforward methods match and exceed the performance of RNNs on sequence modeling tasks. This post argues that this is because of gradient descent -- any stable gradient descent on RNNs can be well approximated by gradient descent on a feedforward model (both at training and inference time).</v>
      </c>
      <c r="K441" t="str">
        <f>IFERROR(__xludf.DUMMYFUNCTION("""COMPUTED_VALUE"""),"The post doesn't really explain why this is the case, instead referencing the theory in their paper (which I haven't read). It does sound like a cool result explaining a phenomenon that I do find confusing, since RNNs should be more expressive than feedfo"&amp;"rward models. It does suggest that gradient descent is not actually good at finding the optimum of a function, if that optimum involves lots of long-term dependencies.")</f>
        <v>The post doesn't really explain why this is the case, instead referencing the theory in their paper (which I haven't read). It does sound like a cool result explaining a phenomenon that I do find confusing, since RNNs should be more expressive than feedforward models. It does suggest that gradient descent is not actually good at finding the optimum of a function, if that optimum involves lots of long-term dependencies.</v>
      </c>
    </row>
    <row r="442">
      <c r="A442" t="str">
        <f>IFERROR(__xludf.DUMMYFUNCTION("""COMPUTED_VALUE"""),"Deep learning")</f>
        <v>Deep learning</v>
      </c>
      <c r="B442" t="str">
        <f>IFERROR(__xludf.DUMMYFUNCTION("""COMPUTED_VALUE"""),"")</f>
        <v/>
      </c>
      <c r="C442" s="3" t="str">
        <f>IFERROR(__xludf.DUMMYFUNCTION("""COMPUTED_VALUE"""),"Objects that Sound")</f>
        <v>Objects that Sound</v>
      </c>
      <c r="D442" t="str">
        <f>IFERROR(__xludf.DUMMYFUNCTION("""COMPUTED_VALUE"""),"Relja Arandjelović, Andrew Zisserman")</f>
        <v>Relja Arandjelović, Andrew Zisserman</v>
      </c>
      <c r="E442" t="str">
        <f>IFERROR(__xludf.DUMMYFUNCTION("""COMPUTED_VALUE"""),"DeepMind Blog")</f>
        <v>DeepMind Blog</v>
      </c>
      <c r="F442">
        <f>IFERROR(__xludf.DUMMYFUNCTION("""COMPUTED_VALUE"""),2018.0)</f>
        <v>2018</v>
      </c>
      <c r="H442" s="3" t="str">
        <f>IFERROR(__xludf.DUMMYFUNCTION("""COMPUTED_VALUE"""),"AN #19")</f>
        <v>AN #19</v>
      </c>
      <c r="I442" t="str">
        <f>IFERROR(__xludf.DUMMYFUNCTION("""COMPUTED_VALUE"""),"Rohin")</f>
        <v>Rohin</v>
      </c>
      <c r="J442" t="str">
        <f>IFERROR(__xludf.DUMMYFUNCTION("""COMPUTED_VALUE"""),"The key idea behind this blog post is that there is a rich source of information in videos -- the alignment between the video frames and audio frames. We can leverage this by creating a proxy task that will force the neural net to learn good representatio"&amp;"ns of the video, which we can then use for other tasks. In particular, we can consider the proxy task of deciding whether a short (~1 second) video clip and audio clip are aligned or not. We don't care about this particular task, but by designing our neur"&amp;"al net in the right way, we can ensure that the net will learn good representations of video and audio. We pass the video clip through a convolutional net, the audio clip through another convolutional net, and take the resulting vectors and use the distan"&amp;"ce between them as a measure of how dissimilar they are. There is no way for video to affect the audio or vice versa before the distance -- so the net is forced to learn to map each of them to a shared space where the distance is meaningful. Intuitively, "&amp;"we would expect that this shared space would have to encode the cause of both the audio and video. Once we have these embeddings (and the neural nets that generate them), we can use them for other purposes. For example, their audio encoder sets the new st"&amp;"ate-of-the-art on two audio classification benchmarks. In addition, by modifying the video encoder to output embeddings for different regions in the image, we can compute the distance between the audio embedding and the video embedding at each region, and"&amp;" the regions where this is highest correspond to the object that is making the sound.")</f>
        <v>The key idea behind this blog post is that there is a rich source of information in videos -- the alignment between the video frames and audio frames. We can leverage this by creating a proxy task that will force the neural net to learn good representations of the video, which we can then use for other tasks. In particular, we can consider the proxy task of deciding whether a short (~1 second) video clip and audio clip are aligned or not. We don't care about this particular task, but by designing our neural net in the right way, we can ensure that the net will learn good representations of video and audio. We pass the video clip through a convolutional net, the audio clip through another convolutional net, and take the resulting vectors and use the distance between them as a measure of how dissimilar they are. There is no way for video to affect the audio or vice versa before the distance -- so the net is forced to learn to map each of them to a shared space where the distance is meaningful. Intuitively, we would expect that this shared space would have to encode the cause of both the audio and video. Once we have these embeddings (and the neural nets that generate them), we can use them for other purposes. For example, their audio encoder sets the new state-of-the-art on two audio classification benchmarks. In addition, by modifying the video encoder to output embeddings for different regions in the image, we can compute the distance between the audio embedding and the video embedding at each region, and the regions where this is highest correspond to the object that is making the sound.</v>
      </c>
      <c r="K442" t="str">
        <f>IFERROR(__xludf.DUMMYFUNCTION("""COMPUTED_VALUE"""),"Another great example of using unsupervised learning to learn good embeddings. Also, a note -- you might wonder why I'm calling this unsupervised learning even though there's a task, with a yes/no answer, a loss function, and an iid dataset, which are hal"&amp;"lmarks of supervised learning. The difference is that the labels for the data did not require any human annotation, and we don't care about the actual task that we're learning -- we're after the underlying embeddings that it uses to solve the task. In the"&amp;" previous paper on learning actionable representations, time was used to define an unsupervised learning signal in a similar way.")</f>
        <v>Another great example of using unsupervised learning to learn good embeddings. Also, a note -- you might wonder why I'm calling this unsupervised learning even though there's a task, with a yes/no answer, a loss function, and an iid dataset, which are hallmarks of supervised learning. The difference is that the labels for the data did not require any human annotation, and we don't care about the actual task that we're learning -- we're after the underlying embeddings that it uses to solve the task. In the previous paper on learning actionable representations, time was used to define an unsupervised learning signal in a similar way.</v>
      </c>
    </row>
    <row r="443">
      <c r="A443" t="str">
        <f>IFERROR(__xludf.DUMMYFUNCTION("""COMPUTED_VALUE"""),"Deep learning")</f>
        <v>Deep learning</v>
      </c>
      <c r="B443" t="str">
        <f>IFERROR(__xludf.DUMMYFUNCTION("""COMPUTED_VALUE"""),"")</f>
        <v/>
      </c>
      <c r="C443" s="3" t="str">
        <f>IFERROR(__xludf.DUMMYFUNCTION("""COMPUTED_VALUE"""),"MnasNet: Towards Automating the Design of Mobile Machine Learning Models")</f>
        <v>MnasNet: Towards Automating the Design of Mobile Machine Learning Models</v>
      </c>
      <c r="D443" t="str">
        <f>IFERROR(__xludf.DUMMYFUNCTION("""COMPUTED_VALUE"""),"Mingxing Tan")</f>
        <v>Mingxing Tan</v>
      </c>
      <c r="E443" t="str">
        <f>IFERROR(__xludf.DUMMYFUNCTION("""COMPUTED_VALUE"""),"Google AI Blog")</f>
        <v>Google AI Blog</v>
      </c>
      <c r="F443">
        <f>IFERROR(__xludf.DUMMYFUNCTION("""COMPUTED_VALUE"""),2018.0)</f>
        <v>2018</v>
      </c>
      <c r="H443" s="3" t="str">
        <f>IFERROR(__xludf.DUMMYFUNCTION("""COMPUTED_VALUE"""),"AN #19")</f>
        <v>AN #19</v>
      </c>
      <c r="I443" t="str">
        <f>IFERROR(__xludf.DUMMYFUNCTION("""COMPUTED_VALUE"""),"Rohin")</f>
        <v>Rohin</v>
      </c>
      <c r="J443" t="str">
        <f>IFERROR(__xludf.DUMMYFUNCTION("""COMPUTED_VALUE"""),"Mobile phones have strong resource constraints (memory, power usage, available compute), which makes it hard to put neural nets on them. Previously, for image classification, researchers hand designed MobileNetV2 to be fast while still achieving good accu"&amp;"racy. Now, using neural architecture search, researchers have found a new architecture, MnasNet, which is 1.5x faster with the same accuracy. Using the [squeeze-and-excitation](https://arxiv.org/abs/1709.01507) optimization improves it even further.")</f>
        <v>Mobile phones have strong resource constraints (memory, power usage, available compute), which makes it hard to put neural nets on them. Previously, for image classification, researchers hand designed MobileNetV2 to be fast while still achieving good accuracy. Now, using neural architecture search, researchers have found a new architecture, MnasNet, which is 1.5x faster with the same accuracy. Using the [squeeze-and-excitation](https://arxiv.org/abs/1709.01507) optimization improves it even further.</v>
      </c>
      <c r="K443" t="str">
        <f>IFERROR(__xludf.DUMMYFUNCTION("""COMPUTED_VALUE"""),"Neural architecture search is diversifying, focusing on computation time in addition to accuracy now. It seems possible that we'll run into the same problems with architecture search soon, where the reward functions are complex enough that we don't get th"&amp;"em right on the first try. What would it look like to learn from human preferences here? Perhaps we could present two models from the search to humans, along with statistics about each, and see which ones the researchers prefer? Perhaps we could run tests"&amp;" on the model, and then have humans provide feedback on the result? Maybe we could use feature visualization to provide feedback on whether the network is learning the ""right"" concepts?")</f>
        <v>Neural architecture search is diversifying, focusing on computation time in addition to accuracy now. It seems possible that we'll run into the same problems with architecture search soon, where the reward functions are complex enough that we don't get them right on the first try. What would it look like to learn from human preferences here? Perhaps we could present two models from the search to humans, along with statistics about each, and see which ones the researchers prefer? Perhaps we could run tests on the model, and then have humans provide feedback on the result? Maybe we could use feature visualization to provide feedback on whether the network is learning the "right" concepts?</v>
      </c>
    </row>
    <row r="444">
      <c r="A444" t="str">
        <f>IFERROR(__xludf.DUMMYFUNCTION("""COMPUTED_VALUE"""),"Deep learning")</f>
        <v>Deep learning</v>
      </c>
      <c r="B444" t="str">
        <f>IFERROR(__xludf.DUMMYFUNCTION("""COMPUTED_VALUE"""),"")</f>
        <v/>
      </c>
      <c r="C444" s="3" t="str">
        <f>IFERROR(__xludf.DUMMYFUNCTION("""COMPUTED_VALUE"""),"Neural Arithmetic Logic Units")</f>
        <v>Neural Arithmetic Logic Units</v>
      </c>
      <c r="D444" t="str">
        <f>IFERROR(__xludf.DUMMYFUNCTION("""COMPUTED_VALUE"""),"Andrew Trask, Felix Hill, Scott Reed, Jack Rae, Chris Dyer, Phil Blunsom")</f>
        <v>Andrew Trask, Felix Hill, Scott Reed, Jack Rae, Chris Dyer, Phil Blunsom</v>
      </c>
      <c r="E444" t="str">
        <f>IFERROR(__xludf.DUMMYFUNCTION("""COMPUTED_VALUE"""),"arXiv")</f>
        <v>arXiv</v>
      </c>
      <c r="F444">
        <f>IFERROR(__xludf.DUMMYFUNCTION("""COMPUTED_VALUE"""),2018.0)</f>
        <v>2018</v>
      </c>
      <c r="H444" s="3" t="str">
        <f>IFERROR(__xludf.DUMMYFUNCTION("""COMPUTED_VALUE"""),"AN #19")</f>
        <v>AN #19</v>
      </c>
    </row>
    <row r="445">
      <c r="A445" t="str">
        <f>IFERROR(__xludf.DUMMYFUNCTION("""COMPUTED_VALUE"""),"Deep learning")</f>
        <v>Deep learning</v>
      </c>
      <c r="B445" t="str">
        <f>IFERROR(__xludf.DUMMYFUNCTION("""COMPUTED_VALUE"""),"")</f>
        <v/>
      </c>
      <c r="C445" s="3" t="str">
        <f>IFERROR(__xludf.DUMMYFUNCTION("""COMPUTED_VALUE"""),"TensorFuzz: Debugging Neural Networks with Coverage-Guided Fuzzing")</f>
        <v>TensorFuzz: Debugging Neural Networks with Coverage-Guided Fuzzing</v>
      </c>
      <c r="D445" t="str">
        <f>IFERROR(__xludf.DUMMYFUNCTION("""COMPUTED_VALUE"""),"Augustus Odena, Ian Goodfellow")</f>
        <v>Augustus Odena, Ian Goodfellow</v>
      </c>
      <c r="E445" t="str">
        <f>IFERROR(__xludf.DUMMYFUNCTION("""COMPUTED_VALUE"""),"arXiv")</f>
        <v>arXiv</v>
      </c>
      <c r="F445">
        <f>IFERROR(__xludf.DUMMYFUNCTION("""COMPUTED_VALUE"""),2018.0)</f>
        <v>2018</v>
      </c>
      <c r="H445" s="3" t="str">
        <f>IFERROR(__xludf.DUMMYFUNCTION("""COMPUTED_VALUE"""),"AN #18")</f>
        <v>AN #18</v>
      </c>
    </row>
    <row r="446">
      <c r="A446" t="str">
        <f>IFERROR(__xludf.DUMMYFUNCTION("""COMPUTED_VALUE"""),"Deep learning")</f>
        <v>Deep learning</v>
      </c>
      <c r="B446" t="str">
        <f>IFERROR(__xludf.DUMMYFUNCTION("""COMPUTED_VALUE"""),"")</f>
        <v/>
      </c>
      <c r="C446" s="3" t="str">
        <f>IFERROR(__xludf.DUMMYFUNCTION("""COMPUTED_VALUE"""),"Improving language models by retrieving from trillions of tokens")</f>
        <v>Improving language models by retrieving from trillions of tokens</v>
      </c>
      <c r="D446" t="str">
        <f>IFERROR(__xludf.DUMMYFUNCTION("""COMPUTED_VALUE"""),"Sebastian Borgeaud, Arthur Mensch, Jordan Hoffmann, Trevor Cai, Eliza Rutherford, Katie Millican, George van den Driessche, Jean-Baptiste Lespiau, Bogdan Damoc, Aidan Clark, Diego de Las Casas, Aurelia Guy, Jacob Menick, Roman Ring, Tom Hennigan, Saffron "&amp;"Huang, Loren Maggiore, Chris Jones, Albin Cassirer, Andy Brock, Michela Paganini, Geoffrey Irving, Oriol Vinyals, Simon Osindero, Karen Simonyan, Jack W. Rae, Erich Elsen, Laurent Sifre")</f>
        <v>Sebastian Borgeaud, Arthur Mensch, Jordan Hoffmann, Trevor Cai, Eliza Rutherford, Katie Millican, George van den Driessche, Jean-Baptiste Lespiau, Bogdan Damoc, Aidan Clark, Diego de Las Casas, Aurelia Guy, Jacob Menick, Roman Ring, Tom Hennigan, Saffron Huang, Loren Maggiore, Chris Jones, Albin Cassirer, Andy Brock, Michela Paganini, Geoffrey Irving, Oriol Vinyals, Simon Osindero, Karen Simonyan, Jack W. Rae, Erich Elsen, Laurent Sifre</v>
      </c>
      <c r="E446" t="str">
        <f>IFERROR(__xludf.DUMMYFUNCTION("""COMPUTED_VALUE"""),"arXiv")</f>
        <v>arXiv</v>
      </c>
      <c r="F446">
        <f>IFERROR(__xludf.DUMMYFUNCTION("""COMPUTED_VALUE"""),2021.0)</f>
        <v>2021</v>
      </c>
      <c r="H446" t="str">
        <f>IFERROR(__xludf.DUMMYFUNCTION("""COMPUTED_VALUE"""),"AN #173")</f>
        <v>AN #173</v>
      </c>
      <c r="I446" t="str">
        <f>IFERROR(__xludf.DUMMYFUNCTION("""COMPUTED_VALUE"""),"Rohin")</f>
        <v>Rohin</v>
      </c>
      <c r="J446" t="str">
        <f>IFERROR(__xludf.DUMMYFUNCTION("""COMPUTED_VALUE"""),"We know that large language models memorize a lot of their training data, especially data that gets repeated many times. This seems like a waste; we’re interested in having the models use their parameters to implement “smart” computations rather than regu"&amp;"rgitation of already written text. One natural idea is to give models the ability to automatically search previously written text, which they can then copy if they so choose: this removes their incentive to memorize a lot of training data.
The key to imp"&amp;"lementing this idea is to take a large dataset of text (~trillions of tokens), chunk it into sequences, compute language model representations of these sequences, and store them in a database that allows for O(log N) time nearest-neighbor access. Then, ev"&amp;"ery time we do a forward pass through the model that we’re training, we first query the database for the K nearest neighbors (intuitively, the K most related chunks of text), and give the forward pass access to representations for those chunks of text and"&amp;" the chunks immediately following them. This is non-differentiable – from the standpoint of gradient descent, it “looks like” there’s always some helpful extra documents that often have information relevant to predicting the next token, and so gradient de"&amp;"scent pushes the model to use those extra documents. There’s a bunch of fiddly technical details to get this all working that I’m not going to summarize here.
As a side benefit, once you have this database of text representations that supports fast neare"&amp;"st neighbor querying, you can also use it to address the problem of test set leakage. For any test document you are evaluating on, you can look for the nearest neighbors in the database and look at the overlap between these neighbors and your test documen"&amp;"t, to check whether your supposedly “test” document was something the model might have trained on.
The evaluation shows that the 7 billion parameter (7B) Retro model from the paper can often do as well as or better than the 280B Gopher or 178B Jurassic-1"&amp;" (both of which outperform GPT-3) on language modeling, and that it also does well on question answering. (Note that these are both tasks that seem particularly likely to benefit from retrieval.)")</f>
        <v>We know that large language models memorize a lot of their training data, especially data that gets repeated many times. This seems like a waste; we’re interested in having the models use their parameters to implement “smart” computations rather than regurgitation of already written text. One natural idea is to give models the ability to automatically search previously written text, which they can then copy if they so choose: this removes their incentive to memorize a lot of training data.
The key to implementing this idea is to take a large dataset of text (~trillions of tokens), chunk it into sequences, compute language model representations of these sequences, and store them in a database that allows for O(log N) time nearest-neighbor access. Then, every time we do a forward pass through the model that we’re training, we first query the database for the K nearest neighbors (intuitively, the K most related chunks of text), and give the forward pass access to representations for those chunks of text and the chunks immediately following them. This is non-differentiable – from the standpoint of gradient descent, it “looks like” there’s always some helpful extra documents that often have information relevant to predicting the next token, and so gradient descent pushes the model to use those extra documents. There’s a bunch of fiddly technical details to get this all working that I’m not going to summarize here.
As a side benefit, once you have this database of text representations that supports fast nearest neighbor querying, you can also use it to address the problem of test set leakage. For any test document you are evaluating on, you can look for the nearest neighbors in the database and look at the overlap between these neighbors and your test document, to check whether your supposedly “test” document was something the model might have trained on.
The evaluation shows that the 7 billion parameter (7B) Retro model from the paper can often do as well as or better than the 280B Gopher or 178B Jurassic-1 (both of which outperform GPT-3) on language modeling, and that it also does well on question answering. (Note that these are both tasks that seem particularly likely to benefit from retrieval.)</v>
      </c>
    </row>
    <row r="447">
      <c r="A447" t="str">
        <f>IFERROR(__xludf.DUMMYFUNCTION("""COMPUTED_VALUE"""),"Deep learning")</f>
        <v>Deep learning</v>
      </c>
      <c r="B447" t="str">
        <f>IFERROR(__xludf.DUMMYFUNCTION("""COMPUTED_VALUE"""),"")</f>
        <v/>
      </c>
      <c r="C447" s="3" t="str">
        <f>IFERROR(__xludf.DUMMYFUNCTION("""COMPUTED_VALUE"""),"Shaking the foundations: delusions in sequence models for interaction and control")</f>
        <v>Shaking the foundations: delusions in sequence models for interaction and control</v>
      </c>
      <c r="D447" t="str">
        <f>IFERROR(__xludf.DUMMYFUNCTION("""COMPUTED_VALUE"""),"Pedro A. Ortega, Markus Kunesch, Grégoire Delétang, Tim Genewein, Jordi Grau-Moya, Joel Veness, Jonas Buchli, Jonas Degrave, Bilal Piot, Julien Perolat, Tom Everitt, Corentin Tallec, Emilio Parisotto, Tom Erez, Yutian Chen, Scott Reed, Marcus Hutter, Nand"&amp;"o de Freitas, Shane Legg")</f>
        <v>Pedro A. Ortega, Markus Kunesch, Grégoire Delétang, Tim Genewein, Jordi Grau-Moya, Joel Veness, Jonas Buchli, Jonas Degrave, Bilal Piot, Julien Perolat, Tom Everitt, Corentin Tallec, Emilio Parisotto, Tom Erez, Yutian Chen, Scott Reed, Marcus Hutter, Nando de Freitas, Shane Legg</v>
      </c>
      <c r="E447" t="str">
        <f>IFERROR(__xludf.DUMMYFUNCTION("""COMPUTED_VALUE"""),"arXiv")</f>
        <v>arXiv</v>
      </c>
      <c r="F447">
        <f>IFERROR(__xludf.DUMMYFUNCTION("""COMPUTED_VALUE"""),2021.0)</f>
        <v>2021</v>
      </c>
      <c r="H447" s="3" t="str">
        <f>IFERROR(__xludf.DUMMYFUNCTION("""COMPUTED_VALUE"""),"AN #170")</f>
        <v>AN #170</v>
      </c>
      <c r="I447" t="str">
        <f>IFERROR(__xludf.DUMMYFUNCTION("""COMPUTED_VALUE"""),"Robert")</f>
        <v>Robert</v>
      </c>
      <c r="J447" t="str">
        <f>IFERROR(__xludf.DUMMYFUNCTION("""COMPUTED_VALUE"""),"**Delusions** in language models (LMs) like GPT-3 occur when an incorrect generation early on throws the LM off the rails later. Specifically, if there is some unobserved context that influences how humans generate text that the LM is unaware of, then the"&amp;" LM will generate some plausible text -- and then take that text as _evidence_ about what the unobserved context must be. This can be especially likely when the desired context or task for the generation is difficult to infer from the input. In these sett"&amp;"ings the human generating the text has access to a lot more information than the model, making generation harder for the model and delusions more likely: an incorrect generation will make it more likely that the model infers the task or context incorrectl"&amp;"y. This also applies to sequence modelling approaches in RL like &lt;@Decision Transformer@&gt;(@Decision Transformer: Reinforcement Learning via Sequence Modeling@) and &lt;@Trajectory Transformer@&gt;(@Reinforcement Learning as One Big Sequence Modeling Problem@), "&amp;"where incorrectly chosen actions could change the model's beliefs about optimal future actions.
This work explains this problem using tools from causality and argues that these models should act as if their previous actions are causal interventions rathe"&amp;"r than observations. However, training a model in this way requires access to a model of the environment and the expert demonstrating trajectories in an online way, and the authors don't describe a way to do this with purely offline data (it may be fundam"&amp;"entally impossible). The authors do argue that in settings where the context or task information can be easily extracted from the observations so far, then delusions are less likely. This points to the importance of prompt engineering, or providing contex"&amp;"t information in another way to sequence models, so that they don't delude themselves.")</f>
        <v>**Delusions** in language models (LMs) like GPT-3 occur when an incorrect generation early on throws the LM off the rails later. Specifically, if there is some unobserved context that influences how humans generate text that the LM is unaware of, then the LM will generate some plausible text -- and then take that text as _evidence_ about what the unobserved context must be. This can be especially likely when the desired context or task for the generation is difficult to infer from the input. In these settings the human generating the text has access to a lot more information than the model, making generation harder for the model and delusions more likely: an incorrect generation will make it more likely that the model infers the task or context incorrectly. This also applies to sequence modelling approaches in RL like &lt;@Decision Transformer@&gt;(@Decision Transformer: Reinforcement Learning via Sequence Modeling@) and &lt;@Trajectory Transformer@&gt;(@Reinforcement Learning as One Big Sequence Modeling Problem@), where incorrectly chosen actions could change the model's beliefs about optimal future actions.
This work explains this problem using tools from causality and argues that these models should act as if their previous actions are causal interventions rather than observations. However, training a model in this way requires access to a model of the environment and the expert demonstrating trajectories in an online way, and the authors don't describe a way to do this with purely offline data (it may be fundamentally impossible). The authors do argue that in settings where the context or task information can be easily extracted from the observations so far, then delusions are less likely. This points to the importance of prompt engineering, or providing context information in another way to sequence models, so that they don't delude themselves.</v>
      </c>
      <c r="K447" t="str">
        <f>IFERROR(__xludf.DUMMYFUNCTION("""COMPUTED_VALUE"""),"Understanding specific failure modes of large language model generation seems useful, and the detailed mathematical explanation here makes it easier to understand what exactly the problem is, and what we can do to fix it. I'd be interested to see whether "&amp;"we can distinguish delusions from other failure modes and measure what proportion of failures are delusions (although failure modes likely can’t be as cleanly divided as I’m implying here). However, it seems fundamentally very difficult to train using off"&amp;"line data in a way that the model does learn to understand its own actions as interventions, so other solutions may need to be found.
")</f>
        <v>Understanding specific failure modes of large language model generation seems useful, and the detailed mathematical explanation here makes it easier to understand what exactly the problem is, and what we can do to fix it. I'd be interested to see whether we can distinguish delusions from other failure modes and measure what proportion of failures are delusions (although failure modes likely can’t be as cleanly divided as I’m implying here). However, it seems fundamentally very difficult to train using offline data in a way that the model does learn to understand its own actions as interventions, so other solutions may need to be found.
</v>
      </c>
    </row>
    <row r="448">
      <c r="A448" t="str">
        <f>IFERROR(__xludf.DUMMYFUNCTION("""COMPUTED_VALUE"""),"Deep learning")</f>
        <v>Deep learning</v>
      </c>
      <c r="B448" t="str">
        <f>IFERROR(__xludf.DUMMYFUNCTION("""COMPUTED_VALUE"""),"")</f>
        <v/>
      </c>
      <c r="C448" s="3" t="str">
        <f>IFERROR(__xludf.DUMMYFUNCTION("""COMPUTED_VALUE"""),"Towards Automated Deep Learning: Efficient Joint Neural Architecture and Hyperparameter Search")</f>
        <v>Towards Automated Deep Learning: Efficient Joint Neural Architecture and Hyperparameter Search</v>
      </c>
      <c r="D448" t="str">
        <f>IFERROR(__xludf.DUMMYFUNCTION("""COMPUTED_VALUE"""),"Arber Zela, Aaron Klein, Stefan Falkner, Frank Hutter")</f>
        <v>Arber Zela, Aaron Klein, Stefan Falkner, Frank Hutter</v>
      </c>
      <c r="E448" t="str">
        <f>IFERROR(__xludf.DUMMYFUNCTION("""COMPUTED_VALUE"""),"ICLR 2019")</f>
        <v>ICLR 2019</v>
      </c>
      <c r="F448">
        <f>IFERROR(__xludf.DUMMYFUNCTION("""COMPUTED_VALUE"""),2018.0)</f>
        <v>2018</v>
      </c>
      <c r="H448" s="3" t="str">
        <f>IFERROR(__xludf.DUMMYFUNCTION("""COMPUTED_VALUE"""),"AN #17")</f>
        <v>AN #17</v>
      </c>
    </row>
    <row r="449">
      <c r="A449" t="str">
        <f>IFERROR(__xludf.DUMMYFUNCTION("""COMPUTED_VALUE"""),"Deep learning")</f>
        <v>Deep learning</v>
      </c>
      <c r="B449" t="str">
        <f>IFERROR(__xludf.DUMMYFUNCTION("""COMPUTED_VALUE"""),"")</f>
        <v/>
      </c>
      <c r="C449" s="3" t="str">
        <f>IFERROR(__xludf.DUMMYFUNCTION("""COMPUTED_VALUE"""),"Deep Learning in the Wild")</f>
        <v>Deep Learning in the Wild</v>
      </c>
      <c r="D449" t="str">
        <f>IFERROR(__xludf.DUMMYFUNCTION("""COMPUTED_VALUE"""),"Thilo Stadelmann, Mohammadreza Amirian, Ismail Arabaci, Marek Arnold, Gilbert François Duivesteijn, Ismail Elezi, Melanie Geiger, Stefan Lörwald, Benjamin Bruno Meier, Katharina Rombach, Lukas Tuggener")</f>
        <v>Thilo Stadelmann, Mohammadreza Amirian, Ismail Arabaci, Marek Arnold, Gilbert François Duivesteijn, Ismail Elezi, Melanie Geiger, Stefan Lörwald, Benjamin Bruno Meier, Katharina Rombach, Lukas Tuggener</v>
      </c>
      <c r="E449" t="str">
        <f>IFERROR(__xludf.DUMMYFUNCTION("""COMPUTED_VALUE"""),"ANNPR 2018: Artificial Neural Networks in Pattern Recognition")</f>
        <v>ANNPR 2018: Artificial Neural Networks in Pattern Recognition</v>
      </c>
      <c r="F449">
        <f>IFERROR(__xludf.DUMMYFUNCTION("""COMPUTED_VALUE"""),2018.0)</f>
        <v>2018</v>
      </c>
      <c r="H449" s="3" t="str">
        <f>IFERROR(__xludf.DUMMYFUNCTION("""COMPUTED_VALUE"""),"AN #16")</f>
        <v>AN #16</v>
      </c>
      <c r="I449" t="str">
        <f>IFERROR(__xludf.DUMMYFUNCTION("""COMPUTED_VALUE"""),"Rohin")</f>
        <v>Rohin</v>
      </c>
      <c r="J449" t="str">
        <f>IFERROR(__xludf.DUMMYFUNCTION("""COMPUTED_VALUE"""),"Describes how deep learning is used to solve real-world problems (eg. in industry).")</f>
        <v>Describes how deep learning is used to solve real-world problems (eg. in industry).</v>
      </c>
      <c r="K449" t="str">
        <f>IFERROR(__xludf.DUMMYFUNCTION("""COMPUTED_VALUE"""),"The conclusions (section 8) contain a nice list of lessons learned from their case studies, emphasizing problems such as the difficulty of getting good data, the importance of reward shaping, etc.")</f>
        <v>The conclusions (section 8) contain a nice list of lessons learned from their case studies, emphasizing problems such as the difficulty of getting good data, the importance of reward shaping, etc.</v>
      </c>
    </row>
    <row r="450">
      <c r="A450" t="str">
        <f>IFERROR(__xludf.DUMMYFUNCTION("""COMPUTED_VALUE"""),"Deep learning")</f>
        <v>Deep learning</v>
      </c>
      <c r="B450" t="str">
        <f>IFERROR(__xludf.DUMMYFUNCTION("""COMPUTED_VALUE"""),"")</f>
        <v/>
      </c>
      <c r="C450" s="3" t="str">
        <f>IFERROR(__xludf.DUMMYFUNCTION("""COMPUTED_VALUE"""),"Automatically Composing Representation Transformations as a Means for Generalization")</f>
        <v>Automatically Composing Representation Transformations as a Means for Generalization</v>
      </c>
      <c r="D450" t="str">
        <f>IFERROR(__xludf.DUMMYFUNCTION("""COMPUTED_VALUE"""),"Michael B. Chang, Abhishek Gupta, Sergey Levine, Thomas L. Griffiths")</f>
        <v>Michael B. Chang, Abhishek Gupta, Sergey Levine, Thomas L. Griffiths</v>
      </c>
      <c r="E450" t="str">
        <f>IFERROR(__xludf.DUMMYFUNCTION("""COMPUTED_VALUE"""),"ICML workshop Neural Abstract Machines &amp; Program Induction v2 2018")</f>
        <v>ICML workshop Neural Abstract Machines &amp; Program Induction v2 2018</v>
      </c>
      <c r="F450">
        <f>IFERROR(__xludf.DUMMYFUNCTION("""COMPUTED_VALUE"""),2018.0)</f>
        <v>2018</v>
      </c>
      <c r="H450" s="3" t="str">
        <f>IFERROR(__xludf.DUMMYFUNCTION("""COMPUTED_VALUE"""),"AN #16")</f>
        <v>AN #16</v>
      </c>
    </row>
    <row r="451">
      <c r="A451" t="str">
        <f>IFERROR(__xludf.DUMMYFUNCTION("""COMPUTED_VALUE"""),"Deep learning")</f>
        <v>Deep learning</v>
      </c>
      <c r="B451" t="str">
        <f>IFERROR(__xludf.DUMMYFUNCTION("""COMPUTED_VALUE"""),"")</f>
        <v/>
      </c>
      <c r="C451" s="3" t="str">
        <f>IFERROR(__xludf.DUMMYFUNCTION("""COMPUTED_VALUE"""),"Universal Transformers")</f>
        <v>Universal Transformers</v>
      </c>
      <c r="D451" t="str">
        <f>IFERROR(__xludf.DUMMYFUNCTION("""COMPUTED_VALUE"""),"Mostafa Dehghani, Stephan Gouws, Oriol Vinyals, Jakob Uszkoreit, Łukasz Kaiser")</f>
        <v>Mostafa Dehghani, Stephan Gouws, Oriol Vinyals, Jakob Uszkoreit, Łukasz Kaiser</v>
      </c>
      <c r="E451" t="str">
        <f>IFERROR(__xludf.DUMMYFUNCTION("""COMPUTED_VALUE"""),"arXiv")</f>
        <v>arXiv</v>
      </c>
      <c r="F451">
        <f>IFERROR(__xludf.DUMMYFUNCTION("""COMPUTED_VALUE"""),2018.0)</f>
        <v>2018</v>
      </c>
      <c r="H451" s="3" t="str">
        <f>IFERROR(__xludf.DUMMYFUNCTION("""COMPUTED_VALUE"""),"AN #16")</f>
        <v>AN #16</v>
      </c>
    </row>
    <row r="452">
      <c r="A452" t="str">
        <f>IFERROR(__xludf.DUMMYFUNCTION("""COMPUTED_VALUE"""),"Deep learning")</f>
        <v>Deep learning</v>
      </c>
      <c r="B452" t="str">
        <f>IFERROR(__xludf.DUMMYFUNCTION("""COMPUTED_VALUE"""),"")</f>
        <v/>
      </c>
      <c r="C452" s="3" t="str">
        <f>IFERROR(__xludf.DUMMYFUNCTION("""COMPUTED_VALUE"""),"The Power of Scale for Parameter-Efficient Prompt Tuning")</f>
        <v>The Power of Scale for Parameter-Efficient Prompt Tuning</v>
      </c>
      <c r="D452" t="str">
        <f>IFERROR(__xludf.DUMMYFUNCTION("""COMPUTED_VALUE"""),"Brian Lester, Rami Al-Rfou, Noah Constant")</f>
        <v>Brian Lester, Rami Al-Rfou, Noah Constant</v>
      </c>
      <c r="E452" t="str">
        <f>IFERROR(__xludf.DUMMYFUNCTION("""COMPUTED_VALUE"""),"arXiv")</f>
        <v>arXiv</v>
      </c>
      <c r="F452">
        <f>IFERROR(__xludf.DUMMYFUNCTION("""COMPUTED_VALUE"""),2021.0)</f>
        <v>2021</v>
      </c>
      <c r="H452" s="3" t="str">
        <f>IFERROR(__xludf.DUMMYFUNCTION("""COMPUTED_VALUE"""),"AN #152")</f>
        <v>AN #152</v>
      </c>
      <c r="I452" t="str">
        <f>IFERROR(__xludf.DUMMYFUNCTION("""COMPUTED_VALUE"""),"Rohin")</f>
        <v>Rohin</v>
      </c>
      <c r="J452" t="str">
        <f>IFERROR(__xludf.DUMMYFUNCTION("""COMPUTED_VALUE"""),"The highlighted paper showed that prompt programming as currently practiced depends on having a dataset on which prompts can be tested. If we have to use a large dataset anyway, then could we do better by using ML techniques like gradient descent to choos"&amp;"e the prompt? Now, since prompts are discrete English sentences, you can’t calculate gradients for them, but we know how to deal with this -- the first step of a language model is to _embed_ English words (or syllables, or bytes) into a real-valued vector"&amp;", after which everything is continuous. So instead of using gradient descent to optimize the English words in the prompt, we instead optimize the embeddings directly. Another way of thinking about this is that we have our “prompt” be a sentence of (say) 5"&amp;"0 completely new words, and then we optimize the “meaning” of those words such that the resulting sequence of 50 newly defined words becomes a good prompt for the task of interest.
The authors show that this approach significantly outperforms the method "&amp;"of designing prompts by hand. While it does not do as well as finetuning the full model on the task of interest, the gap between the two decreases as the size of the model increases. At ~10 billion parameters, the maximum size tested, prompt tuning and mo"&amp;"del tuning are approximately equivalent.
In addition, using a prompt is as simple as prepending the new prompt embedding to your input and running it through your model. This makes it particularly easy to do ensembling: if you have N prompts in your ense"&amp;"mble, then given a new input, you create a batch of size N where the ith element consists of the ith prompt followed by the input, and run that batch through your model to get your answer. (In contrast, if you had an ensemble of finetuned models, you woul"&amp;"d have to run N different large language models for each input, which can be significantly more challenging.)")</f>
        <v>The highlighted paper showed that prompt programming as currently practiced depends on having a dataset on which prompts can be tested. If we have to use a large dataset anyway, then could we do better by using ML techniques like gradient descent to choose the prompt? Now, since prompts are discrete English sentences, you can’t calculate gradients for them, but we know how to deal with this -- the first step of a language model is to _embed_ English words (or syllables, or bytes) into a real-valued vector, after which everything is continuous. So instead of using gradient descent to optimize the English words in the prompt, we instead optimize the embeddings directly. Another way of thinking about this is that we have our “prompt” be a sentence of (say) 50 completely new words, and then we optimize the “meaning” of those words such that the resulting sequence of 50 newly defined words becomes a good prompt for the task of interest.
The authors show that this approach significantly outperforms the method of designing prompts by hand. While it does not do as well as finetuning the full model on the task of interest, the gap between the two decreases as the size of the model increases. At ~10 billion parameters, the maximum size tested, prompt tuning and model tuning are approximately equivalent.
In addition, using a prompt is as simple as prepending the new prompt embedding to your input and running it through your model. This makes it particularly easy to do ensembling: if you have N prompts in your ensemble, then given a new input, you create a batch of size N where the ith element consists of the ith prompt followed by the input, and run that batch through your model to get your answer. (In contrast, if you had an ensemble of finetuned models, you would have to run N different large language models for each input, which can be significantly more challenging.)</v>
      </c>
    </row>
    <row r="453">
      <c r="A453" t="str">
        <f>IFERROR(__xludf.DUMMYFUNCTION("""COMPUTED_VALUE"""),"Deep learning")</f>
        <v>Deep learning</v>
      </c>
      <c r="B453" t="str">
        <f>IFERROR(__xludf.DUMMYFUNCTION("""COMPUTED_VALUE"""),"")</f>
        <v/>
      </c>
      <c r="C453" s="3" t="str">
        <f>IFERROR(__xludf.DUMMYFUNCTION("""COMPUTED_VALUE"""),"Glow: Better Reversible Generative Models")</f>
        <v>Glow: Better Reversible Generative Models</v>
      </c>
      <c r="D453" t="str">
        <f>IFERROR(__xludf.DUMMYFUNCTION("""COMPUTED_VALUE"""),"Prafulla Dhariwal and Durk Kingma")</f>
        <v>Prafulla Dhariwal and Durk Kingma</v>
      </c>
      <c r="E453" t="str">
        <f>IFERROR(__xludf.DUMMYFUNCTION("""COMPUTED_VALUE"""),"OpenAI Blog")</f>
        <v>OpenAI Blog</v>
      </c>
      <c r="F453">
        <f>IFERROR(__xludf.DUMMYFUNCTION("""COMPUTED_VALUE"""),2018.0)</f>
        <v>2018</v>
      </c>
      <c r="H453" s="3" t="str">
        <f>IFERROR(__xludf.DUMMYFUNCTION("""COMPUTED_VALUE"""),"AN #15")</f>
        <v>AN #15</v>
      </c>
      <c r="I453" t="str">
        <f>IFERROR(__xludf.DUMMYFUNCTION("""COMPUTED_VALUE"""),"Rohin")</f>
        <v>Rohin</v>
      </c>
      <c r="J453" t="str">
        <f>IFERROR(__xludf.DUMMYFUNCTION("""COMPUTED_VALUE"""),"A generative model here means something that models the data distribution, including any underlying structure. For example, a generative model for images would let you generate new images that you hadn't seen during training. While we normally here of GAN"&amp;"s and VAEs for current generative models, this work builds on reversible or flow-based generative models. Similarly to word vectors, we can find directions in the learned embedding space corresponding to natural categories (such as ""hair color""), and ma"&amp;"nipulate an image by first encoding to the embedding space, then adding one of these directions, and then decoding it back to the manipulated image.")</f>
        <v>A generative model here means something that models the data distribution, including any underlying structure. For example, a generative model for images would let you generate new images that you hadn't seen during training. While we normally here of GANs and VAEs for current generative models, this work builds on reversible or flow-based generative models. Similarly to word vectors, we can find directions in the learned embedding space corresponding to natural categories (such as "hair color"), and manipulate an image by first encoding to the embedding space, then adding one of these directions, and then decoding it back to the manipulated image.</v>
      </c>
      <c r="K453" t="str">
        <f>IFERROR(__xludf.DUMMYFUNCTION("""COMPUTED_VALUE"""),"This seems cool but I'm not very familiar with this area so I don't have a strong opinion. The algorithm seemed weirdly complicated to me but I think it's based on previous work, and I only spent a couple of minutes looking at it.")</f>
        <v>This seems cool but I'm not very familiar with this area so I don't have a strong opinion. The algorithm seemed weirdly complicated to me but I think it's based on previous work, and I only spent a couple of minutes looking at it.</v>
      </c>
    </row>
    <row r="454">
      <c r="A454" t="str">
        <f>IFERROR(__xludf.DUMMYFUNCTION("""COMPUTED_VALUE"""),"Deep learning")</f>
        <v>Deep learning</v>
      </c>
      <c r="B454" t="str">
        <f>IFERROR(__xludf.DUMMYFUNCTION("""COMPUTED_VALUE"""),"")</f>
        <v/>
      </c>
      <c r="C454" s="3" t="str">
        <f>IFERROR(__xludf.DUMMYFUNCTION("""COMPUTED_VALUE"""),"An Intriguing Failing of Convolutional Neural Networks and the CoordConv Solution")</f>
        <v>An Intriguing Failing of Convolutional Neural Networks and the CoordConv Solution</v>
      </c>
      <c r="D454" t="str">
        <f>IFERROR(__xludf.DUMMYFUNCTION("""COMPUTED_VALUE"""),"Rosanne Liu, Joel Lehman, Piero Molino, Felipe Petroski Such, Eric Frank, Alex Sergeev, Jason Yosinski")</f>
        <v>Rosanne Liu, Joel Lehman, Piero Molino, Felipe Petroski Such, Eric Frank, Alex Sergeev, Jason Yosinski</v>
      </c>
      <c r="E454" t="str">
        <f>IFERROR(__xludf.DUMMYFUNCTION("""COMPUTED_VALUE"""),"NIPS 2018")</f>
        <v>NIPS 2018</v>
      </c>
      <c r="F454">
        <f>IFERROR(__xludf.DUMMYFUNCTION("""COMPUTED_VALUE"""),2018.0)</f>
        <v>2018</v>
      </c>
      <c r="H454" s="3" t="str">
        <f>IFERROR(__xludf.DUMMYFUNCTION("""COMPUTED_VALUE"""),"AN #15")</f>
        <v>AN #15</v>
      </c>
    </row>
    <row r="455">
      <c r="A455" t="str">
        <f>IFERROR(__xludf.DUMMYFUNCTION("""COMPUTED_VALUE"""),"Deep learning")</f>
        <v>Deep learning</v>
      </c>
      <c r="B455" t="str">
        <f>IFERROR(__xludf.DUMMYFUNCTION("""COMPUTED_VALUE"""),"")</f>
        <v/>
      </c>
      <c r="C455" s="3" t="str">
        <f>IFERROR(__xludf.DUMMYFUNCTION("""COMPUTED_VALUE"""),"NLP's ImageNet moment has arrived")</f>
        <v>NLP's ImageNet moment has arrived</v>
      </c>
      <c r="D455" t="str">
        <f>IFERROR(__xludf.DUMMYFUNCTION("""COMPUTED_VALUE"""),"Sebastian Ruder")</f>
        <v>Sebastian Ruder</v>
      </c>
      <c r="E455" t="str">
        <f>IFERROR(__xludf.DUMMYFUNCTION("""COMPUTED_VALUE"""),"The Gradient")</f>
        <v>The Gradient</v>
      </c>
      <c r="F455">
        <f>IFERROR(__xludf.DUMMYFUNCTION("""COMPUTED_VALUE"""),2018.0)</f>
        <v>2018</v>
      </c>
      <c r="H455" s="3" t="str">
        <f>IFERROR(__xludf.DUMMYFUNCTION("""COMPUTED_VALUE"""),"AN #15")</f>
        <v>AN #15</v>
      </c>
    </row>
    <row r="456">
      <c r="A456" t="str">
        <f>IFERROR(__xludf.DUMMYFUNCTION("""COMPUTED_VALUE"""),"Deep learning")</f>
        <v>Deep learning</v>
      </c>
      <c r="B456" t="str">
        <f>IFERROR(__xludf.DUMMYFUNCTION("""COMPUTED_VALUE"""),"")</f>
        <v/>
      </c>
      <c r="C456" s="3" t="str">
        <f>IFERROR(__xludf.DUMMYFUNCTION("""COMPUTED_VALUE"""),"Clusterability in Neural Networks")</f>
        <v>Clusterability in Neural Networks</v>
      </c>
      <c r="D456" t="str">
        <f>IFERROR(__xludf.DUMMYFUNCTION("""COMPUTED_VALUE"""),"Daniel Filan*, Stephen Casper*, Shlomi Hod*, Cody Wild, Andrew Critch, Stuart Russell")</f>
        <v>Daniel Filan*, Stephen Casper*, Shlomi Hod*, Cody Wild, Andrew Critch, Stuart Russell</v>
      </c>
      <c r="E456" t="str">
        <f>IFERROR(__xludf.DUMMYFUNCTION("""COMPUTED_VALUE"""),"arXiv")</f>
        <v>arXiv</v>
      </c>
      <c r="F456">
        <f>IFERROR(__xludf.DUMMYFUNCTION("""COMPUTED_VALUE"""),2021.0)</f>
        <v>2021</v>
      </c>
      <c r="H456" s="3" t="str">
        <f>IFERROR(__xludf.DUMMYFUNCTION("""COMPUTED_VALUE"""),"AN #147")</f>
        <v>AN #147</v>
      </c>
      <c r="I456" t="str">
        <f>IFERROR(__xludf.DUMMYFUNCTION("""COMPUTED_VALUE"""),"Zach")</f>
        <v>Zach</v>
      </c>
      <c r="J456" t="str">
        <f>IFERROR(__xludf.DUMMYFUNCTION("""COMPUTED_VALUE"""),"Neural networks are often construed as lacking internal structure. In this paper, the authors challenge the predominant view and hypothesize that neural networks are more clusterable than is suggested by chance. To investigate the claim, the authors parti"&amp;"tion the network into groups where most of the edge weight is between neurons in the same group. The authors find that the quality of these groups improves after training, as compared to randomly initialized networks. However, this only holds for certain "&amp;"training setups. Despite this limitation, the authors show it's possible to promote clusterability with little to no effect on accuracy.
In experiments, the authors compare the clusterability of trained networks to randomly initialized networks and train"&amp;"ed networks with shuffled weights. They focus on multi-layer perceptrons (MLPs) and convolutional networks with dropout regularization. They also run experiments with pruned networks or networks where 'unimportant' edges are removed. They find that MLP ne"&amp;"tworks have clusterable neurons at rates higher than chance, but have mixed results for convolutional networks.
The authors hypothesize that clusterability is more likely to arise when different features of the input can be computed in parallel without c"&amp;"ommunication between the features (which is very similar to the hypothesis in the previous paper). To test the hypothesis, they combine examples from the datasets into pairs and then train the neural network to make a double-prediction in a side-by-side s"&amp;"etup. Intuitively, the network would need to look at each pair separately, without any need to combine information across the two sides. They find that this setup results in increased modularity.")</f>
        <v>Neural networks are often construed as lacking internal structure. In this paper, the authors challenge the predominant view and hypothesize that neural networks are more clusterable than is suggested by chance. To investigate the claim, the authors partition the network into groups where most of the edge weight is between neurons in the same group. The authors find that the quality of these groups improves after training, as compared to randomly initialized networks. However, this only holds for certain training setups. Despite this limitation, the authors show it's possible to promote clusterability with little to no effect on accuracy.
In experiments, the authors compare the clusterability of trained networks to randomly initialized networks and trained networks with shuffled weights. They focus on multi-layer perceptrons (MLPs) and convolutional networks with dropout regularization. They also run experiments with pruned networks or networks where 'unimportant' edges are removed. They find that MLP networks have clusterable neurons at rates higher than chance, but have mixed results for convolutional networks.
The authors hypothesize that clusterability is more likely to arise when different features of the input can be computed in parallel without communication between the features (which is very similar to the hypothesis in the previous paper). To test the hypothesis, they combine examples from the datasets into pairs and then train the neural network to make a double-prediction in a side-by-side setup. Intuitively, the network would need to look at each pair separately, without any need to combine information across the two sides. They find that this setup results in increased modularity.</v>
      </c>
      <c r="K456" t="str">
        <f>IFERROR(__xludf.DUMMYFUNCTION("""COMPUTED_VALUE"""),"The experiments in this paper are well-designed. In particular, I found the side-by-side experiment setup to be a clever way to test the ideas presented in the paper. Having said that, the actual results from the experiments are mixed. The paper's stronge"&amp;"st results are for the clusterability of pruned networks, while evidence for the clusterability of convolutional networks is quite mixed. However, pruning is not common practice. Additionally, in an intuitive sense, pruning a network seems as though it co"&amp;"uld be _defined_ in terms of clusterability notions, which limits my enthusiasm for that result.
**Rohin's opinion:** I feel like there are quite a few interesting next questions for the study of modularity in neural networks:
1. Does modularity become "&amp;"more obvious or pronounced as we get to larger models and more complex and realistic data?
2. How well do networks cluster when you are looking for hundreds or thousands of clusters (rather than the 12 clusters considered in this paper)?
3. To what extent"&amp;" is modularity a result of any training, vs. a result of the specific data being trained on? If you train a network to predict random labels, will it be less modular as a result?
One challenge here is in ensuring that the clustering algorithm used is sti"&amp;"ll accurately measuring modularity in these new settings. Another challenge is whether networks are more modular just because in a bigger model there are more chances to find good cuts. (In other words, what's the default to which we should be comparing?)"&amp;" For example, the paper does present some results with models trained on ImageNet, and ResNet-50 gets one of the highest clusterability numbers in the paper. But the authors do mention that the clustering algorithm was less stable, and it's not clear how "&amp;"exactly to interpret this high clusterability number.")</f>
        <v>The experiments in this paper are well-designed. In particular, I found the side-by-side experiment setup to be a clever way to test the ideas presented in the paper. Having said that, the actual results from the experiments are mixed. The paper's strongest results are for the clusterability of pruned networks, while evidence for the clusterability of convolutional networks is quite mixed. However, pruning is not common practice. Additionally, in an intuitive sense, pruning a network seems as though it could be _defined_ in terms of clusterability notions, which limits my enthusiasm for that result.
**Rohin's opinion:** I feel like there are quite a few interesting next questions for the study of modularity in neural networks:
1. Does modularity become more obvious or pronounced as we get to larger models and more complex and realistic data?
2. How well do networks cluster when you are looking for hundreds or thousands of clusters (rather than the 12 clusters considered in this paper)?
3. To what extent is modularity a result of any training, vs. a result of the specific data being trained on? If you train a network to predict random labels, will it be less modular as a result?
One challenge here is in ensuring that the clustering algorithm used is still accurately measuring modularity in these new settings. Another challenge is whether networks are more modular just because in a bigger model there are more chances to find good cuts. (In other words, what's the default to which we should be comparing?) For example, the paper does present some results with models trained on ImageNet, and ResNet-50 gets one of the highest clusterability numbers in the paper. But the authors do mention that the clustering algorithm was less stable, and it's not clear how exactly to interpret this high clusterability number.</v>
      </c>
    </row>
    <row r="457">
      <c r="A457" t="str">
        <f>IFERROR(__xludf.DUMMYFUNCTION("""COMPUTED_VALUE"""),"Deep learning")</f>
        <v>Deep learning</v>
      </c>
      <c r="B457" t="str">
        <f>IFERROR(__xludf.DUMMYFUNCTION("""COMPUTED_VALUE"""),"")</f>
        <v/>
      </c>
      <c r="C457" s="3" t="str">
        <f>IFERROR(__xludf.DUMMYFUNCTION("""COMPUTED_VALUE"""),"Weight Banding")</f>
        <v>Weight Banding</v>
      </c>
      <c r="D457" t="str">
        <f>IFERROR(__xludf.DUMMYFUNCTION("""COMPUTED_VALUE"""),"Michael Petrov, Chelsea Voss, Ludwig Schubert, Nick Cammarata, Gabriel Goh, Chris Olah")</f>
        <v>Michael Petrov, Chelsea Voss, Ludwig Schubert, Nick Cammarata, Gabriel Goh, Chris Olah</v>
      </c>
      <c r="E457" t="str">
        <f>IFERROR(__xludf.DUMMYFUNCTION("""COMPUTED_VALUE"""),"Distill")</f>
        <v>Distill</v>
      </c>
      <c r="F457">
        <f>IFERROR(__xludf.DUMMYFUNCTION("""COMPUTED_VALUE"""),2021.0)</f>
        <v>2021</v>
      </c>
      <c r="H457" s="3" t="str">
        <f>IFERROR(__xludf.DUMMYFUNCTION("""COMPUTED_VALUE"""),"AN #147")</f>
        <v>AN #147</v>
      </c>
      <c r="I457" t="str">
        <f>IFERROR(__xludf.DUMMYFUNCTION("""COMPUTED_VALUE"""),"Rohin")</f>
        <v>Rohin</v>
      </c>
      <c r="J457" t="str">
        <f>IFERROR(__xludf.DUMMYFUNCTION("""COMPUTED_VALUE"""),"Empirically, when training neural networks on ImageNet, we can commonly observe “weight banding” in the final layer. In other words, the neurons in the final layer pay very strong attention to the vertical position of features, and ignore the horizontal p"&amp;"osition of features. This holds across InceptionV1, ResNet50, and VGG19, though it doesn’t hold for AlexNet.
If you rotate the training data by 90 degrees, then the phenomenon changes to have vertical striping, that is, we now pay strong attention to the"&amp;" horizontal position of features. This suggests that this phenomenon is being driven somehow by the ImageNet data.
The authors hypothesize that this is caused by the neural network needing to recover some spatial information that was reduced by the previ"&amp;"ous average pooling layer (which is not present in AlexNet). They try removing this layer, which causes the effect to go away in Inception, but not in VGG19. They seem to think that it also goes away in ResNet50, but when I look at the results, it seems l"&amp;"ike the phenomenon is still there (though not as strongly as before).
They try a bunch of other architectural interventions on a simplified architecture and find that weight banding persists across all of these.")</f>
        <v>Empirically, when training neural networks on ImageNet, we can commonly observe “weight banding” in the final layer. In other words, the neurons in the final layer pay very strong attention to the vertical position of features, and ignore the horizontal position of features. This holds across InceptionV1, ResNet50, and VGG19, though it doesn’t hold for AlexNet.
If you rotate the training data by 90 degrees, then the phenomenon changes to have vertical striping, that is, we now pay strong attention to the horizontal position of features. This suggests that this phenomenon is being driven somehow by the ImageNet data.
The authors hypothesize that this is caused by the neural network needing to recover some spatial information that was reduced by the previous average pooling layer (which is not present in AlexNet). They try removing this layer, which causes the effect to go away in Inception, but not in VGG19. They seem to think that it also goes away in ResNet50, but when I look at the results, it seems like the phenomenon is still there (though not as strongly as before).
They try a bunch of other architectural interventions on a simplified architecture and find that weight banding persists across all of these.</v>
      </c>
    </row>
    <row r="458">
      <c r="A458" t="str">
        <f>IFERROR(__xludf.DUMMYFUNCTION("""COMPUTED_VALUE"""),"Deep learning")</f>
        <v>Deep learning</v>
      </c>
      <c r="B458" t="str">
        <f>IFERROR(__xludf.DUMMYFUNCTION("""COMPUTED_VALUE"""),"")</f>
        <v/>
      </c>
      <c r="C458" s="3" t="str">
        <f>IFERROR(__xludf.DUMMYFUNCTION("""COMPUTED_VALUE"""),"Is SGD a Bayesian Sampler? Well, almost. ")</f>
        <v>Is SGD a Bayesian Sampler? Well, almost. </v>
      </c>
      <c r="D458" t="str">
        <f>IFERROR(__xludf.DUMMYFUNCTION("""COMPUTED_VALUE"""),"Chris Mingard, Guillermo Valle-Pérez, Joar Skalse, Ard A. Louis")</f>
        <v>Chris Mingard, Guillermo Valle-Pérez, Joar Skalse, Ard A. Louis</v>
      </c>
      <c r="E458" t="str">
        <f>IFERROR(__xludf.DUMMYFUNCTION("""COMPUTED_VALUE"""),"arXiv")</f>
        <v>arXiv</v>
      </c>
      <c r="F458">
        <f>IFERROR(__xludf.DUMMYFUNCTION("""COMPUTED_VALUE"""),2020.0)</f>
        <v>2020</v>
      </c>
      <c r="H458" s="3" t="str">
        <f>IFERROR(__xludf.DUMMYFUNCTION("""COMPUTED_VALUE"""),"AN #139")</f>
        <v>AN #139</v>
      </c>
      <c r="I458" t="str">
        <f>IFERROR(__xludf.DUMMYFUNCTION("""COMPUTED_VALUE"""),"Zach")</f>
        <v>Zach</v>
      </c>
      <c r="J458" t="str">
        <f>IFERROR(__xludf.DUMMYFUNCTION("""COMPUTED_VALUE"""),"Neural networks have been shown empirically to generalize well in the overparameterized setting, which suggests that there is an inductive bias for the final learned function to be simple. The obvious next question: does this inductive bias come from the "&amp;"_architecture_ and _initialization_ of the neural network, or does it come from stochastic gradient descent (SGD)? This paper argues that it is primarily the former.
Specifically, if the inductive bias came from SGD, we would expect that bias to go away "&amp;"if we replaced SGD with random sampling. In random sampling, we sample an initialization of the neural network, and if it has zero training error, then we’re done, otherwise we repeat.
The authors explore this hypothesis experimentally on the MNIST, Fash"&amp;"ion-MNIST, and IMDb movie review databases. They test on variants of SGD, including Adam, Adagrad, and RMSprop. Since actually running rejection sampling for a dataset would take _way_ too much time, the authors approximate it using a Gaussian Process. Th"&amp;"is is known to be a good approximation in the large width regime.
Results show that the two probabilities are correlated over a wide order of magnitudes for different architectures, datasets, and optimization methods. While correlation isn't perfect over"&amp;" all scales, it tends to improve as the frequency of the function increases. In particular, the top few most likely functions tend to have highly correlated probabilities under both generation mechanisms.")</f>
        <v>Neural networks have been shown empirically to generalize well in the overparameterized setting, which suggests that there is an inductive bias for the final learned function to be simple. The obvious next question: does this inductive bias come from the _architecture_ and _initialization_ of the neural network, or does it come from stochastic gradient descent (SGD)? This paper argues that it is primarily the former.
Specifically, if the inductive bias came from SGD, we would expect that bias to go away if we replaced SGD with random sampling. In random sampling, we sample an initialization of the neural network, and if it has zero training error, then we’re done, otherwise we repeat.
The authors explore this hypothesis experimentally on the MNIST, Fashion-MNIST, and IMDb movie review databases. They test on variants of SGD, including Adam, Adagrad, and RMSprop. Since actually running rejection sampling for a dataset would take _way_ too much time, the authors approximate it using a Gaussian Process. This is known to be a good approximation in the large width regime.
Results show that the two probabilities are correlated over a wide order of magnitudes for different architectures, datasets, and optimization methods. While correlation isn't perfect over all scales, it tends to improve as the frequency of the function increases. In particular, the top few most likely functions tend to have highly correlated probabilities under both generation mechanisms.</v>
      </c>
      <c r="K458" t="str">
        <f>IFERROR(__xludf.DUMMYFUNCTION("""COMPUTED_VALUE"""),"Fundamentally, the point here is that generalization performance is explained much more by the neural network architecture rather than the structure of stochastic gradient descent, since we can see that stochastic gradient descent tends to behave similarl"&amp;"y to (an approximation of) random sampling. The paper talks a bunch about things like SGD being (almost) Bayesian and the neural network prior having low Kolmogorov complexity; I found these to be distractions from the main point. Beyond that, approximati"&amp;"ng the random sampling probability with a Gaussian process is a fairly delicate affair and I have concerns about the applicability to real neural networks.
One way that SGD could differ from random sampling is that SGD will typically only reach the bound"&amp;"ary of a region with zero training error, whereas random sampling will sample uniformly within the region. However, in high dimensional settings, most of the volume is near the boundary, so this is not a big deal. I'm not aware of any work that claims SGD"&amp;" uniformly samples from this boundary, but it's worth considering that possibility if the experimental results hold up.
**Rohin’s opinion:** I agree with Zach above about the main point of the paper. One other thing I’d note is that SGD can’t have litera"&amp;"lly the same outcomes as random sampling, since random sampling wouldn’t display phenomena like &lt;@double descent@&gt;(@Deep Double Descent@). I don’t think this is in conflict with the claim of the paper, which is that _most_ of the inductive bias comes from"&amp;" the architecture and initialization.
[Other](https://arxiv.org/abs/1805.08522) [work](https://arxiv.org/abs/1909.11522) by the same group provides some theoretical and empirical arguments that the neural network prior does have an inductive bias towards"&amp;" simplicity. I find those results suggestive but not conclusive, and am far more persuaded by the paper summarized here, so I don’t expect to summarize them.")</f>
        <v>Fundamentally, the point here is that generalization performance is explained much more by the neural network architecture rather than the structure of stochastic gradient descent, since we can see that stochastic gradient descent tends to behave similarly to (an approximation of) random sampling. The paper talks a bunch about things like SGD being (almost) Bayesian and the neural network prior having low Kolmogorov complexity; I found these to be distractions from the main point. Beyond that, approximating the random sampling probability with a Gaussian process is a fairly delicate affair and I have concerns about the applicability to real neural networks.
One way that SGD could differ from random sampling is that SGD will typically only reach the boundary of a region with zero training error, whereas random sampling will sample uniformly within the region. However, in high dimensional settings, most of the volume is near the boundary, so this is not a big deal. I'm not aware of any work that claims SGD uniformly samples from this boundary, but it's worth considering that possibility if the experimental results hold up.
**Rohin’s opinion:** I agree with Zach above about the main point of the paper. One other thing I’d note is that SGD can’t have literally the same outcomes as random sampling, since random sampling wouldn’t display phenomena like &lt;@double descent@&gt;(@Deep Double Descent@). I don’t think this is in conflict with the claim of the paper, which is that _most_ of the inductive bias comes from the architecture and initialization.
[Other](https://arxiv.org/abs/1805.08522) [work](https://arxiv.org/abs/1909.11522) by the same group provides some theoretical and empirical arguments that the neural network prior does have an inductive bias towards simplicity. I find those results suggestive but not conclusive, and am far more persuaded by the paper summarized here, so I don’t expect to summarize them.</v>
      </c>
      <c r="M458" s="3" t="str">
        <f>IFERROR(__xludf.DUMMYFUNCTION("""COMPUTED_VALUE"""),"Alignment Forum discussion")</f>
        <v>Alignment Forum discussion</v>
      </c>
    </row>
    <row r="459">
      <c r="A459" t="str">
        <f>IFERROR(__xludf.DUMMYFUNCTION("""COMPUTED_VALUE"""),"Deep learning")</f>
        <v>Deep learning</v>
      </c>
      <c r="B459" t="str">
        <f>IFERROR(__xludf.DUMMYFUNCTION("""COMPUTED_VALUE"""),"")</f>
        <v/>
      </c>
      <c r="C459" s="3" t="str">
        <f>IFERROR(__xludf.DUMMYFUNCTION("""COMPUTED_VALUE"""),"DARTS: Differentiable Architecture Search")</f>
        <v>DARTS: Differentiable Architecture Search</v>
      </c>
      <c r="D459" t="str">
        <f>IFERROR(__xludf.DUMMYFUNCTION("""COMPUTED_VALUE"""),"Hanxiao Liu, Karen Simonyan, Yiming Yang")</f>
        <v>Hanxiao Liu, Karen Simonyan, Yiming Yang</v>
      </c>
      <c r="E459" t="str">
        <f>IFERROR(__xludf.DUMMYFUNCTION("""COMPUTED_VALUE"""),"arXiv")</f>
        <v>arXiv</v>
      </c>
      <c r="F459">
        <f>IFERROR(__xludf.DUMMYFUNCTION("""COMPUTED_VALUE"""),2018.0)</f>
        <v>2018</v>
      </c>
      <c r="H459" s="3" t="str">
        <f>IFERROR(__xludf.DUMMYFUNCTION("""COMPUTED_VALUE"""),"AN #13")</f>
        <v>AN #13</v>
      </c>
    </row>
    <row r="460">
      <c r="A460" t="str">
        <f>IFERROR(__xludf.DUMMYFUNCTION("""COMPUTED_VALUE"""),"Deep learning")</f>
        <v>Deep learning</v>
      </c>
      <c r="B460" t="str">
        <f>IFERROR(__xludf.DUMMYFUNCTION("""COMPUTED_VALUE"""),"")</f>
        <v/>
      </c>
      <c r="C460" s="3" t="str">
        <f>IFERROR(__xludf.DUMMYFUNCTION("""COMPUTED_VALUE"""),"Resource-Efficient Neural Architect")</f>
        <v>Resource-Efficient Neural Architect</v>
      </c>
      <c r="D460" t="str">
        <f>IFERROR(__xludf.DUMMYFUNCTION("""COMPUTED_VALUE"""),"Yanqi Zhou, Siavash Ebrahimi, Sercan Ö. Arık, Haonan Yu, Hairong Liu, Greg Diamos")</f>
        <v>Yanqi Zhou, Siavash Ebrahimi, Sercan Ö. Arık, Haonan Yu, Hairong Liu, Greg Diamos</v>
      </c>
      <c r="E460" t="str">
        <f>IFERROR(__xludf.DUMMYFUNCTION("""COMPUTED_VALUE"""),"arXiv")</f>
        <v>arXiv</v>
      </c>
      <c r="F460">
        <f>IFERROR(__xludf.DUMMYFUNCTION("""COMPUTED_VALUE"""),2018.0)</f>
        <v>2018</v>
      </c>
      <c r="H460" s="3" t="str">
        <f>IFERROR(__xludf.DUMMYFUNCTION("""COMPUTED_VALUE"""),"AN #13")</f>
        <v>AN #13</v>
      </c>
    </row>
    <row r="461">
      <c r="A461" t="str">
        <f>IFERROR(__xludf.DUMMYFUNCTION("""COMPUTED_VALUE"""),"Deep learning")</f>
        <v>Deep learning</v>
      </c>
      <c r="B461" t="str">
        <f>IFERROR(__xludf.DUMMYFUNCTION("""COMPUTED_VALUE"""),"")</f>
        <v/>
      </c>
      <c r="C461" s="3" t="str">
        <f>IFERROR(__xludf.DUMMYFUNCTION("""COMPUTED_VALUE"""),"Transformers for Image Recognition at Scale")</f>
        <v>Transformers for Image Recognition at Scale</v>
      </c>
      <c r="D461" t="str">
        <f>IFERROR(__xludf.DUMMYFUNCTION("""COMPUTED_VALUE"""),"Alexey Dosovitskiy*, Lucas Beyer*, Alexander Kolesnikov*, Dirk Weissenborn*, Xiaohua Zhai*, Neil Houlsby*, Thomas Unterthiner, Mostafa Dehghani, Matthias Minderer, Georg Heigold, Sylvain Gelly, Jakob Uszkoreit")</f>
        <v>Alexey Dosovitskiy*, Lucas Beyer*, Alexander Kolesnikov*, Dirk Weissenborn*, Xiaohua Zhai*, Neil Houlsby*, Thomas Unterthiner, Mostafa Dehghani, Matthias Minderer, Georg Heigold, Sylvain Gelly, Jakob Uszkoreit</v>
      </c>
      <c r="E461" t="str">
        <f>IFERROR(__xludf.DUMMYFUNCTION("""COMPUTED_VALUE"""),"arXiv")</f>
        <v>arXiv</v>
      </c>
      <c r="F461">
        <f>IFERROR(__xludf.DUMMYFUNCTION("""COMPUTED_VALUE"""),2020.0)</f>
        <v>2020</v>
      </c>
      <c r="H461" s="3" t="str">
        <f>IFERROR(__xludf.DUMMYFUNCTION("""COMPUTED_VALUE"""),"AN #128")</f>
        <v>AN #128</v>
      </c>
      <c r="I461" t="str">
        <f>IFERROR(__xludf.DUMMYFUNCTION("""COMPUTED_VALUE"""),"Flo")</f>
        <v>Flo</v>
      </c>
      <c r="J461" t="str">
        <f>IFERROR(__xludf.DUMMYFUNCTION("""COMPUTED_VALUE"""),"This paper applies transformers to image classification in a fairly straightforward way: First, an input image is divided into 16x16 pixel patches on a grid. Then, a linear projection of the patch is combined with a learnt positional embedding and fed int"&amp;"o a standard transformer pipeline. Lastly, a standard MLP head is applied on top of the transformer for the classification. When trained on ImageNet, this architecture overfits and does not reach SOTA performance. However, it can compete with the previous"&amp;" SOTA on the larger ImageNet-21k (14M images) and outcompete it on JFT (300M images), while needing four times less compute for training. By finetuning the JFT model on ImageNet, the transformer narrowly outperforms the previous best ImageNet classifier. "&amp;"
The positional embeddings learnt by the model look meaningful in that each is most similar to others in the same row or column. Also, some of the attention heads in early layers attend to multiple distant patches, while others are a lot more local. This"&amp;" means that some heads in the early layers have a wide receptive field, which is something that convolution kernels cannot achieve. Overall, given enough data, the transformer seems to be able to learn inductive biases used by CNNs without being limited t"&amp;"o them.")</f>
        <v>This paper applies transformers to image classification in a fairly straightforward way: First, an input image is divided into 16x16 pixel patches on a grid. Then, a linear projection of the patch is combined with a learnt positional embedding and fed into a standard transformer pipeline. Lastly, a standard MLP head is applied on top of the transformer for the classification. When trained on ImageNet, this architecture overfits and does not reach SOTA performance. However, it can compete with the previous SOTA on the larger ImageNet-21k (14M images) and outcompete it on JFT (300M images), while needing four times less compute for training. By finetuning the JFT model on ImageNet, the transformer narrowly outperforms the previous best ImageNet classifier. 
The positional embeddings learnt by the model look meaningful in that each is most similar to others in the same row or column. Also, some of the attention heads in early layers attend to multiple distant patches, while others are a lot more local. This means that some heads in the early layers have a wide receptive field, which is something that convolution kernels cannot achieve. Overall, given enough data, the transformer seems to be able to learn inductive biases used by CNNs without being limited to them.</v>
      </c>
      <c r="K461" t="str">
        <f>IFERROR(__xludf.DUMMYFUNCTION("""COMPUTED_VALUE"""),"Intuitively, inductive biases become less and less useful the more training data we have, but I would have thought that in the current regime CNNs have too weak rather than too strong inductive biases, so the results are surprising. What is even more surp"&amp;"rising is how simple the model is: It does not seem to use any data augmentation, unsupervised pretraining or other tricks like noisy student-teacher training, such that there are many promising avenues for immediate improvements. Also, I would imagine th"&amp;"at using something more sophisticated than a linear projection to embed the 16x16 patches could go a long way.")</f>
        <v>Intuitively, inductive biases become less and less useful the more training data we have, but I would have thought that in the current regime CNNs have too weak rather than too strong inductive biases, so the results are surprising. What is even more surprising is how simple the model is: It does not seem to use any data augmentation, unsupervised pretraining or other tricks like noisy student-teacher training, such that there are many promising avenues for immediate improvements. Also, I would imagine that using something more sophisticated than a linear projection to embed the 16x16 patches could go a long way.</v>
      </c>
      <c r="M461" s="3" t="str">
        <f>IFERROR(__xludf.DUMMYFUNCTION("""COMPUTED_VALUE"""),"Paper: An Image is Worth 16x16 Words: Transformers for Image Recognition at Scale")</f>
        <v>Paper: An Image is Worth 16x16 Words: Transformers for Image Recognition at Scale</v>
      </c>
    </row>
    <row r="462">
      <c r="A462" t="str">
        <f>IFERROR(__xludf.DUMMYFUNCTION("""COMPUTED_VALUE"""),"Deep learning")</f>
        <v>Deep learning</v>
      </c>
      <c r="B462" t="str">
        <f>IFERROR(__xludf.DUMMYFUNCTION("""COMPUTED_VALUE"""),"")</f>
        <v/>
      </c>
      <c r="C462" s="3" t="str">
        <f>IFERROR(__xludf.DUMMYFUNCTION("""COMPUTED_VALUE"""),"Deploying Lifelong Open-Domain Dialogue Learning")</f>
        <v>Deploying Lifelong Open-Domain Dialogue Learning</v>
      </c>
      <c r="D462" t="str">
        <f>IFERROR(__xludf.DUMMYFUNCTION("""COMPUTED_VALUE"""),"Kurt Shuster*, Jack Urbanek*, Emily Dinan, Arthur Szlam, Jason Weston")</f>
        <v>Kurt Shuster*, Jack Urbanek*, Emily Dinan, Arthur Szlam, Jason Weston</v>
      </c>
      <c r="E462" t="str">
        <f>IFERROR(__xludf.DUMMYFUNCTION("""COMPUTED_VALUE"""),"arXiv")</f>
        <v>arXiv</v>
      </c>
      <c r="F462">
        <f>IFERROR(__xludf.DUMMYFUNCTION("""COMPUTED_VALUE"""),2020.0)</f>
        <v>2020</v>
      </c>
      <c r="H462" s="3" t="str">
        <f>IFERROR(__xludf.DUMMYFUNCTION("""COMPUTED_VALUE"""),"AN #116")</f>
        <v>AN #116</v>
      </c>
      <c r="I462" t="str">
        <f>IFERROR(__xludf.DUMMYFUNCTION("""COMPUTED_VALUE"""),"Rohin")</f>
        <v>Rohin</v>
      </c>
      <c r="J462" t="str">
        <f>IFERROR(__xludf.DUMMYFUNCTION("""COMPUTED_VALUE"""),"Most research in natural language processing (NLP) follows a paradigm in which we first collect a dataset via crowdsourced workers, and then we train a model on this dataset to solve some task. Could we instead have _lifelong learning_, in which a model c"&amp;"ould continue learning after being deployed, getting better and better the more it is used? This paper shows one instantiation of such an approach, in a fantasy role-playing game.
The authors take the previously developed LIGHT role-playing setting, and "&amp;"gamify it. The human player talks to a language model while playing some role, and earns stars and badges for saying realistic things (as evaluated by another language model). Rather than paying crowdsourced workers to provide data, the authors instead me"&amp;"rely advertise their game, which people then play for fun, reducing the cost of data acquisition. They find that in addition to reducing costs, this results in a more diverse dataset, and also leads to faster improvements in automated metrics.")</f>
        <v>Most research in natural language processing (NLP) follows a paradigm in which we first collect a dataset via crowdsourced workers, and then we train a model on this dataset to solve some task. Could we instead have _lifelong learning_, in which a model could continue learning after being deployed, getting better and better the more it is used? This paper shows one instantiation of such an approach, in a fantasy role-playing game.
The authors take the previously developed LIGHT role-playing setting, and gamify it. The human player talks to a language model while playing some role, and earns stars and badges for saying realistic things (as evaluated by another language model). Rather than paying crowdsourced workers to provide data, the authors instead merely advertise their game, which people then play for fun, reducing the cost of data acquisition. They find that in addition to reducing costs, this results in a more diverse dataset, and also leads to faster improvements in automated metrics.</v>
      </c>
      <c r="K462" t="str">
        <f>IFERROR(__xludf.DUMMYFUNCTION("""COMPUTED_VALUE"""),"Ultimately we’re going to want AI systems that learn and improve over time, even during deployment. It’s exciting to see an example of what that might look like.")</f>
        <v>Ultimately we’re going to want AI systems that learn and improve over time, even during deployment. It’s exciting to see an example of what that might look like.</v>
      </c>
    </row>
    <row r="463">
      <c r="A463" t="str">
        <f>IFERROR(__xludf.DUMMYFUNCTION("""COMPUTED_VALUE"""),"Deep learning")</f>
        <v>Deep learning</v>
      </c>
      <c r="B463" t="str">
        <f>IFERROR(__xludf.DUMMYFUNCTION("""COMPUTED_VALUE"""),"")</f>
        <v/>
      </c>
      <c r="C463" s="3" t="str">
        <f>IFERROR(__xludf.DUMMYFUNCTION("""COMPUTED_VALUE"""),"Improving Language Understanding with Unsupervised Learning")</f>
        <v>Improving Language Understanding with Unsupervised Learning</v>
      </c>
      <c r="D463" t="str">
        <f>IFERROR(__xludf.DUMMYFUNCTION("""COMPUTED_VALUE"""),"Alec Radford")</f>
        <v>Alec Radford</v>
      </c>
      <c r="E463" t="str">
        <f>IFERROR(__xludf.DUMMYFUNCTION("""COMPUTED_VALUE"""),"OpenAI Blog")</f>
        <v>OpenAI Blog</v>
      </c>
      <c r="F463">
        <f>IFERROR(__xludf.DUMMYFUNCTION("""COMPUTED_VALUE"""),2018.0)</f>
        <v>2018</v>
      </c>
      <c r="H463" s="3" t="str">
        <f>IFERROR(__xludf.DUMMYFUNCTION("""COMPUTED_VALUE"""),"AN #11")</f>
        <v>AN #11</v>
      </c>
    </row>
    <row r="464">
      <c r="A464" t="str">
        <f>IFERROR(__xludf.DUMMYFUNCTION("""COMPUTED_VALUE"""),"Deep learning")</f>
        <v>Deep learning</v>
      </c>
      <c r="B464" t="str">
        <f>IFERROR(__xludf.DUMMYFUNCTION("""COMPUTED_VALUE"""),"")</f>
        <v/>
      </c>
      <c r="C464" s="3" t="str">
        <f>IFERROR(__xludf.DUMMYFUNCTION("""COMPUTED_VALUE"""),"Neural scene representation and rendering")</f>
        <v>Neural scene representation and rendering</v>
      </c>
      <c r="D464" t="str">
        <f>IFERROR(__xludf.DUMMYFUNCTION("""COMPUTED_VALUE"""),"S. M. Ali Eslami, Danilo J. Rezende")</f>
        <v>S. M. Ali Eslami, Danilo J. Rezende</v>
      </c>
      <c r="E464" t="str">
        <f>IFERROR(__xludf.DUMMYFUNCTION("""COMPUTED_VALUE"""),"Science")</f>
        <v>Science</v>
      </c>
      <c r="F464">
        <f>IFERROR(__xludf.DUMMYFUNCTION("""COMPUTED_VALUE"""),2018.0)</f>
        <v>2018</v>
      </c>
      <c r="H464" s="3" t="str">
        <f>IFERROR(__xludf.DUMMYFUNCTION("""COMPUTED_VALUE"""),"AN #11")</f>
        <v>AN #11</v>
      </c>
    </row>
    <row r="465">
      <c r="A465" t="str">
        <f>IFERROR(__xludf.DUMMYFUNCTION("""COMPUTED_VALUE"""),"Deep learning")</f>
        <v>Deep learning</v>
      </c>
      <c r="B465" t="str">
        <f>IFERROR(__xludf.DUMMYFUNCTION("""COMPUTED_VALUE"""),"")</f>
        <v/>
      </c>
      <c r="C465" s="3" t="str">
        <f>IFERROR(__xludf.DUMMYFUNCTION("""COMPUTED_VALUE"""),"GPT-3 Creative Fiction")</f>
        <v>GPT-3 Creative Fiction</v>
      </c>
      <c r="D465" t="str">
        <f>IFERROR(__xludf.DUMMYFUNCTION("""COMPUTED_VALUE"""),"Gwern Branwen and GPT-3")</f>
        <v>Gwern Branwen and GPT-3</v>
      </c>
      <c r="E465" t="str">
        <f>IFERROR(__xludf.DUMMYFUNCTION("""COMPUTED_VALUE"""),"Author's Website")</f>
        <v>Author's Website</v>
      </c>
      <c r="F465">
        <f>IFERROR(__xludf.DUMMYFUNCTION("""COMPUTED_VALUE"""),2020.0)</f>
        <v>2020</v>
      </c>
      <c r="H465" s="3" t="str">
        <f>IFERROR(__xludf.DUMMYFUNCTION("""COMPUTED_VALUE"""),"AN #108")</f>
        <v>AN #108</v>
      </c>
      <c r="I465" t="str">
        <f>IFERROR(__xludf.DUMMYFUNCTION("""COMPUTED_VALUE"""),"Rohin")</f>
        <v>Rohin</v>
      </c>
      <c r="J465" t="str">
        <f>IFERROR(__xludf.DUMMYFUNCTION("""COMPUTED_VALUE"""),"In Gwern's words, this is ""creative writing by OpenAI’s GPT-3 model, demonstrating poetry, dialogue, puns, literary parodies, and storytelling"".")</f>
        <v>In Gwern's words, this is "creative writing by OpenAI’s GPT-3 model, demonstrating poetry, dialogue, puns, literary parodies, and storytelling".</v>
      </c>
      <c r="K465" t="str">
        <f>IFERROR(__xludf.DUMMYFUNCTION("""COMPUTED_VALUE"""),"I often find it's very useful to stare directly at raw data in order to understand how something works, in addition to looking at summary statistics and graphs that present a very high-level view of the data. While this isn't literally raw data (Gwern hea"&amp;"vily designed the prompts, and somewhat curated the outputs), I think it provides an important glimpse into how GPT-3 works that you wouldn't really get from reading the &lt;@paper@&gt;(@Language Models are Few-Shot Learners@).")</f>
        <v>I often find it's very useful to stare directly at raw data in order to understand how something works, in addition to looking at summary statistics and graphs that present a very high-level view of the data. While this isn't literally raw data (Gwern heavily designed the prompts, and somewhat curated the outputs), I think it provides an important glimpse into how GPT-3 works that you wouldn't really get from reading the &lt;@paper@&gt;(@Language Models are Few-Shot Learners@).</v>
      </c>
    </row>
    <row r="466">
      <c r="A466" t="str">
        <f>IFERROR(__xludf.DUMMYFUNCTION("""COMPUTED_VALUE"""),"Deep learning")</f>
        <v>Deep learning</v>
      </c>
      <c r="B466" t="str">
        <f>IFERROR(__xludf.DUMMYFUNCTION("""COMPUTED_VALUE"""),"")</f>
        <v/>
      </c>
      <c r="C466" s="3" t="str">
        <f>IFERROR(__xludf.DUMMYFUNCTION("""COMPUTED_VALUE"""),"Cold Case: The Lost MNIST Digits")</f>
        <v>Cold Case: The Lost MNIST Digits</v>
      </c>
      <c r="D466" t="str">
        <f>IFERROR(__xludf.DUMMYFUNCTION("""COMPUTED_VALUE"""),"Chhavi Yadav, Léon Bottou")</f>
        <v>Chhavi Yadav, Léon Bottou</v>
      </c>
      <c r="E466" t="str">
        <f>IFERROR(__xludf.DUMMYFUNCTION("""COMPUTED_VALUE"""),"arXiv")</f>
        <v>arXiv</v>
      </c>
      <c r="F466">
        <f>IFERROR(__xludf.DUMMYFUNCTION("""COMPUTED_VALUE"""),2019.0)</f>
        <v>2019</v>
      </c>
      <c r="H466" s="3" t="str">
        <f>IFERROR(__xludf.DUMMYFUNCTION("""COMPUTED_VALUE"""),"AN #103")</f>
        <v>AN #103</v>
      </c>
      <c r="I466" t="str">
        <f>IFERROR(__xludf.DUMMYFUNCTION("""COMPUTED_VALUE"""),"Flo")</f>
        <v>Flo</v>
      </c>
      <c r="J466" t="str">
        <f>IFERROR(__xludf.DUMMYFUNCTION("""COMPUTED_VALUE"""),"As the MNIST test set only contains 10,000 samples, concerns that further improvements are essentially overfitting on the test set have been voiced. Interestingly, MNIST was originally meant to have a test set of 60,000, as large as the training set, but "&amp;"the remaining 50,000 digits have been lost. The authors made many attempts to reconstruct the way MNIST was obtained from the NIST handwriting database as closely as possible and present QMNIST(v5) which features an additional 50,000 test images for MNIST"&amp;", while the rest of the images are very close to the originals from MNIST. They test their dataset using multiple classification methods and find little difference in whether MNIST or QMNIST is used for training, but the test error on the additional 50,00"&amp;"0 images is consistently higher than on the original 10,000 test images or their reconstruction of these. While the concerns about overuse of a test set are justified, the measured effects were mostly small and their relevance might be outweighed by the u"&amp;"sefulness of paired differences for statistical model selection. ")</f>
        <v>As the MNIST test set only contains 10,000 samples, concerns that further improvements are essentially overfitting on the test set have been voiced. Interestingly, MNIST was originally meant to have a test set of 60,000, as large as the training set, but the remaining 50,000 digits have been lost. The authors made many attempts to reconstruct the way MNIST was obtained from the NIST handwriting database as closely as possible and present QMNIST(v5) which features an additional 50,000 test images for MNIST, while the rest of the images are very close to the originals from MNIST. They test their dataset using multiple classification methods and find little difference in whether MNIST or QMNIST is used for training, but the test error on the additional 50,000 images is consistently higher than on the original 10,000 test images or their reconstruction of these. While the concerns about overuse of a test set are justified, the measured effects were mostly small and their relevance might be outweighed by the usefulness of paired differences for statistical model selection. </v>
      </c>
      <c r="K466" t="str">
        <f>IFERROR(__xludf.DUMMYFUNCTION("""COMPUTED_VALUE"""),"I am confused about the overfitting part, as most methods they try (like ResNets) don't seem to have been selected for performance on the MNIST test set. Granted, LeNet seems to degrade more than other models, but it seems like the additional test images "&amp;"in QMNIST are actually harder to classify. This seems especially plausible with the previous summary in mind and because the authors mention a dichotomy between the ease of classification for NIST images generated by highschoolers vs government employees "&amp;"but don’t seem to mention any attempts to deal with potential selection bias.")</f>
        <v>I am confused about the overfitting part, as most methods they try (like ResNets) don't seem to have been selected for performance on the MNIST test set. Granted, LeNet seems to degrade more than other models, but it seems like the additional test images in QMNIST are actually harder to classify. This seems especially plausible with the previous summary in mind and because the authors mention a dichotomy between the ease of classification for NIST images generated by highschoolers vs government employees but don’t seem to mention any attempts to deal with potential selection bias.</v>
      </c>
    </row>
    <row r="467">
      <c r="A467" t="str">
        <f>IFERROR(__xludf.DUMMYFUNCTION("""COMPUTED_VALUE"""),"Deep learning")</f>
        <v>Deep learning</v>
      </c>
      <c r="B467" t="str">
        <f>IFERROR(__xludf.DUMMYFUNCTION("""COMPUTED_VALUE"""),"")</f>
        <v/>
      </c>
      <c r="C467" s="3" t="str">
        <f>IFERROR(__xludf.DUMMYFUNCTION("""COMPUTED_VALUE"""),"The Next Decade in AI: Four Steps Towards Robust Artificial Intelligence")</f>
        <v>The Next Decade in AI: Four Steps Towards Robust Artificial Intelligence</v>
      </c>
      <c r="D467" t="str">
        <f>IFERROR(__xludf.DUMMYFUNCTION("""COMPUTED_VALUE"""),"Gary Marcus")</f>
        <v>Gary Marcus</v>
      </c>
      <c r="E467" t="str">
        <f>IFERROR(__xludf.DUMMYFUNCTION("""COMPUTED_VALUE"""),"arXiv")</f>
        <v>arXiv</v>
      </c>
      <c r="F467">
        <f>IFERROR(__xludf.DUMMYFUNCTION("""COMPUTED_VALUE"""),2020.0)</f>
        <v>2020</v>
      </c>
      <c r="H467" s="3" t="str">
        <f>IFERROR(__xludf.DUMMYFUNCTION("""COMPUTED_VALUE"""),"AN #89")</f>
        <v>AN #89</v>
      </c>
      <c r="I467" t="str">
        <f>IFERROR(__xludf.DUMMYFUNCTION("""COMPUTED_VALUE"""),"Rohin")</f>
        <v>Rohin</v>
      </c>
      <c r="J467" t="str">
        <f>IFERROR(__xludf.DUMMYFUNCTION("""COMPUTED_VALUE"""),"This paper suggests a few directions which would allow us to build more _robust_ AI systems with better ""understanding"" of the world: specifically, it highlights **symbol manipulation, encoded knowledge, reasoning, and cognitive models** as areas of res"&amp;"earch for the next decade.
See also [Import AI #187](https://jack-clark.net/2020/03/02/import-ai-187-real-world-robot-tests-at-cvpr-all-hail-the-molecule-transformer-the-four-traits-needed-for-smarter-ai-systems/) and [Matthew Barnett's summary](https://"&amp;"www.lesswrong.com/posts/CeJs4rPgPtJPNqLMt/gary-marcus-four-steps-towards-robust-artificial).")</f>
        <v>This paper suggests a few directions which would allow us to build more _robust_ AI systems with better "understanding" of the world: specifically, it highlights **symbol manipulation, encoded knowledge, reasoning, and cognitive models** as areas of research for the next decade.
See also [Import AI #187](https://jack-clark.net/2020/03/02/import-ai-187-real-world-robot-tests-at-cvpr-all-hail-the-molecule-transformer-the-four-traits-needed-for-smarter-ai-systems/) and [Matthew Barnett's summary](https://www.lesswrong.com/posts/CeJs4rPgPtJPNqLMt/gary-marcus-four-steps-towards-robust-artificial).</v>
      </c>
      <c r="K467" t="str">
        <f>IFERROR(__xludf.DUMMYFUNCTION("""COMPUTED_VALUE"""),"The AI claims made in this paper seem pretty reasonable to me, though I think the paper overstates how much deep learning aficionados disagree with them. I certainly agree for example that existing deep learning systems do not generalize well outside of t"&amp;"heir training environment, or that AI systems will need to work with abstract knowledge, or that AI systems will have to learn from external, cultural knowledge represented in natural language. And while I am perhaps not as enamored of deep learning as (s"&amp;"ay) OpenAI or DeepMind, I'm a pretty big fan of it, and try to design algorithms where deep learning can do most of the ""heavy lifting"".")</f>
        <v>The AI claims made in this paper seem pretty reasonable to me, though I think the paper overstates how much deep learning aficionados disagree with them. I certainly agree for example that existing deep learning systems do not generalize well outside of their training environment, or that AI systems will need to work with abstract knowledge, or that AI systems will have to learn from external, cultural knowledge represented in natural language. And while I am perhaps not as enamored of deep learning as (say) OpenAI or DeepMind, I'm a pretty big fan of it, and try to design algorithms where deep learning can do most of the "heavy lifting".</v>
      </c>
    </row>
    <row r="468">
      <c r="A468" t="str">
        <f>IFERROR(__xludf.DUMMYFUNCTION("""COMPUTED_VALUE"""),"Deep learning")</f>
        <v>Deep learning</v>
      </c>
      <c r="B468" t="str">
        <f>IFERROR(__xludf.DUMMYFUNCTION("""COMPUTED_VALUE"""),"")</f>
        <v/>
      </c>
      <c r="C468" s="3" t="str">
        <f>IFERROR(__xludf.DUMMYFUNCTION("""COMPUTED_VALUE"""),"Reconciling modern machine learning practice and the bias-variance trade-off")</f>
        <v>Reconciling modern machine learning practice and the bias-variance trade-off</v>
      </c>
      <c r="D468" t="str">
        <f>IFERROR(__xludf.DUMMYFUNCTION("""COMPUTED_VALUE"""),"Mikhail Belkin, Daniel Hsu, Siyuan Ma, Soumik Mandal")</f>
        <v>Mikhail Belkin, Daniel Hsu, Siyuan Ma, Soumik Mandal</v>
      </c>
      <c r="E468" t="str">
        <f>IFERROR(__xludf.DUMMYFUNCTION("""COMPUTED_VALUE"""),"arXiv")</f>
        <v>arXiv</v>
      </c>
      <c r="F468">
        <f>IFERROR(__xludf.DUMMYFUNCTION("""COMPUTED_VALUE"""),2018.0)</f>
        <v>2018</v>
      </c>
      <c r="H468" s="3" t="str">
        <f>IFERROR(__xludf.DUMMYFUNCTION("""COMPUTED_VALUE"""),"AN #77")</f>
        <v>AN #77</v>
      </c>
      <c r="I468" t="str">
        <f>IFERROR(__xludf.DUMMYFUNCTION("""COMPUTED_VALUE"""),"Rohin")</f>
        <v>Rohin</v>
      </c>
      <c r="J468" t="str">
        <f>IFERROR(__xludf.DUMMYFUNCTION("""COMPUTED_VALUE"""),"This paper first proposed double descent as a general phenomenon, and demonstrated it in three machine learning models: linear predictors over random Fourier features, fully connected neural networks with one hidden layer, and forests of decision trees. N"&amp;"ote that they define the interpolation threshold as the point where the number of parameters equals the number of training points, rather than using something like effective model complexiy.
For linear predictors over random Fourier features, their proce"&amp;"dure is as follows: they generate a set of random features, and then find the linear predictor that minimizes the squared loss incurred. If there are multiple predictors that achieve zero squared loss, then they choose the one with the minimum L2 norm. Th"&amp;"e double descent curve for a subset of MNIST is very pronounced and has a huge peak at the point where the number of features equals the number of training points.
For the fully connected neural networks on MNIST, they make a significant change to normal"&amp;" training: prior to the interpolation threshold, rather than training the networks from scratch, they train them from the final solution found for the previous (smaller) network, but after the interpolation threshold they train from scratch as normal. Wit"&amp;"h this change, you see a very pronounced and clear double descent curve. However, if you always train from scratch, then it's less clear -- there's a small peak, which the authors describe as ""clearly discernible"", but to me it looks like it could be no"&amp;"ise.
For decision trees, if the dataset has n training points, they learn decision trees of size up to n leaves, and then at that point (the interpolation threshold) they switch to having ensembles of decision trees (called forests) to get more expressiv"&amp;"e function classes. Once again, you can see a clear, pronounced double descent curve.")</f>
        <v>This paper first proposed double descent as a general phenomenon, and demonstrated it in three machine learning models: linear predictors over random Fourier features, fully connected neural networks with one hidden layer, and forests of decision trees. Note that they define the interpolation threshold as the point where the number of parameters equals the number of training points, rather than using something like effective model complexiy.
For linear predictors over random Fourier features, their procedure is as follows: they generate a set of random features, and then find the linear predictor that minimizes the squared loss incurred. If there are multiple predictors that achieve zero squared loss, then they choose the one with the minimum L2 norm. The double descent curve for a subset of MNIST is very pronounced and has a huge peak at the point where the number of features equals the number of training points.
For the fully connected neural networks on MNIST, they make a significant change to normal training: prior to the interpolation threshold, rather than training the networks from scratch, they train them from the final solution found for the previous (smaller) network, but after the interpolation threshold they train from scratch as normal. With this change, you see a very pronounced and clear double descent curve. However, if you always train from scratch, then it's less clear -- there's a small peak, which the authors describe as "clearly discernible", but to me it looks like it could be noise.
For decision trees, if the dataset has n training points, they learn decision trees of size up to n leaves, and then at that point (the interpolation threshold) they switch to having ensembles of decision trees (called forests) to get more expressive function classes. Once again, you can see a clear, pronounced double descent curve.</v>
      </c>
      <c r="K468" t="str">
        <f>IFERROR(__xludf.DUMMYFUNCTION("""COMPUTED_VALUE"""),"I read this paper back when summarizing &lt;@Are Deep Neural Networks Dramatically Overfitted?@&gt; and found it uncompelling, and I'm really curious how the ML community correctly seized upon this idea as deserving of further investigation while I incorrectly "&amp;"dismissed it. None of the experimental results in this paper are particularly surprising to me, whereas double descent itself is quite surprising.
In the random Fourier features and decision trees experiments, there is a qualitative difference in the _le"&amp;"arning algorithm_ before and after the interpolation threshold, that suffices to explain the curve. With the random Fourier features, we only start regularizing the model after the interpolation threshold; it is not surprising that adding regularization h"&amp;"elps reduce test loss. With the decision trees, after the interpolation threshold, we start using ensembles; it is again not at all surprising that ensembles help reduce test error. (See also [this comment](https://www.alignmentforum.org/posts/FRv7ryoqtvS"&amp;"uqBxuT/understanding-deep-double-descent#6bqY4oSFncLTJgYdm).) So yeah, if you start regularizing (via L2 norm or ensembles) after the interpolation threshold, that will help your test error, but in practice we regularize throughout the training process, s"&amp;"o this should not occur with neural nets.
The neural net experiments also have a similar flavor -- the nets before the interpolation threshold are required to reuse weights from the previous run, while the ones after the interpolation threshold do not ha"&amp;"ve any such requirement. When this is removed, the results are much more muted. The authors claim that this is necessary to have clear graphs (where training risk monotonically decreases), but it's almost certainly biasing the results -- at the interpolat"&amp;"ion threshold, with weight reuse, the test squared loss is ~0.55 and test accuracy is ~80%, while without weight reuse, test squared loss is ~0.35 and test accuracy is ~85%, a _massive_ difference and probably not within the error bars.
Some speculation "&amp;"on what's happening here: neural net losses are nonconvex and training can get stuck in local optima. A pretty good way to get stuck in a local optimum is to initialize half your parameters to do something that does quite well while the other half are ini"&amp;"tialized randomly. So with weight reuse we might expect getting stuck in worse local optima. However, it looks like the training losses are comparable between the methods. Maybe what's happening is that with weight reuse, the half of parameters that are i"&amp;"nitialized randomly memorize the training points that the good half of the parameters can't predict, which doesn't generalize well but does get low training error. Meanwhile, without weight reuse, all of the parameters end up finding a good model that doe"&amp;"s generalize well, for whatever reason it is that neural nets do work well.
But again, note that the authors were right about double descent being a real phenomenon, while I was wrong, so take all this speculation with many grains of salt.")</f>
        <v>I read this paper back when summarizing &lt;@Are Deep Neural Networks Dramatically Overfitted?@&gt; and found it uncompelling, and I'm really curious how the ML community correctly seized upon this idea as deserving of further investigation while I incorrectly dismissed it. None of the experimental results in this paper are particularly surprising to me, whereas double descent itself is quite surprising.
In the random Fourier features and decision trees experiments, there is a qualitative difference in the _learning algorithm_ before and after the interpolation threshold, that suffices to explain the curve. With the random Fourier features, we only start regularizing the model after the interpolation threshold; it is not surprising that adding regularization helps reduce test loss. With the decision trees, after the interpolation threshold, we start using ensembles; it is again not at all surprising that ensembles help reduce test error. (See also [this comment](https://www.alignmentforum.org/posts/FRv7ryoqtvSuqBxuT/understanding-deep-double-descent#6bqY4oSFncLTJgYdm).) So yeah, if you start regularizing (via L2 norm or ensembles) after the interpolation threshold, that will help your test error, but in practice we regularize throughout the training process, so this should not occur with neural nets.
The neural net experiments also have a similar flavor -- the nets before the interpolation threshold are required to reuse weights from the previous run, while the ones after the interpolation threshold do not have any such requirement. When this is removed, the results are much more muted. The authors claim that this is necessary to have clear graphs (where training risk monotonically decreases), but it's almost certainly biasing the results -- at the interpolation threshold, with weight reuse, the test squared loss is ~0.55 and test accuracy is ~80%, while without weight reuse, test squared loss is ~0.35 and test accuracy is ~85%, a _massive_ difference and probably not within the error bars.
Some speculation on what's happening here: neural net losses are nonconvex and training can get stuck in local optima. A pretty good way to get stuck in a local optimum is to initialize half your parameters to do something that does quite well while the other half are initialized randomly. So with weight reuse we might expect getting stuck in worse local optima. However, it looks like the training losses are comparable between the methods. Maybe what's happening is that with weight reuse, the half of parameters that are initialized randomly memorize the training points that the good half of the parameters can't predict, which doesn't generalize well but does get low training error. Meanwhile, without weight reuse, all of the parameters end up finding a good model that does generalize well, for whatever reason it is that neural nets do work well.
But again, note that the authors were right about double descent being a real phenomenon, while I was wrong, so take all this speculation with many grains of salt.</v>
      </c>
    </row>
    <row r="469">
      <c r="A469" t="str">
        <f>IFERROR(__xludf.DUMMYFUNCTION("""COMPUTED_VALUE"""),"Deep learning")</f>
        <v>Deep learning</v>
      </c>
      <c r="B469" t="str">
        <f>IFERROR(__xludf.DUMMYFUNCTION("""COMPUTED_VALUE"""),"")</f>
        <v/>
      </c>
      <c r="C469" s="3" t="str">
        <f>IFERROR(__xludf.DUMMYFUNCTION("""COMPUTED_VALUE"""),"Recent Progress in the Theory of Neural Networks")</f>
        <v>Recent Progress in the Theory of Neural Networks</v>
      </c>
      <c r="D469" t="str">
        <f>IFERROR(__xludf.DUMMYFUNCTION("""COMPUTED_VALUE"""),"interstice")</f>
        <v>interstice</v>
      </c>
      <c r="E469" t="str">
        <f>IFERROR(__xludf.DUMMYFUNCTION("""COMPUTED_VALUE"""),"Alignment Forum")</f>
        <v>Alignment Forum</v>
      </c>
      <c r="F469">
        <f>IFERROR(__xludf.DUMMYFUNCTION("""COMPUTED_VALUE"""),2019.0)</f>
        <v>2019</v>
      </c>
      <c r="H469" s="3" t="str">
        <f>IFERROR(__xludf.DUMMYFUNCTION("""COMPUTED_VALUE"""),"AN #77")</f>
        <v>AN #77</v>
      </c>
    </row>
    <row r="470">
      <c r="A470" t="str">
        <f>IFERROR(__xludf.DUMMYFUNCTION("""COMPUTED_VALUE"""),"Deep learning")</f>
        <v>Deep learning</v>
      </c>
      <c r="B470" t="str">
        <f>IFERROR(__xludf.DUMMYFUNCTION("""COMPUTED_VALUE"""),"")</f>
        <v/>
      </c>
      <c r="C470" s="3" t="str">
        <f>IFERROR(__xludf.DUMMYFUNCTION("""COMPUTED_VALUE"""),"Self-supervised Visual Feature Learning with Deep Neural Networks: A Survey")</f>
        <v>Self-supervised Visual Feature Learning with Deep Neural Networks: A Survey</v>
      </c>
      <c r="D470" t="str">
        <f>IFERROR(__xludf.DUMMYFUNCTION("""COMPUTED_VALUE"""),"Longlong Jing, Yingli Tian")</f>
        <v>Longlong Jing, Yingli Tian</v>
      </c>
      <c r="E470" t="str">
        <f>IFERROR(__xludf.DUMMYFUNCTION("""COMPUTED_VALUE"""),"arXiv")</f>
        <v>arXiv</v>
      </c>
      <c r="F470">
        <f>IFERROR(__xludf.DUMMYFUNCTION("""COMPUTED_VALUE"""),2019.0)</f>
        <v>2019</v>
      </c>
      <c r="H470" s="3" t="str">
        <f>IFERROR(__xludf.DUMMYFUNCTION("""COMPUTED_VALUE"""),"AN #46")</f>
        <v>AN #46</v>
      </c>
    </row>
    <row r="471">
      <c r="A471" t="str">
        <f>IFERROR(__xludf.DUMMYFUNCTION("""COMPUTED_VALUE"""),"Deep learning")</f>
        <v>Deep learning</v>
      </c>
      <c r="B471" t="str">
        <f>IFERROR(__xludf.DUMMYFUNCTION("""COMPUTED_VALUE"""),"")</f>
        <v/>
      </c>
      <c r="C471" s="3" t="str">
        <f>IFERROR(__xludf.DUMMYFUNCTION("""COMPUTED_VALUE"""),"Learned optimizers that outperform SGD on wall-clock and test loss")</f>
        <v>Learned optimizers that outperform SGD on wall-clock and test loss</v>
      </c>
      <c r="D471" t="str">
        <f>IFERROR(__xludf.DUMMYFUNCTION("""COMPUTED_VALUE"""),"Luke Metz")</f>
        <v>Luke Metz</v>
      </c>
      <c r="E471" t="str">
        <f>IFERROR(__xludf.DUMMYFUNCTION("""COMPUTED_VALUE"""),"2018 IEEE/RSJ International Conference on Intelligent Robots and Systems (IROS)")</f>
        <v>2018 IEEE/RSJ International Conference on Intelligent Robots and Systems (IROS)</v>
      </c>
      <c r="F471">
        <f>IFERROR(__xludf.DUMMYFUNCTION("""COMPUTED_VALUE"""),2018.0)</f>
        <v>2018</v>
      </c>
      <c r="H471" s="3" t="str">
        <f>IFERROR(__xludf.DUMMYFUNCTION("""COMPUTED_VALUE"""),"AN #31")</f>
        <v>AN #31</v>
      </c>
    </row>
    <row r="472">
      <c r="A472" t="str">
        <f>IFERROR(__xludf.DUMMYFUNCTION("""COMPUTED_VALUE"""),"Deep learning")</f>
        <v>Deep learning</v>
      </c>
      <c r="B472" t="str">
        <f>IFERROR(__xludf.DUMMYFUNCTION("""COMPUTED_VALUE"""),"")</f>
        <v/>
      </c>
      <c r="C472" s="3" t="str">
        <f>IFERROR(__xludf.DUMMYFUNCTION("""COMPUTED_VALUE"""),"Automatic Program Synthesis of Long Programs with a Learned Garbage Collector")</f>
        <v>Automatic Program Synthesis of Long Programs with a Learned Garbage Collector</v>
      </c>
      <c r="D472" t="str">
        <f>IFERROR(__xludf.DUMMYFUNCTION("""COMPUTED_VALUE"""),"Amit Zohar, Lior Wolf")</f>
        <v>Amit Zohar, Lior Wolf</v>
      </c>
      <c r="E472" t="str">
        <f>IFERROR(__xludf.DUMMYFUNCTION("""COMPUTED_VALUE"""),"NIPS 2018")</f>
        <v>NIPS 2018</v>
      </c>
      <c r="F472">
        <f>IFERROR(__xludf.DUMMYFUNCTION("""COMPUTED_VALUE"""),2018.0)</f>
        <v>2018</v>
      </c>
      <c r="H472" s="3" t="str">
        <f>IFERROR(__xludf.DUMMYFUNCTION("""COMPUTED_VALUE"""),"AN #25")</f>
        <v>AN #25</v>
      </c>
    </row>
    <row r="473">
      <c r="A473" t="str">
        <f>IFERROR(__xludf.DUMMYFUNCTION("""COMPUTED_VALUE"""),"Deep learning")</f>
        <v>Deep learning</v>
      </c>
      <c r="B473" t="str">
        <f>IFERROR(__xludf.DUMMYFUNCTION("""COMPUTED_VALUE"""),"")</f>
        <v/>
      </c>
      <c r="C473" s="3" t="str">
        <f>IFERROR(__xludf.DUMMYFUNCTION("""COMPUTED_VALUE"""),"Beijing Academy of Artificial Intelligence announces 1,75 trillion parameters model, Wu Dao 2.0")</f>
        <v>Beijing Academy of Artificial Intelligence announces 1,75 trillion parameters model, Wu Dao 2.0</v>
      </c>
      <c r="F473">
        <f>IFERROR(__xludf.DUMMYFUNCTION("""COMPUTED_VALUE"""),2021.0)</f>
        <v>2021</v>
      </c>
      <c r="H473" s="3" t="str">
        <f>IFERROR(__xludf.DUMMYFUNCTION("""COMPUTED_VALUE"""),"AN #154")</f>
        <v>AN #154</v>
      </c>
      <c r="I473" t="str">
        <f>IFERROR(__xludf.DUMMYFUNCTION("""COMPUTED_VALUE"""),"Rohin")</f>
        <v>Rohin</v>
      </c>
      <c r="J473" t="str">
        <f>IFERROR(__xludf.DUMMYFUNCTION("""COMPUTED_VALUE"""),"There’s a good chance you’ve heard of the new Wu Dao 2.0 language model, with over 1 trillion parameters. Unfortunately, as far as I know there is no technical writeup describing this model, so I’m going to refrain from commenting on it. You can see other"&amp;" people’s takes in the linked LessWrong post, on [ChinAI](https://chinai.substack.com/p/chinai-145-enlightenment-via-large), and on [policy.ai](https://cset.georgetown.edu/newsletter/june-10-2021/).")</f>
        <v>There’s a good chance you’ve heard of the new Wu Dao 2.0 language model, with over 1 trillion parameters. Unfortunately, as far as I know there is no technical writeup describing this model, so I’m going to refrain from commenting on it. You can see other people’s takes in the linked LessWrong post, on [ChinAI](https://chinai.substack.com/p/chinai-145-enlightenment-via-large), and on [policy.ai](https://cset.georgetown.edu/newsletter/june-10-2021/).</v>
      </c>
    </row>
    <row r="474">
      <c r="A474" t="str">
        <f>IFERROR(__xludf.DUMMYFUNCTION("""COMPUTED_VALUE"""),"Deep learning")</f>
        <v>Deep learning</v>
      </c>
      <c r="B474" t="str">
        <f>IFERROR(__xludf.DUMMYFUNCTION("""COMPUTED_VALUE"""),"")</f>
        <v/>
      </c>
      <c r="C474" s="3" t="str">
        <f>IFERROR(__xludf.DUMMYFUNCTION("""COMPUTED_VALUE"""),"Neural Network Quine")</f>
        <v>Neural Network Quine</v>
      </c>
      <c r="D474" t="str">
        <f>IFERROR(__xludf.DUMMYFUNCTION("""COMPUTED_VALUE"""),"Oscar Chang, Hod Lipson")</f>
        <v>Oscar Chang, Hod Lipson</v>
      </c>
      <c r="E474" t="str">
        <f>IFERROR(__xludf.DUMMYFUNCTION("""COMPUTED_VALUE"""),"arXiv")</f>
        <v>arXiv</v>
      </c>
      <c r="F474">
        <f>IFERROR(__xludf.DUMMYFUNCTION("""COMPUTED_VALUE"""),2018.0)</f>
        <v>2018</v>
      </c>
      <c r="H474" s="3" t="str">
        <f>IFERROR(__xludf.DUMMYFUNCTION("""COMPUTED_VALUE"""),"Recon #5")</f>
        <v>Recon #5</v>
      </c>
      <c r="I474" t="str">
        <f>IFERROR(__xludf.DUMMYFUNCTION("""COMPUTED_VALUE"""),"Rohin")</f>
        <v>Rohin</v>
      </c>
      <c r="J474" t="str">
        <f>IFERROR(__xludf.DUMMYFUNCTION("""COMPUTED_VALUE"""),"")</f>
        <v/>
      </c>
      <c r="K474" t="str">
        <f>IFERROR(__xludf.DUMMYFUNCTION("""COMPUTED_VALUE"""),"")</f>
        <v/>
      </c>
    </row>
    <row r="475">
      <c r="A475" t="str">
        <f>IFERROR(__xludf.DUMMYFUNCTION("""COMPUTED_VALUE"""),"Deep learning")</f>
        <v>Deep learning</v>
      </c>
      <c r="B475" t="str">
        <f>IFERROR(__xludf.DUMMYFUNCTION("""COMPUTED_VALUE"""),"")</f>
        <v/>
      </c>
      <c r="C475" s="3" t="str">
        <f>IFERROR(__xludf.DUMMYFUNCTION("""COMPUTED_VALUE"""),"The History Began from AlexNet: A Comprehensive Survey on Deep Learning Approaches")</f>
        <v>The History Began from AlexNet: A Comprehensive Survey on Deep Learning Approaches</v>
      </c>
      <c r="D475" t="str">
        <f>IFERROR(__xludf.DUMMYFUNCTION("""COMPUTED_VALUE"""),"Md Zahangir Alom, Tarek M. Taha, Christopher Yakopcic, Stefan Westberg, Paheding Sidike, Mst Shamima Nasrin, Brian C Van Esesn, Abdul A S. Awwal, Vijayan K. Asari")</f>
        <v>Md Zahangir Alom, Tarek M. Taha, Christopher Yakopcic, Stefan Westberg, Paheding Sidike, Mst Shamima Nasrin, Brian C Van Esesn, Abdul A S. Awwal, Vijayan K. Asari</v>
      </c>
      <c r="E475" t="str">
        <f>IFERROR(__xludf.DUMMYFUNCTION("""COMPUTED_VALUE"""),"NIPS 2018")</f>
        <v>NIPS 2018</v>
      </c>
      <c r="F475">
        <f>IFERROR(__xludf.DUMMYFUNCTION("""COMPUTED_VALUE"""),2018.0)</f>
        <v>2018</v>
      </c>
      <c r="H475" s="3" t="str">
        <f>IFERROR(__xludf.DUMMYFUNCTION("""COMPUTED_VALUE"""),"Recon #4")</f>
        <v>Recon #4</v>
      </c>
    </row>
    <row r="476">
      <c r="A476" t="str">
        <f>IFERROR(__xludf.DUMMYFUNCTION("""COMPUTED_VALUE"""),"Deep learning")</f>
        <v>Deep learning</v>
      </c>
      <c r="B476" t="str">
        <f>IFERROR(__xludf.DUMMYFUNCTION("""COMPUTED_VALUE"""),"")</f>
        <v/>
      </c>
      <c r="C476" s="3" t="str">
        <f>IFERROR(__xludf.DUMMYFUNCTION("""COMPUTED_VALUE"""),"Exploring the Limits of Weakly Supervised Pretraining")</f>
        <v>Exploring the Limits of Weakly Supervised Pretraining</v>
      </c>
      <c r="D476" t="str">
        <f>IFERROR(__xludf.DUMMYFUNCTION("""COMPUTED_VALUE"""),"Dhruv Mahajan, Ross Girshick, Vignesh Ramanathan, Kaiming He, Manohar Paluri, Yixuan Li, Ashwin Bharambe, Laurens van der Maaten")</f>
        <v>Dhruv Mahajan, Ross Girshick, Vignesh Ramanathan, Kaiming He, Manohar Paluri, Yixuan Li, Ashwin Bharambe, Laurens van der Maaten</v>
      </c>
      <c r="E476" t="str">
        <f>IFERROR(__xludf.DUMMYFUNCTION("""COMPUTED_VALUE"""),"CVPR 2019")</f>
        <v>CVPR 2019</v>
      </c>
      <c r="F476">
        <f>IFERROR(__xludf.DUMMYFUNCTION("""COMPUTED_VALUE"""),2018.0)</f>
        <v>2018</v>
      </c>
      <c r="H476" s="3" t="str">
        <f>IFERROR(__xludf.DUMMYFUNCTION("""COMPUTED_VALUE"""),"AN #6")</f>
        <v>AN #6</v>
      </c>
    </row>
    <row r="477">
      <c r="A477" t="str">
        <f>IFERROR(__xludf.DUMMYFUNCTION("""COMPUTED_VALUE"""),"Deep learning")</f>
        <v>Deep learning</v>
      </c>
      <c r="B477" t="str">
        <f>IFERROR(__xludf.DUMMYFUNCTION("""COMPUTED_VALUE"""),"")</f>
        <v/>
      </c>
      <c r="C477" s="3" t="str">
        <f>IFERROR(__xludf.DUMMYFUNCTION("""COMPUTED_VALUE"""),"The Lottery Ticket Hypothesis at Scale")</f>
        <v>The Lottery Ticket Hypothesis at Scale</v>
      </c>
      <c r="D477" t="str">
        <f>IFERROR(__xludf.DUMMYFUNCTION("""COMPUTED_VALUE"""),"Jonathan Frankle, Gintare Karolina Dziugaite, Daniel M. Roy, Michael Carbin")</f>
        <v>Jonathan Frankle, Gintare Karolina Dziugaite, Daniel M. Roy, Michael Carbin</v>
      </c>
      <c r="E477" t="str">
        <f>IFERROR(__xludf.DUMMYFUNCTION("""COMPUTED_VALUE"""),"arXiv")</f>
        <v>arXiv</v>
      </c>
      <c r="F477">
        <f>IFERROR(__xludf.DUMMYFUNCTION("""COMPUTED_VALUE"""),2019.0)</f>
        <v>2019</v>
      </c>
      <c r="H477" s="3" t="str">
        <f>IFERROR(__xludf.DUMMYFUNCTION("""COMPUTED_VALUE"""),"AN #52")</f>
        <v>AN #52</v>
      </c>
      <c r="I477" t="str">
        <f>IFERROR(__xludf.DUMMYFUNCTION("""COMPUTED_VALUE"""),"Richard")</f>
        <v>Richard</v>
      </c>
      <c r="J477" t="str">
        <f>IFERROR(__xludf.DUMMYFUNCTION("""COMPUTED_VALUE"""),"The [lottery ticket hypothesis](https://arxiv.org/abs/1803.03635) is the claim that ""dense, randomly-initialized, feed-forward networks contain subnetworks (winning tickets) that - when trained in isolation - reach test accuracy comparable to the origina"&amp;"l network in a similar number of iterations"". This paper builds on previous work to show that winning tickets can also be found for larger networks (Resnet-50, not just Resnet-18), if those winning tickets are initialised not with their initial weights f"&amp;"rom the full network, but rather with their weights after a small amount of full-network training.")</f>
        <v>The [lottery ticket hypothesis](https://arxiv.org/abs/1803.03635) is the claim that "dense, randomly-initialized, feed-forward networks contain subnetworks (winning tickets) that - when trained in isolation - reach test accuracy comparable to the original network in a similar number of iterations". This paper builds on previous work to show that winning tickets can also be found for larger networks (Resnet-50, not just Resnet-18), if those winning tickets are initialised not with their initial weights from the full network, but rather with their weights after a small amount of full-network training.</v>
      </c>
      <c r="K477" t="str">
        <f>IFERROR(__xludf.DUMMYFUNCTION("""COMPUTED_VALUE"""),"It's interesting that the lottery ticket hypothesis scales; however, this paper seems quite incremental overall.")</f>
        <v>It's interesting that the lottery ticket hypothesis scales; however, this paper seems quite incremental overall.</v>
      </c>
    </row>
    <row r="478">
      <c r="A478" t="str">
        <f>IFERROR(__xludf.DUMMYFUNCTION("""COMPUTED_VALUE"""),"Deep learning")</f>
        <v>Deep learning</v>
      </c>
      <c r="B478" t="str">
        <f>IFERROR(__xludf.DUMMYFUNCTION("""COMPUTED_VALUE"""),"")</f>
        <v/>
      </c>
      <c r="C478" s="3" t="str">
        <f>IFERROR(__xludf.DUMMYFUNCTION("""COMPUTED_VALUE"""),"Capsules for Object Segmentation")</f>
        <v>Capsules for Object Segmentation</v>
      </c>
      <c r="D478" t="str">
        <f>IFERROR(__xludf.DUMMYFUNCTION("""COMPUTED_VALUE"""),"Rodney LaLonde, Ulas Bagci")</f>
        <v>Rodney LaLonde, Ulas Bagci</v>
      </c>
      <c r="E478" t="str">
        <f>IFERROR(__xludf.DUMMYFUNCTION("""COMPUTED_VALUE"""),"arXiv")</f>
        <v>arXiv</v>
      </c>
      <c r="F478">
        <f>IFERROR(__xludf.DUMMYFUNCTION("""COMPUTED_VALUE"""),2018.0)</f>
        <v>2018</v>
      </c>
      <c r="H478" s="3" t="str">
        <f>IFERROR(__xludf.DUMMYFUNCTION("""COMPUTED_VALUE"""),"AN #3")</f>
        <v>AN #3</v>
      </c>
    </row>
    <row r="479">
      <c r="A479" t="str">
        <f>IFERROR(__xludf.DUMMYFUNCTION("""COMPUTED_VALUE"""),"Deep learning")</f>
        <v>Deep learning</v>
      </c>
      <c r="B479" t="str">
        <f>IFERROR(__xludf.DUMMYFUNCTION("""COMPUTED_VALUE"""),"")</f>
        <v/>
      </c>
      <c r="C479" s="3" t="str">
        <f>IFERROR(__xludf.DUMMYFUNCTION("""COMPUTED_VALUE"""),"Skill Rating for Generative Models")</f>
        <v>Skill Rating for Generative Models</v>
      </c>
      <c r="D479" t="str">
        <f>IFERROR(__xludf.DUMMYFUNCTION("""COMPUTED_VALUE"""),"Catherine Olsson, Surya Bhupatiraju, Tom Brown, Augustus Odena, Ian Goodfellow")</f>
        <v>Catherine Olsson, Surya Bhupatiraju, Tom Brown, Augustus Odena, Ian Goodfellow</v>
      </c>
      <c r="E479" t="str">
        <f>IFERROR(__xludf.DUMMYFUNCTION("""COMPUTED_VALUE"""),"CoRL 2018")</f>
        <v>CoRL 2018</v>
      </c>
      <c r="F479">
        <f>IFERROR(__xludf.DUMMYFUNCTION("""COMPUTED_VALUE"""),2018.0)</f>
        <v>2018</v>
      </c>
      <c r="H479" s="3" t="str">
        <f>IFERROR(__xludf.DUMMYFUNCTION("""COMPUTED_VALUE"""),"AN #21")</f>
        <v>AN #21</v>
      </c>
    </row>
    <row r="480">
      <c r="A480" t="str">
        <f>IFERROR(__xludf.DUMMYFUNCTION("""COMPUTED_VALUE"""),"Deep learning")</f>
        <v>Deep learning</v>
      </c>
      <c r="B480" t="str">
        <f>IFERROR(__xludf.DUMMYFUNCTION("""COMPUTED_VALUE"""),"")</f>
        <v/>
      </c>
      <c r="C480" s="3" t="str">
        <f>IFERROR(__xludf.DUMMYFUNCTION("""COMPUTED_VALUE"""),"Learning Unsupervised Learning Rules")</f>
        <v>Learning Unsupervised Learning Rules</v>
      </c>
      <c r="D480" t="str">
        <f>IFERROR(__xludf.DUMMYFUNCTION("""COMPUTED_VALUE"""),"Luke Metz, Niru Maheswaranathan, Brian Cheung, Jascha Sohl-Dickstein")</f>
        <v>Luke Metz, Niru Maheswaranathan, Brian Cheung, Jascha Sohl-Dickstein</v>
      </c>
      <c r="E480" t="str">
        <f>IFERROR(__xludf.DUMMYFUNCTION("""COMPUTED_VALUE"""),"arXiv")</f>
        <v>arXiv</v>
      </c>
      <c r="F480">
        <f>IFERROR(__xludf.DUMMYFUNCTION("""COMPUTED_VALUE"""),2018.0)</f>
        <v>2018</v>
      </c>
      <c r="H480" s="3" t="str">
        <f>IFERROR(__xludf.DUMMYFUNCTION("""COMPUTED_VALUE"""),"AN #2")</f>
        <v>AN #2</v>
      </c>
    </row>
    <row r="481">
      <c r="A481" t="str">
        <f>IFERROR(__xludf.DUMMYFUNCTION("""COMPUTED_VALUE"""),"Deep learning")</f>
        <v>Deep learning</v>
      </c>
      <c r="B481" t="str">
        <f>IFERROR(__xludf.DUMMYFUNCTION("""COMPUTED_VALUE"""),"")</f>
        <v/>
      </c>
      <c r="C481" s="3" t="str">
        <f>IFERROR(__xludf.DUMMYFUNCTION("""COMPUTED_VALUE"""),"Generalization Error in Deep Learning")</f>
        <v>Generalization Error in Deep Learning</v>
      </c>
      <c r="D481" t="str">
        <f>IFERROR(__xludf.DUMMYFUNCTION("""COMPUTED_VALUE"""),"Daniel Jakubovitz, Raja Giryes, Miguel R. D. Rodrigues")</f>
        <v>Daniel Jakubovitz, Raja Giryes, Miguel R. D. Rodrigues</v>
      </c>
      <c r="E481" t="str">
        <f>IFERROR(__xludf.DUMMYFUNCTION("""COMPUTED_VALUE"""),"arXiv")</f>
        <v>arXiv</v>
      </c>
      <c r="F481">
        <f>IFERROR(__xludf.DUMMYFUNCTION("""COMPUTED_VALUE"""),2018.0)</f>
        <v>2018</v>
      </c>
      <c r="H481" s="3" t="str">
        <f>IFERROR(__xludf.DUMMYFUNCTION("""COMPUTED_VALUE"""),"AN #19")</f>
        <v>AN #19</v>
      </c>
    </row>
    <row r="482">
      <c r="A482" t="str">
        <f>IFERROR(__xludf.DUMMYFUNCTION("""COMPUTED_VALUE"""),"Embedded agency sequence")</f>
        <v>Embedded agency sequence</v>
      </c>
      <c r="B482" t="str">
        <f>IFERROR(__xludf.DUMMYFUNCTION("""COMPUTED_VALUE"""),"")</f>
        <v/>
      </c>
      <c r="C482" s="3" t="str">
        <f>IFERROR(__xludf.DUMMYFUNCTION("""COMPUTED_VALUE"""),"Embedded Agency (full-text version)")</f>
        <v>Embedded Agency (full-text version)</v>
      </c>
      <c r="D482" t="str">
        <f>IFERROR(__xludf.DUMMYFUNCTION("""COMPUTED_VALUE"""),"Scott Garrabrant and Abram Demski")</f>
        <v>Scott Garrabrant and Abram Demski</v>
      </c>
      <c r="E482" t="str">
        <f>IFERROR(__xludf.DUMMYFUNCTION("""COMPUTED_VALUE"""),"Alignment Forum")</f>
        <v>Alignment Forum</v>
      </c>
      <c r="F482">
        <f>IFERROR(__xludf.DUMMYFUNCTION("""COMPUTED_VALUE"""),2018.0)</f>
        <v>2018</v>
      </c>
      <c r="H482" s="3" t="str">
        <f>IFERROR(__xludf.DUMMYFUNCTION("""COMPUTED_VALUE"""),"AN #33")</f>
        <v>AN #33</v>
      </c>
      <c r="I482" t="str">
        <f>IFERROR(__xludf.DUMMYFUNCTION("""COMPUTED_VALUE"""),"Rohin")</f>
        <v>Rohin</v>
      </c>
      <c r="J482" t="str">
        <f>IFERROR(__xludf.DUMMYFUNCTION("""COMPUTED_VALUE"""),"This is the text version of all of the previous posts in the sequence.")</f>
        <v>This is the text version of all of the previous posts in the sequence.</v>
      </c>
      <c r="M482" s="3" t="str">
        <f>IFERROR(__xludf.DUMMYFUNCTION("""COMPUTED_VALUE"""),"Embedded Agency Arxiv paper")</f>
        <v>Embedded Agency Arxiv paper</v>
      </c>
    </row>
    <row r="483">
      <c r="A483" t="str">
        <f>IFERROR(__xludf.DUMMYFUNCTION("""COMPUTED_VALUE"""),"Embedded agency sequence")</f>
        <v>Embedded agency sequence</v>
      </c>
      <c r="B483" t="str">
        <f>IFERROR(__xludf.DUMMYFUNCTION("""COMPUTED_VALUE"""),"")</f>
        <v/>
      </c>
      <c r="C483" s="3" t="str">
        <f>IFERROR(__xludf.DUMMYFUNCTION("""COMPUTED_VALUE"""),"Embedded Curiosities")</f>
        <v>Embedded Curiosities</v>
      </c>
      <c r="D483" t="str">
        <f>IFERROR(__xludf.DUMMYFUNCTION("""COMPUTED_VALUE"""),"Scott Garrabrant")</f>
        <v>Scott Garrabrant</v>
      </c>
      <c r="E483" t="str">
        <f>IFERROR(__xludf.DUMMYFUNCTION("""COMPUTED_VALUE"""),"Alignment Forum")</f>
        <v>Alignment Forum</v>
      </c>
      <c r="F483">
        <f>IFERROR(__xludf.DUMMYFUNCTION("""COMPUTED_VALUE"""),2018.0)</f>
        <v>2018</v>
      </c>
      <c r="H483" s="3" t="str">
        <f>IFERROR(__xludf.DUMMYFUNCTION("""COMPUTED_VALUE"""),"AN #32")</f>
        <v>AN #32</v>
      </c>
      <c r="I483" t="str">
        <f>IFERROR(__xludf.DUMMYFUNCTION("""COMPUTED_VALUE"""),"Rohin")</f>
        <v>Rohin</v>
      </c>
      <c r="J483" t="str">
        <f>IFERROR(__xludf.DUMMYFUNCTION("""COMPUTED_VALUE"""),"This sequence concludes with a brief note on why MIRI focuses on embedded agency. While most research in this space is presented from a motivation of mitigating AI risk, Scott has presented it more as an intellectual puzzle, something to be curious about."&amp;" There aren't clear, obvious paths from the problems of embedded agency to specific failure modes. It's more that the current dualistic way of thinking about intelligence will break down with smarter agents, and it seems bad if we are still relying on the"&amp;"se confused concepts when reasoning about our AI systems, and by default it doesn't seem like anyone will do the work of finding better concepts. For this work, it's better to have a curiosity mindset, which helps you orient towards the things you are con"&amp;"fused about. An instrumental strategy approach (which aims to directly mitigate failure modes) is vulnerable to the urge to lean on the shaky assumptions we currently have in order to make progress.")</f>
        <v>This sequence concludes with a brief note on why MIRI focuses on embedded agency. While most research in this space is presented from a motivation of mitigating AI risk, Scott has presented it more as an intellectual puzzle, something to be curious about. There aren't clear, obvious paths from the problems of embedded agency to specific failure modes. It's more that the current dualistic way of thinking about intelligence will break down with smarter agents, and it seems bad if we are still relying on these confused concepts when reasoning about our AI systems, and by default it doesn't seem like anyone will do the work of finding better concepts. For this work, it's better to have a curiosity mindset, which helps you orient towards the things you are confused about. An instrumental strategy approach (which aims to directly mitigate failure modes) is vulnerable to the urge to lean on the shaky assumptions we currently have in order to make progress.</v>
      </c>
      <c r="K483" t="str">
        <f>IFERROR(__xludf.DUMMYFUNCTION("""COMPUTED_VALUE"""),"I'm definitely on board with the idea of curiosity-driven research, it seems important to try to find the places in which we're confused and refine our knowledge about them. I think my main point of departure is that I am less confident than (my perceptio"&amp;"n of) MIRI that there is a nice, clean formulation of embedded agents and intelligence that you can write down -- I wouldn't be surprised if intelligence was relatively environment-specific. (This point was made in [Realism about rationality](https://www."&amp;"lesswrong.com/posts/suxvE2ddnYMPJN9HD/realism-about-rationality) ([AN #25](https://mailchi.mp/0c5eeec28f75/alignment-newsletter-25)).) That said, I'm not particularly confident about this and think there's reasonable room for disagreement -- certainly I w"&amp;"ouldn't want to take everyone at MIRI and have them work on application-based AI alignment research.")</f>
        <v>I'm definitely on board with the idea of curiosity-driven research, it seems important to try to find the places in which we're confused and refine our knowledge about them. I think my main point of departure is that I am less confident than (my perception of) MIRI that there is a nice, clean formulation of embedded agents and intelligence that you can write down -- I wouldn't be surprised if intelligence was relatively environment-specific. (This point was made in [Realism about rationality](https://www.lesswrong.com/posts/suxvE2ddnYMPJN9HD/realism-about-rationality) ([AN #25](https://mailchi.mp/0c5eeec28f75/alignment-newsletter-25)).) That said, I'm not particularly confident about this and think there's reasonable room for disagreement -- certainly I wouldn't want to take everyone at MIRI and have them work on application-based AI alignment research.</v>
      </c>
    </row>
    <row r="484">
      <c r="A484" t="str">
        <f>IFERROR(__xludf.DUMMYFUNCTION("""COMPUTED_VALUE"""),"Embedded agency sequence")</f>
        <v>Embedded agency sequence</v>
      </c>
      <c r="B484" t="str">
        <f>IFERROR(__xludf.DUMMYFUNCTION("""COMPUTED_VALUE"""),"")</f>
        <v/>
      </c>
      <c r="C484" s="3" t="str">
        <f>IFERROR(__xludf.DUMMYFUNCTION("""COMPUTED_VALUE"""),"Embedded World-Models (Addendum)")</f>
        <v>Embedded World-Models (Addendum)</v>
      </c>
      <c r="D484" t="str">
        <f>IFERROR(__xludf.DUMMYFUNCTION("""COMPUTED_VALUE"""),"Abram Demski and Scott Garrabrant")</f>
        <v>Abram Demski and Scott Garrabrant</v>
      </c>
      <c r="E484" t="str">
        <f>IFERROR(__xludf.DUMMYFUNCTION("""COMPUTED_VALUE"""),"Alignment Forum")</f>
        <v>Alignment Forum</v>
      </c>
      <c r="F484">
        <f>IFERROR(__xludf.DUMMYFUNCTION("""COMPUTED_VALUE"""),2018.0)</f>
        <v>2018</v>
      </c>
      <c r="H484" s="3" t="str">
        <f>IFERROR(__xludf.DUMMYFUNCTION("""COMPUTED_VALUE"""),"AN #32")</f>
        <v>AN #32</v>
      </c>
      <c r="I484" t="str">
        <f>IFERROR(__xludf.DUMMYFUNCTION("""COMPUTED_VALUE"""),"Rohin")</f>
        <v>Rohin</v>
      </c>
      <c r="J484" t="str">
        <f>IFERROR(__xludf.DUMMYFUNCTION("""COMPUTED_VALUE"""),"A few slides have been added to this post since my summary last week, going into more detail about the grain-of-truth problem. This problem is particularly hard because your learned world model must include the world model itself inside of it, even in the"&amp;" presence of an environment that can behave adversarially towards the world model. It is easy to construct deterministic paradoxes where the world model cannot be correct -- for example, in rock-paper-scissors, if your model predicts what the opponent wil"&amp;"l do and plays the action that wins against the prediction, the opponent will (if they can) predict that and play the action that beats your action, falsifying your model. While game theory solves these sorts of scenarios, it does so by splitting the agen"&amp;"t away from the environment, in a way that is very reminiscent of the dualistic approach. Recently, reflective oracles were developed, that solve this problem by having probabilistic models that were robust to self-reference, but they still assume logical"&amp;" omniscience.")</f>
        <v>A few slides have been added to this post since my summary last week, going into more detail about the grain-of-truth problem. This problem is particularly hard because your learned world model must include the world model itself inside of it, even in the presence of an environment that can behave adversarially towards the world model. It is easy to construct deterministic paradoxes where the world model cannot be correct -- for example, in rock-paper-scissors, if your model predicts what the opponent will do and plays the action that wins against the prediction, the opponent will (if they can) predict that and play the action that beats your action, falsifying your model. While game theory solves these sorts of scenarios, it does so by splitting the agent away from the environment, in a way that is very reminiscent of the dualistic approach. Recently, reflective oracles were developed, that solve this problem by having probabilistic models that were robust to self-reference, but they still assume logical omniscience.</v>
      </c>
    </row>
    <row r="485">
      <c r="A485" t="str">
        <f>IFERROR(__xludf.DUMMYFUNCTION("""COMPUTED_VALUE"""),"Embedded agency sequence")</f>
        <v>Embedded agency sequence</v>
      </c>
      <c r="B485" t="str">
        <f>IFERROR(__xludf.DUMMYFUNCTION("""COMPUTED_VALUE"""),"")</f>
        <v/>
      </c>
      <c r="C485" s="3" t="str">
        <f>IFERROR(__xludf.DUMMYFUNCTION("""COMPUTED_VALUE"""),"Subsystem Alignment")</f>
        <v>Subsystem Alignment</v>
      </c>
      <c r="D485" t="str">
        <f>IFERROR(__xludf.DUMMYFUNCTION("""COMPUTED_VALUE"""),"Abram Demski and Scott Garrabrant")</f>
        <v>Abram Demski and Scott Garrabrant</v>
      </c>
      <c r="E485" t="str">
        <f>IFERROR(__xludf.DUMMYFUNCTION("""COMPUTED_VALUE"""),"Alignment Forum")</f>
        <v>Alignment Forum</v>
      </c>
      <c r="F485">
        <f>IFERROR(__xludf.DUMMYFUNCTION("""COMPUTED_VALUE"""),2018.0)</f>
        <v>2018</v>
      </c>
      <c r="H485" s="3" t="str">
        <f>IFERROR(__xludf.DUMMYFUNCTION("""COMPUTED_VALUE"""),"AN #32")</f>
        <v>AN #32</v>
      </c>
      <c r="I485" t="str">
        <f>IFERROR(__xludf.DUMMYFUNCTION("""COMPUTED_VALUE"""),"Rohin")</f>
        <v>Rohin</v>
      </c>
      <c r="J485" t="str">
        <f>IFERROR(__xludf.DUMMYFUNCTION("""COMPUTED_VALUE"""),"Any agent is likely to be built out of multiple subsystems, that could potentially have their own goals and work at cross-purposes to each other. A simple unrealistic example would be an agent composed of two parts -- a world model and a decision algorith"&amp;"m (akin to the setup in [World Models](https://worldmodels.github.io/) ([AN #23](https://mailchi.mp/9295c961b39b/alignment-newsletter-23))). The decision algorithm aims to cause some feature of the world model to be high. In this case, the decision algori"&amp;"thm could trick the world model into thinking the feature is high, instead of actually changing the world so that the feature is high (a [delusion box](https://pdfs.semanticscholar.org/7480/d1ba5b765cc21d7aa395c7ac2eba8c68b44e.pdf)).
Why not just build a"&amp;" monolithic agent, or build an agent whose subcomponents are all aligned with each other? One reason is that our agent may want to solve problems by splitting into subgoals. However, what then prevents the agent from optimizing the subgoal too far, to the"&amp;" point where it is no longer helps for the original goal? Another reason is that when we make subagents to solve simpler tasks, they shouldn't need the whole context of what we value to do their task, and so we might give them a ""pointer"" to the true go"&amp;"al that they can use if necessary. But in that case, we have introduced a level of indirection, which a [previous post](https://www.alignmentforum.org/posts/iTpLAaPamcKyjmbFC/robust-delegation) ([AN #31](https://mailchi.mp/7d0e3916e3d9/alignment-newslette"&amp;"r-31)) argues leads to wireheading.
Perhaps the most insidious case is search, which can produce subagents by accident. Often, it is easier to solve a problem by searching for a good solution than deriving it from first principles. (For example, machine "&amp;"learning is a search over functions, and often outperforms hand-designed programs.) However, when an agent searches for a good solution, the solution it finds might _itself_ be an agent optimizing some other goal that is currently correlated with the orig"&amp;"inal goal, but can diverge later due to [Goodhart's law](https://www.lesswrong.com/posts/EbFABnst8LsidYs5Y/goodhart-taxonomy). If we optimize a neural net for some loss function, we might get such an inner optimizer. As an analogy, if an agent wanted to m"&amp;"aximize reproductive fitness, they might have used evolution to do this -- but in that case humans would be inner optimizers that subvert the original agent's goals (since our goals are not to maximize reproductive fitness).")</f>
        <v>Any agent is likely to be built out of multiple subsystems, that could potentially have their own goals and work at cross-purposes to each other. A simple unrealistic example would be an agent composed of two parts -- a world model and a decision algorithm (akin to the setup in [World Models](https://worldmodels.github.io/) ([AN #23](https://mailchi.mp/9295c961b39b/alignment-newsletter-23))). The decision algorithm aims to cause some feature of the world model to be high. In this case, the decision algorithm could trick the world model into thinking the feature is high, instead of actually changing the world so that the feature is high (a [delusion box](https://pdfs.semanticscholar.org/7480/d1ba5b765cc21d7aa395c7ac2eba8c68b44e.pdf)).
Why not just build a monolithic agent, or build an agent whose subcomponents are all aligned with each other? One reason is that our agent may want to solve problems by splitting into subgoals. However, what then prevents the agent from optimizing the subgoal too far, to the point where it is no longer helps for the original goal? Another reason is that when we make subagents to solve simpler tasks, they shouldn't need the whole context of what we value to do their task, and so we might give them a "pointer" to the true goal that they can use if necessary. But in that case, we have introduced a level of indirection, which a [previous post](https://www.alignmentforum.org/posts/iTpLAaPamcKyjmbFC/robust-delegation) ([AN #31](https://mailchi.mp/7d0e3916e3d9/alignment-newsletter-31)) argues leads to wireheading.
Perhaps the most insidious case is search, which can produce subagents by accident. Often, it is easier to solve a problem by searching for a good solution than deriving it from first principles. (For example, machine learning is a search over functions, and often outperforms hand-designed programs.) However, when an agent searches for a good solution, the solution it finds might _itself_ be an agent optimizing some other goal that is currently correlated with the original goal, but can diverge later due to [Goodhart's law](https://www.lesswrong.com/posts/EbFABnst8LsidYs5Y/goodhart-taxonomy). If we optimize a neural net for some loss function, we might get such an inner optimizer. As an analogy, if an agent wanted to maximize reproductive fitness, they might have used evolution to do this -- but in that case humans would be inner optimizers that subvert the original agent's goals (since our goals are not to maximize reproductive fitness).</v>
      </c>
      <c r="K485" t="str">
        <f>IFERROR(__xludf.DUMMYFUNCTION("""COMPUTED_VALUE"""),"The first part of this post seems to rest upon an assumption that any subagents will have long-term goals that they are trying to optimize, which can cause competition between subagents. It seems possible to instead pursue subgoals under a limited amount "&amp;"of time, or using a restricted action space, or using only ""normal"" strategies. When I write this newsletter, I certainly am treating it as a subgoal -- I don't typically think about how the newsletter contributes to my overall goals, I just aim to writ"&amp;"e a good newsletter. Yet I don't recheck every word until the email is sent. Perhaps this is because that would be a new strategy I haven't used before and so I evaluate it with my overall goals, instead of just the ""good newsletter"" goal, or perhaps it"&amp;"'s because my goal also has time constraints embedded in it, or something else, but in any case it seems wrong to think of newsletter-Rohin as optimizing long term preferences for writing as good a newsletter as possible.
I agree quite strongly with the "&amp;"second part of the post, about inner optimizers that could arise from search. Agents that maximize some long-term preferences are certainly possible, and it seems reasonably likely that a good solution to a complex problem would involve an optimizer that "&amp;"can adjust to different circumstances (for concreteness, perhaps imagine [OpenAI Five](https://blog.openai.com/openai-five/) ([AN #13](https://mailchi.mp/8234356e4b7f/alignment-newsletter-13))). I don't think that inner optimizers are guaranteed to show u"&amp;"p, but it seems quite likely, and they could lead to catastrophic outcomes if they are left unchecked.")</f>
        <v>The first part of this post seems to rest upon an assumption that any subagents will have long-term goals that they are trying to optimize, which can cause competition between subagents. It seems possible to instead pursue subgoals under a limited amount of time, or using a restricted action space, or using only "normal" strategies. When I write this newsletter, I certainly am treating it as a subgoal -- I don't typically think about how the newsletter contributes to my overall goals, I just aim to write a good newsletter. Yet I don't recheck every word until the email is sent. Perhaps this is because that would be a new strategy I haven't used before and so I evaluate it with my overall goals, instead of just the "good newsletter" goal, or perhaps it's because my goal also has time constraints embedded in it, or something else, but in any case it seems wrong to think of newsletter-Rohin as optimizing long term preferences for writing as good a newsletter as possible.
I agree quite strongly with the second part of the post, about inner optimizers that could arise from search. Agents that maximize some long-term preferences are certainly possible, and it seems reasonably likely that a good solution to a complex problem would involve an optimizer that can adjust to different circumstances (for concreteness, perhaps imagine [OpenAI Five](https://blog.openai.com/openai-five/) ([AN #13](https://mailchi.mp/8234356e4b7f/alignment-newsletter-13))). I don't think that inner optimizers are guaranteed to show up, but it seems quite likely, and they could lead to catastrophic outcomes if they are left unchecked.</v>
      </c>
    </row>
    <row r="486">
      <c r="A486" t="str">
        <f>IFERROR(__xludf.DUMMYFUNCTION("""COMPUTED_VALUE"""),"Embedded agency sequence")</f>
        <v>Embedded agency sequence</v>
      </c>
      <c r="B486" t="str">
        <f>IFERROR(__xludf.DUMMYFUNCTION("""COMPUTED_VALUE"""),"")</f>
        <v/>
      </c>
      <c r="C486" s="3" t="str">
        <f>IFERROR(__xludf.DUMMYFUNCTION("""COMPUTED_VALUE"""),"Decision Theory")</f>
        <v>Decision Theory</v>
      </c>
      <c r="D486" t="str">
        <f>IFERROR(__xludf.DUMMYFUNCTION("""COMPUTED_VALUE"""),"Abram Demski and Scott Garrabrant")</f>
        <v>Abram Demski and Scott Garrabrant</v>
      </c>
      <c r="E486" t="str">
        <f>IFERROR(__xludf.DUMMYFUNCTION("""COMPUTED_VALUE"""),"Alignment Forum")</f>
        <v>Alignment Forum</v>
      </c>
      <c r="F486">
        <f>IFERROR(__xludf.DUMMYFUNCTION("""COMPUTED_VALUE"""),2018.0)</f>
        <v>2018</v>
      </c>
      <c r="H486" s="3" t="str">
        <f>IFERROR(__xludf.DUMMYFUNCTION("""COMPUTED_VALUE"""),"AN #31")</f>
        <v>AN #31</v>
      </c>
      <c r="I486" t="str">
        <f>IFERROR(__xludf.DUMMYFUNCTION("""COMPUTED_VALUE"""),"Rohin")</f>
        <v>Rohin</v>
      </c>
      <c r="J486" t="str">
        <f>IFERROR(__xludf.DUMMYFUNCTION("""COMPUTED_VALUE"""),"The major issue with porting decision theory to the embedded agency section is that there is no longer a clear, well-defined boundary between actions and outcomes, such that we can say ""_if_ I take this action, _then_ this outcome occurs"". In an embedde"&amp;"d setting, the agent is just another part of the environment, and so if the agent is reasoning about the environment, it can also reason about itself, and its reasoning can tell it something about what its actions will be. But if you know what action you "&amp;"are going to take, how do you properly think about the counterfactual ""_what if_ I had taken this other action""?
A formalization in logic, where counterfactuals are represented by logical implication, doesn't work. If you know what your action is going"&amp;" to be, then the premise of the counterfactual (that you take some other action) is false, and you can conclude anything. The post gives a concrete example of a reasonable-looking agent which ends up choosing to take $5 when offered a choice between $5 an"&amp;"d $10 because it can prove that ""if I took $10, then I would get $0"" (which is in fact _true_, since it took $5, and not $10!) A formalization in probability theory doesn't work, because if you condition on an alternative action that you know you won't "&amp;"take, you are conditioning on a probability zero event. If you say that there is always some uncertainty in which action you take, or you force the agent to always explore with some small probability, then your agent is going to reason about alternative a"&amp;"ctions under the assumption that there was some hardware failure, or that it was forced to explore -- this seems like the wrong way to reason about alternatives.
Changing tack a bit, how would we think about ""_What if_ 2+2=3?"" This seems like a pretty "&amp;"hard counterfactual for us to evaluate -- it's not clear what it means. There may just be no ""correct"" counterfactuals -- but in this case we still need to figure out how intelligent agents like humans successfully consider alternative actions that they"&amp;" are not going to take, in order to make good decisions. One approach is Updateless Decision Theory (UDT), which takes the action your earlier self would have wanted to commit to, which comes closer to viewing the problem from the outside. While it neatly"&amp;" resolves many of the problems in decision theory, including counterfactual mugging (described in the post), it assumes that your earlier self can foresee all outcomes, which can't happen in embedded agents because the environment is bigger than the agent"&amp;" and any world model can only be approximate (the subject of the next post).")</f>
        <v>The major issue with porting decision theory to the embedded agency section is that there is no longer a clear, well-defined boundary between actions and outcomes, such that we can say "_if_ I take this action, _then_ this outcome occurs". In an embedded setting, the agent is just another part of the environment, and so if the agent is reasoning about the environment, it can also reason about itself, and its reasoning can tell it something about what its actions will be. But if you know what action you are going to take, how do you properly think about the counterfactual "_what if_ I had taken this other action"?
A formalization in logic, where counterfactuals are represented by logical implication, doesn't work. If you know what your action is going to be, then the premise of the counterfactual (that you take some other action) is false, and you can conclude anything. The post gives a concrete example of a reasonable-looking agent which ends up choosing to take $5 when offered a choice between $5 and $10 because it can prove that "if I took $10, then I would get $0" (which is in fact _true_, since it took $5, and not $10!) A formalization in probability theory doesn't work, because if you condition on an alternative action that you know you won't take, you are conditioning on a probability zero event. If you say that there is always some uncertainty in which action you take, or you force the agent to always explore with some small probability, then your agent is going to reason about alternative actions under the assumption that there was some hardware failure, or that it was forced to explore -- this seems like the wrong way to reason about alternatives.
Changing tack a bit, how would we think about "_What if_ 2+2=3?" This seems like a pretty hard counterfactual for us to evaluate -- it's not clear what it means. There may just be no "correct" counterfactuals -- but in this case we still need to figure out how intelligent agents like humans successfully consider alternative actions that they are not going to take, in order to make good decisions. One approach is Updateless Decision Theory (UDT), which takes the action your earlier self would have wanted to commit to, which comes closer to viewing the problem from the outside. While it neatly resolves many of the problems in decision theory, including counterfactual mugging (described in the post), it assumes that your earlier self can foresee all outcomes, which can't happen in embedded agents because the environment is bigger than the agent and any world model can only be approximate (the subject of the next post).</v>
      </c>
      <c r="K486" t="str">
        <f>IFERROR(__xludf.DUMMYFUNCTION("""COMPUTED_VALUE"""),"_Warning:_ Ramblings about topics I haven't thought about much.
I'm certainly confused about how humans actually make decisions -- we do seem to be able to consider counterfactuals in some reasonable way, but it does seem like these are relatively fuzzy "&amp;"(we can't do the counterfactual ""what if 2+2=3"", we can do the counterfactual ""what if I took the $10"", and we disagree on how to do the counterfactual ""what would happen if we legalize drugs"" (eg. do we assume that public opinion has changed or not"&amp;"?). This makes me feel pessimistic about the goal of having a ""correct"" counterfactual -- it seems likely that humans somehow build causal models of some aspects of the world (which do admit good counterfactuals), especially of the actions we can take, "&amp;"and not of others (like math), and disagreements on ""correct"" counterfactuals amount to disagreements on causal models. Of course, this just pushes the question down to how we build causal models -- maybe we have an inductive bias that pushes us towards"&amp;" simple causal models, and the world just happens to be the kind where the data you observe constrains your models significantly, such that everyone ends up inferring similar causal models.
However, if we do build something like this, it seems hard to co"&amp;"rrectly solve most decision theory problems that they consider, such as Newcomblike problems, at least if we use the intuitive notion of causality. Maybe this is okay, maybe not, I'm not sure. It definitely doesn't feel like this is resolving my confusion"&amp;" about how to make good decisions in general, though I could imagine that it could resolve my confusion about how to make good decisions in our actual universe (where causality seems important and ""easy"" to infer).")</f>
        <v>_Warning:_ Ramblings about topics I haven't thought about much.
I'm certainly confused about how humans actually make decisions -- we do seem to be able to consider counterfactuals in some reasonable way, but it does seem like these are relatively fuzzy (we can't do the counterfactual "what if 2+2=3", we can do the counterfactual "what if I took the $10", and we disagree on how to do the counterfactual "what would happen if we legalize drugs" (eg. do we assume that public opinion has changed or not?). This makes me feel pessimistic about the goal of having a "correct" counterfactual -- it seems likely that humans somehow build causal models of some aspects of the world (which do admit good counterfactuals), especially of the actions we can take, and not of others (like math), and disagreements on "correct" counterfactuals amount to disagreements on causal models. Of course, this just pushes the question down to how we build causal models -- maybe we have an inductive bias that pushes us towards simple causal models, and the world just happens to be the kind where the data you observe constrains your models significantly, such that everyone ends up inferring similar causal models.
However, if we do build something like this, it seems hard to correctly solve most decision theory problems that they consider, such as Newcomblike problems, at least if we use the intuitive notion of causality. Maybe this is okay, maybe not, I'm not sure. It definitely doesn't feel like this is resolving my confusion about how to make good decisions in general, though I could imagine that it could resolve my confusion about how to make good decisions in our actual universe (where causality seems important and "easy" to infer).</v>
      </c>
    </row>
    <row r="487">
      <c r="A487" t="str">
        <f>IFERROR(__xludf.DUMMYFUNCTION("""COMPUTED_VALUE"""),"Embedded agency sequence")</f>
        <v>Embedded agency sequence</v>
      </c>
      <c r="B487" t="str">
        <f>IFERROR(__xludf.DUMMYFUNCTION("""COMPUTED_VALUE"""),"")</f>
        <v/>
      </c>
      <c r="C487" s="3" t="str">
        <f>IFERROR(__xludf.DUMMYFUNCTION("""COMPUTED_VALUE"""),"Embedded Agents")</f>
        <v>Embedded Agents</v>
      </c>
      <c r="D487" t="str">
        <f>IFERROR(__xludf.DUMMYFUNCTION("""COMPUTED_VALUE"""),"Abram Demski and Scott Garrabrant")</f>
        <v>Abram Demski and Scott Garrabrant</v>
      </c>
      <c r="E487" t="str">
        <f>IFERROR(__xludf.DUMMYFUNCTION("""COMPUTED_VALUE"""),"Alignment Forum")</f>
        <v>Alignment Forum</v>
      </c>
      <c r="F487">
        <f>IFERROR(__xludf.DUMMYFUNCTION("""COMPUTED_VALUE"""),2018.0)</f>
        <v>2018</v>
      </c>
      <c r="H487" s="3" t="str">
        <f>IFERROR(__xludf.DUMMYFUNCTION("""COMPUTED_VALUE"""),"AN #31")</f>
        <v>AN #31</v>
      </c>
      <c r="I487" t="str">
        <f>IFERROR(__xludf.DUMMYFUNCTION("""COMPUTED_VALUE"""),"Rohin")</f>
        <v>Rohin</v>
      </c>
      <c r="J487" t="str">
        <f>IFERROR(__xludf.DUMMYFUNCTION("""COMPUTED_VALUE"""),"This post introduces embedded agency, which refers to the notion of an ""agent"" that is more realistic than the version considered in mainstream AI, which is best formalized by AIXI. An embedded agent is one that is actually a part of the environment it "&amp;"is acting in, as opposed to our current AI agents which model the environment as external to them. The problems around embedded agency fall into four main clusters, which future posts will talk about.")</f>
        <v>This post introduces embedded agency, which refers to the notion of an "agent" that is more realistic than the version considered in mainstream AI, which is best formalized by AIXI. An embedded agent is one that is actually a part of the environment it is acting in, as opposed to our current AI agents which model the environment as external to them. The problems around embedded agency fall into four main clusters, which future posts will talk about.</v>
      </c>
      <c r="K487" t="str">
        <f>IFERROR(__xludf.DUMMYFUNCTION("""COMPUTED_VALUE"""),"This post is a great summary of the sequence to come, and is intuitive and easy to understand. I strongly recommend reading the full post -- I haven't summarized it much because it already is a good summary.")</f>
        <v>This post is a great summary of the sequence to come, and is intuitive and easy to understand. I strongly recommend reading the full post -- I haven't summarized it much because it already is a good summary.</v>
      </c>
    </row>
    <row r="488">
      <c r="A488" t="str">
        <f>IFERROR(__xludf.DUMMYFUNCTION("""COMPUTED_VALUE"""),"Embedded agency sequence")</f>
        <v>Embedded agency sequence</v>
      </c>
      <c r="B488" t="str">
        <f>IFERROR(__xludf.DUMMYFUNCTION("""COMPUTED_VALUE"""),"")</f>
        <v/>
      </c>
      <c r="C488" s="3" t="str">
        <f>IFERROR(__xludf.DUMMYFUNCTION("""COMPUTED_VALUE"""),"Embedded World-Models")</f>
        <v>Embedded World-Models</v>
      </c>
      <c r="D488" t="str">
        <f>IFERROR(__xludf.DUMMYFUNCTION("""COMPUTED_VALUE"""),"Abram Demski and Scott Garrabrant")</f>
        <v>Abram Demski and Scott Garrabrant</v>
      </c>
      <c r="E488" t="str">
        <f>IFERROR(__xludf.DUMMYFUNCTION("""COMPUTED_VALUE"""),"Alignment Forum")</f>
        <v>Alignment Forum</v>
      </c>
      <c r="F488">
        <f>IFERROR(__xludf.DUMMYFUNCTION("""COMPUTED_VALUE"""),2018.0)</f>
        <v>2018</v>
      </c>
      <c r="H488" s="3" t="str">
        <f>IFERROR(__xludf.DUMMYFUNCTION("""COMPUTED_VALUE"""),"AN #31")</f>
        <v>AN #31</v>
      </c>
      <c r="I488" t="str">
        <f>IFERROR(__xludf.DUMMYFUNCTION("""COMPUTED_VALUE"""),"Rohin")</f>
        <v>Rohin</v>
      </c>
      <c r="J488" t="str">
        <f>IFERROR(__xludf.DUMMYFUNCTION("""COMPUTED_VALUE"""),"In order to get optimal behavior on environments, you need to be able to model the environment in full detail, which an embedded agent cannot do. For example, AIXI is incomputable and gets optimal behavior on computable environments. If you use AIXI in an"&amp;" incomputable environment, it gets bounded loss on predictive accuracy compared to any _computable_ predictor, but there are no results on absolute loss on predictive accuracy, or on the optimality of actions it chooses. In general, if the environment is "&amp;"not in the space of hypotheses you can consider, that is your environment hypothesis space is misspecified, then many bad issues can arise (as often happens with misspecification). This is called the grain-of-truth problem, so named because you have to de"&amp;"al with the fact that your prior does not even have a grain of truth (the true environment hypothesis).
One approach could be to learn a small yet well-specified model of the environment, such as the laws of physics, but not be able to compute all of the"&amp;" consequences of that model. This gives rise to the problem of logical uncertainty, where you would like to have beliefs about facts that can be deduced or refuted from facts you already know, but you lack the ability to do this. This requires a unificati"&amp;"on of logic and probability, which is surprisingly hard.
Another consequence is that our agents will need to have high-level world models -- they need to be able to talk about things like chairs and tables as atoms, rather than thinking of everything as "&amp;"a quantum wavefunction. They will also have to deal with the fact that the high-level models will often conflict with models at lower levels, and that models at any level could shift and change without any change to models at other levels. An _ontological"&amp;" crisis_ occurs when there is a change in the level at which our values are defined, such that it is not clear how to extrapolate our values to the new model. An analogy would be if our view of the world changed such that ""happiness"" no longer seemed li"&amp;"ke a coherent concept.
As always, we also have problems with self-reference -- naturalized induction is the problem of learning a world model that includes the agent, and anthropic reasoning requires you to figure out how many copies of yourself exist in"&amp;" the world.")</f>
        <v>In order to get optimal behavior on environments, you need to be able to model the environment in full detail, which an embedded agent cannot do. For example, AIXI is incomputable and gets optimal behavior on computable environments. If you use AIXI in an incomputable environment, it gets bounded loss on predictive accuracy compared to any _computable_ predictor, but there are no results on absolute loss on predictive accuracy, or on the optimality of actions it chooses. In general, if the environment is not in the space of hypotheses you can consider, that is your environment hypothesis space is misspecified, then many bad issues can arise (as often happens with misspecification). This is called the grain-of-truth problem, so named because you have to deal with the fact that your prior does not even have a grain of truth (the true environment hypothesis).
One approach could be to learn a small yet well-specified model of the environment, such as the laws of physics, but not be able to compute all of the consequences of that model. This gives rise to the problem of logical uncertainty, where you would like to have beliefs about facts that can be deduced or refuted from facts you already know, but you lack the ability to do this. This requires a unification of logic and probability, which is surprisingly hard.
Another consequence is that our agents will need to have high-level world models -- they need to be able to talk about things like chairs and tables as atoms, rather than thinking of everything as a quantum wavefunction. They will also have to deal with the fact that the high-level models will often conflict with models at lower levels, and that models at any level could shift and change without any change to models at other levels. An _ontological crisis_ occurs when there is a change in the level at which our values are defined, such that it is not clear how to extrapolate our values to the new model. An analogy would be if our view of the world changed such that "happiness" no longer seemed like a coherent concept.
As always, we also have problems with self-reference -- naturalized induction is the problem of learning a world model that includes the agent, and anthropic reasoning requires you to figure out how many copies of yourself exist in the world.</v>
      </c>
      <c r="K488" t="str">
        <f>IFERROR(__xludf.DUMMYFUNCTION("""COMPUTED_VALUE"""),"_Warning:_ Ramblings about topics I haven't thought about much.
The high-level and multi-level model problems sound similar to the problems that could arise with hierarchical reinforcement learning or hierarchical representation learning, though the emph"&amp;"asis here is on the inconsistencies between different levels rather than how to learn the model in the first place.
The grain of truth problem is one of the problems I am most confused about -- in machine learning, model misspecification can lead to very"&amp;" bad results, so it is not clear how to deal with this even approximately in practice. (Whereas with decision theory, ""approximate in-practice solutions"" include learning causal models on which you can construct counterfactuals, or learning from experie"&amp;"nce what sort of decisionmaking algorithm tends to work well, and these solutions do not obviously fail as you scale up.) If you learn enough to rule out _all_ of your hypotheses, as could happen with the grain of truth problem, what do you do then? If yo"&amp;"u're working in a Bayesian framework, you end up going with the hypothesis you've disproven the least, which is probably not going to get you good results. If you're working in logic, you get an error. I guess learning a model of the environment in model-"&amp;"based RL doesn't obviously fail if you scale up.")</f>
        <v>_Warning:_ Ramblings about topics I haven't thought about much.
The high-level and multi-level model problems sound similar to the problems that could arise with hierarchical reinforcement learning or hierarchical representation learning, though the emphasis here is on the inconsistencies between different levels rather than how to learn the model in the first place.
The grain of truth problem is one of the problems I am most confused about -- in machine learning, model misspecification can lead to very bad results, so it is not clear how to deal with this even approximately in practice. (Whereas with decision theory, "approximate in-practice solutions" include learning causal models on which you can construct counterfactuals, or learning from experience what sort of decisionmaking algorithm tends to work well, and these solutions do not obviously fail as you scale up.) If you learn enough to rule out _all_ of your hypotheses, as could happen with the grain of truth problem, what do you do then? If you're working in a Bayesian framework, you end up going with the hypothesis you've disproven the least, which is probably not going to get you good results. If you're working in logic, you get an error. I guess learning a model of the environment in model-based RL doesn't obviously fail if you scale up.</v>
      </c>
    </row>
    <row r="489">
      <c r="A489" t="str">
        <f>IFERROR(__xludf.DUMMYFUNCTION("""COMPUTED_VALUE"""),"Embedded agency sequence")</f>
        <v>Embedded agency sequence</v>
      </c>
      <c r="B489" t="str">
        <f>IFERROR(__xludf.DUMMYFUNCTION("""COMPUTED_VALUE"""),"")</f>
        <v/>
      </c>
      <c r="C489" s="3" t="str">
        <f>IFERROR(__xludf.DUMMYFUNCTION("""COMPUTED_VALUE"""),"Robust Delegation")</f>
        <v>Robust Delegation</v>
      </c>
      <c r="D489" t="str">
        <f>IFERROR(__xludf.DUMMYFUNCTION("""COMPUTED_VALUE"""),"Abram Demski and Scott Garrabrant")</f>
        <v>Abram Demski and Scott Garrabrant</v>
      </c>
      <c r="E489" t="str">
        <f>IFERROR(__xludf.DUMMYFUNCTION("""COMPUTED_VALUE"""),"Alignment Forum")</f>
        <v>Alignment Forum</v>
      </c>
      <c r="F489">
        <f>IFERROR(__xludf.DUMMYFUNCTION("""COMPUTED_VALUE"""),2018.0)</f>
        <v>2018</v>
      </c>
      <c r="H489" s="3" t="str">
        <f>IFERROR(__xludf.DUMMYFUNCTION("""COMPUTED_VALUE"""),"AN #31")</f>
        <v>AN #31</v>
      </c>
      <c r="I489" t="str">
        <f>IFERROR(__xludf.DUMMYFUNCTION("""COMPUTED_VALUE"""),"Rohin")</f>
        <v>Rohin</v>
      </c>
      <c r="J489" t="str">
        <f>IFERROR(__xludf.DUMMYFUNCTION("""COMPUTED_VALUE"""),"Presumably, we will want to build AI systems that become more capable as time goes on, whether simply by learning more or by constructing a more intelligent successor agent (i.e. self-improvement). In both cases, the agent would like to ensure that its fu"&amp;"ture self continues to apply its intelligence in pursuit of the same goals, a problem known as Vingean reflection. The main issue is that the future agent is ""bigger"" (more capable) than the current agent, and so the smaller agent cannot predict it. In "&amp;"addition, from the future agent's perspective, the current agent may be irrational, may not know what it wants, or could be made to look like it wants just about anything.
When constructing a successor agent, you face the value loading problem, where you"&amp;" need to specify what you want the successor agent to do, and you need to get it right because [optimization amplifies](https://www.lesswrong.com/posts/zEvqFtT4AtTztfYC4/optimization-amplifies) ([AN #13](https://mailchi.mp/8234356e4b7f/alignment-newslette"&amp;"r-13)) mistakes, in particular via Goodhart's Law. There's a discussion of the types of Goodhart's Law (also described in [Goodhart Taxonomy](https://www.lesserwrong.com/posts/EbFABnst8LsidYs5Y/goodhart-taxonomy)). Another issue that arises in this settin"&amp;"g is that the successor agent could take over the representation of the reward function and make it always output the maximal value, a phenomenon called ""wireheading"", though this can be avoided if the agent's plan to do this is evaluated by the current"&amp;" utility function.
One hope is to create the successor agent from the original agent through intelligence amplification, along the lines of [iterated amplification](https://blog.openai.com/amplifying-ai-training/). However, this requires the current smal"&amp;"l agent to be able to decompose arbitrary problems, and to ensure that its proposed decomposition doesn't give rise to malign subcomputations, a problem to be described in the next post on subsystem alignment.")</f>
        <v>Presumably, we will want to build AI systems that become more capable as time goes on, whether simply by learning more or by constructing a more intelligent successor agent (i.e. self-improvement). In both cases, the agent would like to ensure that its future self continues to apply its intelligence in pursuit of the same goals, a problem known as Vingean reflection. The main issue is that the future agent is "bigger" (more capable) than the current agent, and so the smaller agent cannot predict it. In addition, from the future agent's perspective, the current agent may be irrational, may not know what it wants, or could be made to look like it wants just about anything.
When constructing a successor agent, you face the value loading problem, where you need to specify what you want the successor agent to do, and you need to get it right because [optimization amplifies](https://www.lesswrong.com/posts/zEvqFtT4AtTztfYC4/optimization-amplifies) ([AN #13](https://mailchi.mp/8234356e4b7f/alignment-newsletter-13)) mistakes, in particular via Goodhart's Law. There's a discussion of the types of Goodhart's Law (also described in [Goodhart Taxonomy](https://www.lesserwrong.com/posts/EbFABnst8LsidYs5Y/goodhart-taxonomy)). Another issue that arises in this setting is that the successor agent could take over the representation of the reward function and make it always output the maximal value, a phenomenon called "wireheading", though this can be avoided if the agent's plan to do this is evaluated by the current utility function.
One hope is to create the successor agent from the original agent through intelligence amplification, along the lines of [iterated amplification](https://blog.openai.com/amplifying-ai-training/). However, this requires the current small agent to be able to decompose arbitrary problems, and to ensure that its proposed decomposition doesn't give rise to malign subcomputations, a problem to be described in the next post on subsystem alignment.</v>
      </c>
      <c r="K489" t="str">
        <f>IFERROR(__xludf.DUMMYFUNCTION("""COMPUTED_VALUE"""),"This is a lot closer to the problem I think about frequently (since I focus on the principal-agent problem between a human and an AI) so I have a lot of thoughts about this, but they'd take a while to untangle and explain. Hopefully, a lot of these intuit"&amp;"ions will be written up in the second part of the value learning sequence.")</f>
        <v>This is a lot closer to the problem I think about frequently (since I focus on the principal-agent problem between a human and an AI) so I have a lot of thoughts about this, but they'd take a while to untangle and explain. Hopefully, a lot of these intuitions will be written up in the second part of the value learning sequence.</v>
      </c>
    </row>
    <row r="490">
      <c r="A490" t="str">
        <f>IFERROR(__xludf.DUMMYFUNCTION("""COMPUTED_VALUE"""),"Exploration")</f>
        <v>Exploration</v>
      </c>
      <c r="B490" t="str">
        <f>IFERROR(__xludf.DUMMYFUNCTION("""COMPUTED_VALUE"""),"Highlight")</f>
        <v>Highlight</v>
      </c>
      <c r="C490" s="3" t="str">
        <f>IFERROR(__xludf.DUMMYFUNCTION("""COMPUTED_VALUE"""),"Reinforcement Learning with Prediction-Based Rewards")</f>
        <v>Reinforcement Learning with Prediction-Based Rewards</v>
      </c>
      <c r="D490" t="str">
        <f>IFERROR(__xludf.DUMMYFUNCTION("""COMPUTED_VALUE"""),"Yuri Burda and Harri Edwards")</f>
        <v>Yuri Burda and Harri Edwards</v>
      </c>
      <c r="E490" t="str">
        <f>IFERROR(__xludf.DUMMYFUNCTION("""COMPUTED_VALUE"""),"OpenAI Blog")</f>
        <v>OpenAI Blog</v>
      </c>
      <c r="F490">
        <f>IFERROR(__xludf.DUMMYFUNCTION("""COMPUTED_VALUE"""),2018.0)</f>
        <v>2018</v>
      </c>
      <c r="H490" s="3" t="str">
        <f>IFERROR(__xludf.DUMMYFUNCTION("""COMPUTED_VALUE"""),"AN #31")</f>
        <v>AN #31</v>
      </c>
      <c r="I490" t="str">
        <f>IFERROR(__xludf.DUMMYFUNCTION("""COMPUTED_VALUE"""),"Richard")</f>
        <v>Richard</v>
      </c>
      <c r="J490" t="str">
        <f>IFERROR(__xludf.DUMMYFUNCTION("""COMPUTED_VALUE"""),"Researchers at OpenAI have beaten average human performance on Montezuma's Revenge using a prediction-based curiosity technique called Random Network Distillation. A network with fixed random weights evaluates each state; another network with the same arc"&amp;"hitecture is trained to predict the random network's output, given its input. The agent receives an additional reward proportional to the predictor's error on its current state. The idea behind the technique is that the predictor's error will be higher on"&amp;" states different from those it's been trained on, and so the agent will be rewarded for exploring them.
This paper follows from their [study on curiosity](https://arxiv.org/abs/1808.04355) ([AN #20](https://mailchi.mp/d92bd0fefc83/alignment-newsletter-2"&amp;"0)) in which a predictor was trained to predict the next state directly, and the agent was rewarded when its error was high. However, this led to high reward on states that were unpredictable due to model limitations or stochasticity (e.g. the noisy TV pr"&amp;"oblem). By contrast, Random Network Distillation only requires the prediction of a deterministic function which is definitely within the class of functions representable by the predictor (since it has the same architecture as the random network).")</f>
        <v>Researchers at OpenAI have beaten average human performance on Montezuma's Revenge using a prediction-based curiosity technique called Random Network Distillation. A network with fixed random weights evaluates each state; another network with the same architecture is trained to predict the random network's output, given its input. The agent receives an additional reward proportional to the predictor's error on its current state. The idea behind the technique is that the predictor's error will be higher on states different from those it's been trained on, and so the agent will be rewarded for exploring them.
This paper follows from their [study on curiosity](https://arxiv.org/abs/1808.04355) ([AN #20](https://mailchi.mp/d92bd0fefc83/alignment-newsletter-20)) in which a predictor was trained to predict the next state directly, and the agent was rewarded when its error was high. However, this led to high reward on states that were unpredictable due to model limitations or stochasticity (e.g. the noisy TV problem). By contrast, Random Network Distillation only requires the prediction of a deterministic function which is definitely within the class of functions representable by the predictor (since it has the same architecture as the random network).</v>
      </c>
      <c r="K490" t="str">
        <f>IFERROR(__xludf.DUMMYFUNCTION("""COMPUTED_VALUE"""),"This is an important step forward for curiosity-driven agents. As the authors note in the paper, RND has the additional advantages of being simple to implement and flexible.")</f>
        <v>This is an important step forward for curiosity-driven agents. As the authors note in the paper, RND has the additional advantages of being simple to implement and flexible.</v>
      </c>
    </row>
    <row r="491">
      <c r="A491" t="str">
        <f>IFERROR(__xludf.DUMMYFUNCTION("""COMPUTED_VALUE"""),"Exploration")</f>
        <v>Exploration</v>
      </c>
      <c r="B491" t="str">
        <f>IFERROR(__xludf.DUMMYFUNCTION("""COMPUTED_VALUE"""),"")</f>
        <v/>
      </c>
      <c r="C491" s="3" t="str">
        <f>IFERROR(__xludf.DUMMYFUNCTION("""COMPUTED_VALUE"""),"Making Efficient Use of Demonstrations to Solve Hard Exploration Problems")</f>
        <v>Making Efficient Use of Demonstrations to Solve Hard Exploration Problems</v>
      </c>
      <c r="D491" t="str">
        <f>IFERROR(__xludf.DUMMYFUNCTION("""COMPUTED_VALUE"""),"Caglar Gulcehre*, Tom Le Paine*, Bobak Shahriari, Misha Denil, Matt Hoffman, Hubert Soyer, Richard Tanburn, Steven Kapturowski, Neil Rabinowitz, Duncan Williams, Gabriel Barth-Maron, Ziyu Wang, Nando de Freitas, Worlds Team")</f>
        <v>Caglar Gulcehre*, Tom Le Paine*, Bobak Shahriari, Misha Denil, Matt Hoffman, Hubert Soyer, Richard Tanburn, Steven Kapturowski, Neil Rabinowitz, Duncan Williams, Gabriel Barth-Maron, Ziyu Wang, Nando de Freitas, Worlds Team</v>
      </c>
      <c r="E491" t="str">
        <f>IFERROR(__xludf.DUMMYFUNCTION("""COMPUTED_VALUE"""),"arXiv")</f>
        <v>arXiv</v>
      </c>
      <c r="F491">
        <f>IFERROR(__xludf.DUMMYFUNCTION("""COMPUTED_VALUE"""),2019.0)</f>
        <v>2019</v>
      </c>
      <c r="H491" s="3" t="str">
        <f>IFERROR(__xludf.DUMMYFUNCTION("""COMPUTED_VALUE"""),"AN #65")</f>
        <v>AN #65</v>
      </c>
      <c r="I491" t="str">
        <f>IFERROR(__xludf.DUMMYFUNCTION("""COMPUTED_VALUE"""),"Cody")</f>
        <v>Cody</v>
      </c>
      <c r="J491" t="str">
        <f>IFERROR(__xludf.DUMMYFUNCTION("""COMPUTED_VALUE"""),"This paper combines ideas from existing techniques to construct an architecture (R2D3) capable of learning to solve hard exploration problems with a small number (N~100) of demonstrations. R2D3 has two primary architectural features: its use of a recurren"&amp;"t head to learn Q values, and its strategy of sampling trajectories from separate pools of agent and demonstrator experience, with sampling prioritized by highest-temporal-difference-error transitions within each pool. 
As the authors note, this approach"&amp;" is essentially an extension of an earlier paper, [Deep Q-Learning from Demonstrations](https://arxiv.org/abs/1704.03732), to use a recurrent head rather than a feed-forward one, allowing it to be more effectively deployed on partial-information environme"&amp;"nts. The authors test on 8 different environments that require long sequences of task completion to receive any reward, and find that their approach is able to reach human level performance on four of the tasks, while their baseline comparisons essentiall"&amp;"y never succeed on any task. Leveraging demonstrations can be valuable for solving these kinds of difficult exploration tasks, because demonstrator trajectories provide examples of how to achieve reward in a setting where the trajectories of a randomly ex"&amp;"ploring agent would rarely ever reach the end of the task to find positive reward. ")</f>
        <v>This paper combines ideas from existing techniques to construct an architecture (R2D3) capable of learning to solve hard exploration problems with a small number (N~100) of demonstrations. R2D3 has two primary architectural features: its use of a recurrent head to learn Q values, and its strategy of sampling trajectories from separate pools of agent and demonstrator experience, with sampling prioritized by highest-temporal-difference-error transitions within each pool. 
As the authors note, this approach is essentially an extension of an earlier paper, [Deep Q-Learning from Demonstrations](https://arxiv.org/abs/1704.03732), to use a recurrent head rather than a feed-forward one, allowing it to be more effectively deployed on partial-information environments. The authors test on 8 different environments that require long sequences of task completion to receive any reward, and find that their approach is able to reach human level performance on four of the tasks, while their baseline comparisons essentially never succeed on any task. Leveraging demonstrations can be valuable for solving these kinds of difficult exploration tasks, because demonstrator trajectories provide examples of how to achieve reward in a setting where the trajectories of a randomly exploring agent would rarely ever reach the end of the task to find positive reward. </v>
      </c>
      <c r="K491" t="str">
        <f>IFERROR(__xludf.DUMMYFUNCTION("""COMPUTED_VALUE"""),"For all that this paper's technique is a fairly straightforward merging of existing techniques (separately-prioritized demonstration and agent pools, and the off-policy SotA R2D2), its results are surprisingly impressive: the tasks tested on require long "&amp;"and complex chains of correct actions that would be challenging for a non-imitation based system to discover, and high levels of environment stochasticity that make a pure imitation approach difficult.")</f>
        <v>For all that this paper's technique is a fairly straightforward merging of existing techniques (separately-prioritized demonstration and agent pools, and the off-policy SotA R2D2), its results are surprisingly impressive: the tasks tested on require long and complex chains of correct actions that would be challenging for a non-imitation based system to discover, and high levels of environment stochasticity that make a pure imitation approach difficult.</v>
      </c>
    </row>
    <row r="492">
      <c r="A492" t="str">
        <f>IFERROR(__xludf.DUMMYFUNCTION("""COMPUTED_VALUE"""),"Exploration")</f>
        <v>Exploration</v>
      </c>
      <c r="B492" t="str">
        <f>IFERROR(__xludf.DUMMYFUNCTION("""COMPUTED_VALUE"""),"")</f>
        <v/>
      </c>
      <c r="C492" s="3" t="str">
        <f>IFERROR(__xludf.DUMMYFUNCTION("""COMPUTED_VALUE"""),"Exploration Strategies in Deep Reinforcement Learning")</f>
        <v>Exploration Strategies in Deep Reinforcement Learning</v>
      </c>
      <c r="D492" t="str">
        <f>IFERROR(__xludf.DUMMYFUNCTION("""COMPUTED_VALUE"""),"Lilian Weng")</f>
        <v>Lilian Weng</v>
      </c>
      <c r="E492" t="str">
        <f>IFERROR(__xludf.DUMMYFUNCTION("""COMPUTED_VALUE"""),"Author's Website")</f>
        <v>Author's Website</v>
      </c>
      <c r="F492">
        <f>IFERROR(__xludf.DUMMYFUNCTION("""COMPUTED_VALUE"""),2020.0)</f>
        <v>2020</v>
      </c>
      <c r="H492" t="str">
        <f>IFERROR(__xludf.DUMMYFUNCTION("""COMPUTED_VALUE"""),"AN #113")</f>
        <v>AN #113</v>
      </c>
      <c r="I492" t="str">
        <f>IFERROR(__xludf.DUMMYFUNCTION("""COMPUTED_VALUE"""),"Flo")</f>
        <v>Flo</v>
      </c>
      <c r="J492" t="str">
        <f>IFERROR(__xludf.DUMMYFUNCTION("""COMPUTED_VALUE"""),"A good exploration strategy is critical for fast reinforcement learning. This blog post presents two key problems and a wide array of strategies that have been proposed to deal with them. The **hard-exploration problem** is about sparse or deceptive rewar"&amp;"ds which make occasional random exploration next to useless. **The noisy-TV problem** is about a pitfall of directly rewarding agents for seeking novel experience: If there was a TV with unpredictable noise outputs in the environment, the agent would be r"&amp;"ewarded for sitting in front of the TV and might not learn anything new. 
Most of the discussed strategies are intrinsic reward schemes, where an additional reward is given to the agent for exploring new states. One way of doing this is count-based explo"&amp;"ration, where the bonus reward depends on how often a state has been visited before. This can be extended to high-dimensional state spaces using density models or discretization. Another way is based on learning a predictor for features of the next state "&amp;"and rewarding the agent proportional to the &lt;@predictor's error@&gt;(@Reinforcement Learning with Prediction-Based Rewards@). An alternative is to learn multiple predictors and rewarding the agent for &lt;@reaching states where they disagree@&gt;(@Self-Supervised "&amp;"Exploration via Disagreement@). One problem with learnt predictors is that they only update slowly. This can be circumvented by combining the approach with episodic memory and a second intrinsic reward based on the distance (either euclidean or based on &lt;"&amp;"@reachability@&gt;(@Episodic Curiosity through Reachability@)) from states that were previously visited in the same episode. &lt;@Agent57@&gt;(@Agent57: Outperforming the human Atari benchmark@) combined this idea with a population of policies with different hyper"&amp;"parameters for the intrinsic reward and a meta-controller for prioritization of the most promising exploration policy. 
Other strategies include basing exploration on uncertainty in Q-value estimates, learning options or ""skills"" that encode a wide ran"&amp;"ge of different behaviours &lt;@Variational Option Discovery Algorithms@&gt; or using either an explicit memory or a &lt;@goal-conditioned policy@&gt;(@Learning Actionable Representations with Goal-Conditioned Policies@) to reach informative states and start random e"&amp;"xploration from there. ")</f>
        <v>A good exploration strategy is critical for fast reinforcement learning. This blog post presents two key problems and a wide array of strategies that have been proposed to deal with them. The **hard-exploration problem** is about sparse or deceptive rewards which make occasional random exploration next to useless. **The noisy-TV problem** is about a pitfall of directly rewarding agents for seeking novel experience: If there was a TV with unpredictable noise outputs in the environment, the agent would be rewarded for sitting in front of the TV and might not learn anything new. 
Most of the discussed strategies are intrinsic reward schemes, where an additional reward is given to the agent for exploring new states. One way of doing this is count-based exploration, where the bonus reward depends on how often a state has been visited before. This can be extended to high-dimensional state spaces using density models or discretization. Another way is based on learning a predictor for features of the next state and rewarding the agent proportional to the &lt;@predictor's error@&gt;(@Reinforcement Learning with Prediction-Based Rewards@). An alternative is to learn multiple predictors and rewarding the agent for &lt;@reaching states where they disagree@&gt;(@Self-Supervised Exploration via Disagreement@). One problem with learnt predictors is that they only update slowly. This can be circumvented by combining the approach with episodic memory and a second intrinsic reward based on the distance (either euclidean or based on &lt;@reachability@&gt;(@Episodic Curiosity through Reachability@)) from states that were previously visited in the same episode. &lt;@Agent57@&gt;(@Agent57: Outperforming the human Atari benchmark@) combined this idea with a population of policies with different hyperparameters for the intrinsic reward and a meta-controller for prioritization of the most promising exploration policy. 
Other strategies include basing exploration on uncertainty in Q-value estimates, learning options or "skills" that encode a wide range of different behaviours &lt;@Variational Option Discovery Algorithms@&gt; or using either an explicit memory or a &lt;@goal-conditioned policy@&gt;(@Learning Actionable Representations with Goal-Conditioned Policies@) to reach informative states and start random exploration from there. </v>
      </c>
      <c r="K492" t="str">
        <f>IFERROR(__xludf.DUMMYFUNCTION("""COMPUTED_VALUE"""),"I enjoyed reading the article and think it is a good starting point for people who want to learn more about exploration. Sadly, safe exploration where potential negative consequnces of some explorative actions are taken into account was outside of the art"&amp;"icle's scope.")</f>
        <v>I enjoyed reading the article and think it is a good starting point for people who want to learn more about exploration. Sadly, safe exploration where potential negative consequnces of some explorative actions are taken into account was outside of the article's scope.</v>
      </c>
    </row>
    <row r="493">
      <c r="A493" t="str">
        <f>IFERROR(__xludf.DUMMYFUNCTION("""COMPUTED_VALUE"""),"Exploration")</f>
        <v>Exploration</v>
      </c>
      <c r="B493" t="str">
        <f>IFERROR(__xludf.DUMMYFUNCTION("""COMPUTED_VALUE"""),"")</f>
        <v/>
      </c>
      <c r="C493" s="3" t="str">
        <f>IFERROR(__xludf.DUMMYFUNCTION("""COMPUTED_VALUE"""),"Formal Theory of Creativity, Fun, and Intrinsic Motivation (1990-2010)")</f>
        <v>Formal Theory of Creativity, Fun, and Intrinsic Motivation (1990-2010)</v>
      </c>
      <c r="D493" t="str">
        <f>IFERROR(__xludf.DUMMYFUNCTION("""COMPUTED_VALUE"""),"Juergen Schmidhuber")</f>
        <v>Juergen Schmidhuber</v>
      </c>
      <c r="E493" t="str">
        <f>IFERROR(__xludf.DUMMYFUNCTION("""COMPUTED_VALUE"""),"Author's Website")</f>
        <v>Author's Website</v>
      </c>
      <c r="H493" t="str">
        <f>IFERROR(__xludf.DUMMYFUNCTION("""COMPUTED_VALUE"""),"N/A")</f>
        <v>N/A</v>
      </c>
      <c r="I493" t="str">
        <f>IFERROR(__xludf.DUMMYFUNCTION("""COMPUTED_VALUE"""),"Rohin")</f>
        <v>Rohin</v>
      </c>
      <c r="J493" t="str">
        <f>IFERROR(__xludf.DUMMYFUNCTION("""COMPUTED_VALUE"""),"")</f>
        <v/>
      </c>
      <c r="K493" t="str">
        <f>IFERROR(__xludf.DUMMYFUNCTION("""COMPUTED_VALUE"""),"")</f>
        <v/>
      </c>
    </row>
    <row r="494">
      <c r="A494" t="str">
        <f>IFERROR(__xludf.DUMMYFUNCTION("""COMPUTED_VALUE"""),"Exploration")</f>
        <v>Exploration</v>
      </c>
      <c r="B494" t="str">
        <f>IFERROR(__xludf.DUMMYFUNCTION("""COMPUTED_VALUE"""),"")</f>
        <v/>
      </c>
      <c r="C494" s="3" t="str">
        <f>IFERROR(__xludf.DUMMYFUNCTION("""COMPUTED_VALUE"""),"Self-Supervised Exploration via Disagreement")</f>
        <v>Self-Supervised Exploration via Disagreement</v>
      </c>
      <c r="D494" t="str">
        <f>IFERROR(__xludf.DUMMYFUNCTION("""COMPUTED_VALUE"""),"Deepak Pathak*, Dhiraj Gandhi*, Abhinav Gupta")</f>
        <v>Deepak Pathak*, Dhiraj Gandhi*, Abhinav Gupta</v>
      </c>
      <c r="E494" t="str">
        <f>IFERROR(__xludf.DUMMYFUNCTION("""COMPUTED_VALUE"""),"ICML 2019")</f>
        <v>ICML 2019</v>
      </c>
      <c r="F494">
        <f>IFERROR(__xludf.DUMMYFUNCTION("""COMPUTED_VALUE"""),2019.0)</f>
        <v>2019</v>
      </c>
      <c r="H494" s="3" t="str">
        <f>IFERROR(__xludf.DUMMYFUNCTION("""COMPUTED_VALUE"""),"AN #61")</f>
        <v>AN #61</v>
      </c>
      <c r="I494" t="str">
        <f>IFERROR(__xludf.DUMMYFUNCTION("""COMPUTED_VALUE"""),"Cody")</f>
        <v>Cody</v>
      </c>
      <c r="J494" t="str">
        <f>IFERROR(__xludf.DUMMYFUNCTION("""COMPUTED_VALUE"""),"For researchers who want to build a reinforcement learning system that can learn to explore its environment without explicit rewards, a common approach is to have the agent learn a model of the world, and incentivize it to explore places where its model h"&amp;"as the highest error, under the theory that these represent places where it needs to interact more to collect more data and improve its world model. However, this approach suffers in cases when the environment is inherently stochastic, since in a stochast"&amp;"ic environment  (think: sitting in front of a static TV and trying to predict the next frame), prediction error can never be brought to zero, and the agent will keep interacting even when its world model has collected enough data to converge as much as it"&amp;" can.  This paper proposes an alternative technique: instead of exploring in response to prediction error, learn an ensemble of bootstrapped next-state prediction models and explore in response to variance or disagreement between the models. This has a fe"&amp;"w nice properties. One is that, in cases of inherent stochasticity, all models will eventually converge to predicting the mean of the stochastic distribution, and so even though they've not brought error down to zero, the variance among models will be low"&amp;", and will correctly incentivize our agent to not spend more time trying to learn. Another benefit is that since the reward is purely a function of the agent's models, it can be expressed analytically as a function of the agent's choices and trained via d"&amp;"irect backpropogation rather than ""black box reward"" RL, making it more efficient. ")</f>
        <v>For researchers who want to build a reinforcement learning system that can learn to explore its environment without explicit rewards, a common approach is to have the agent learn a model of the world, and incentivize it to explore places where its model has the highest error, under the theory that these represent places where it needs to interact more to collect more data and improve its world model. However, this approach suffers in cases when the environment is inherently stochastic, since in a stochastic environment  (think: sitting in front of a static TV and trying to predict the next frame), prediction error can never be brought to zero, and the agent will keep interacting even when its world model has collected enough data to converge as much as it can.  This paper proposes an alternative technique: instead of exploring in response to prediction error, learn an ensemble of bootstrapped next-state prediction models and explore in response to variance or disagreement between the models. This has a few nice properties. One is that, in cases of inherent stochasticity, all models will eventually converge to predicting the mean of the stochastic distribution, and so even though they've not brought error down to zero, the variance among models will be low, and will correctly incentivize our agent to not spend more time trying to learn. Another benefit is that since the reward is purely a function of the agent's models, it can be expressed analytically as a function of the agent's choices and trained via direct backpropogation rather than "black box reward" RL, making it more efficient. </v>
      </c>
      <c r="K494" t="str">
        <f>IFERROR(__xludf.DUMMYFUNCTION("""COMPUTED_VALUE"""),"I found this approach really elegant and clever as a way of addressing the ""static TV"" problem in curiosity literature. I'd be curious to see more work that introduces even stronger incentives towards diversity among the ensemble models (different archi"&amp;"tectures, even more different datasets they're trained on), to see if that amplifies the cases of model disagreement.")</f>
        <v>I found this approach really elegant and clever as a way of addressing the "static TV" problem in curiosity literature. I'd be curious to see more work that introduces even stronger incentives towards diversity among the ensemble models (different architectures, even more different datasets they're trained on), to see if that amplifies the cases of model disagreement.</v>
      </c>
    </row>
    <row r="495">
      <c r="A495" t="str">
        <f>IFERROR(__xludf.DUMMYFUNCTION("""COMPUTED_VALUE"""),"Exploration")</f>
        <v>Exploration</v>
      </c>
      <c r="B495" t="str">
        <f>IFERROR(__xludf.DUMMYFUNCTION("""COMPUTED_VALUE"""),"")</f>
        <v/>
      </c>
      <c r="C495" s="3" t="str">
        <f>IFERROR(__xludf.DUMMYFUNCTION("""COMPUTED_VALUE"""),"InfoBot: Transfer and Exploration via the Information Bottleneck")</f>
        <v>InfoBot: Transfer and Exploration via the Information Bottleneck</v>
      </c>
      <c r="D495" t="str">
        <f>IFERROR(__xludf.DUMMYFUNCTION("""COMPUTED_VALUE"""),"Anirudh Goyal, Riashat Islam, Daniel Strouse, Zafarali Ahmed, Matthew Botvinick, Hugo Larochelle, Yoshua Bengio, Sergey Levine")</f>
        <v>Anirudh Goyal, Riashat Islam, Daniel Strouse, Zafarali Ahmed, Matthew Botvinick, Hugo Larochelle, Yoshua Bengio, Sergey Levine</v>
      </c>
      <c r="E495" t="str">
        <f>IFERROR(__xludf.DUMMYFUNCTION("""COMPUTED_VALUE"""),"ICLR 2019")</f>
        <v>ICLR 2019</v>
      </c>
      <c r="F495">
        <f>IFERROR(__xludf.DUMMYFUNCTION("""COMPUTED_VALUE"""),2019.0)</f>
        <v>2019</v>
      </c>
      <c r="H495" s="3" t="str">
        <f>IFERROR(__xludf.DUMMYFUNCTION("""COMPUTED_VALUE"""),"AN #47")</f>
        <v>AN #47</v>
      </c>
    </row>
    <row r="496">
      <c r="A496" t="str">
        <f>IFERROR(__xludf.DUMMYFUNCTION("""COMPUTED_VALUE"""),"Exploration")</f>
        <v>Exploration</v>
      </c>
      <c r="B496" t="str">
        <f>IFERROR(__xludf.DUMMYFUNCTION("""COMPUTED_VALUE"""),"")</f>
        <v/>
      </c>
      <c r="C496" s="3" t="str">
        <f>IFERROR(__xludf.DUMMYFUNCTION("""COMPUTED_VALUE"""),"Amplifying the Imitation Effect for Reinforcement Learning of UCAV's Mission Execution")</f>
        <v>Amplifying the Imitation Effect for Reinforcement Learning of UCAV's Mission Execution</v>
      </c>
      <c r="D496" t="str">
        <f>IFERROR(__xludf.DUMMYFUNCTION("""COMPUTED_VALUE"""),"Gyeong Taek Lee, Chang Ouk Kim")</f>
        <v>Gyeong Taek Lee, Chang Ouk Kim</v>
      </c>
      <c r="E496" t="str">
        <f>IFERROR(__xludf.DUMMYFUNCTION("""COMPUTED_VALUE"""),"arXiv")</f>
        <v>arXiv</v>
      </c>
      <c r="F496">
        <f>IFERROR(__xludf.DUMMYFUNCTION("""COMPUTED_VALUE"""),2019.0)</f>
        <v>2019</v>
      </c>
      <c r="H496" s="3" t="str">
        <f>IFERROR(__xludf.DUMMYFUNCTION("""COMPUTED_VALUE"""),"AN #43")</f>
        <v>AN #43</v>
      </c>
    </row>
    <row r="497">
      <c r="A497" t="str">
        <f>IFERROR(__xludf.DUMMYFUNCTION("""COMPUTED_VALUE"""),"Exploration")</f>
        <v>Exploration</v>
      </c>
      <c r="B497" t="str">
        <f>IFERROR(__xludf.DUMMYFUNCTION("""COMPUTED_VALUE"""),"")</f>
        <v/>
      </c>
      <c r="C497" s="3" t="str">
        <f>IFERROR(__xludf.DUMMYFUNCTION("""COMPUTED_VALUE"""),"Contingency-Aware Exploration in Reinforcement Learning")</f>
        <v>Contingency-Aware Exploration in Reinforcement Learning</v>
      </c>
      <c r="D497" t="str">
        <f>IFERROR(__xludf.DUMMYFUNCTION("""COMPUTED_VALUE"""),"Jongwook Choi, Yijie Guo, Marcin Moczulski, Junhyuk Oh, Neal Wu, Mohammad Norouzi, Honglak Lee")</f>
        <v>Jongwook Choi, Yijie Guo, Marcin Moczulski, Junhyuk Oh, Neal Wu, Mohammad Norouzi, Honglak Lee</v>
      </c>
      <c r="E497" t="str">
        <f>IFERROR(__xludf.DUMMYFUNCTION("""COMPUTED_VALUE"""),"ICLR 2019")</f>
        <v>ICLR 2019</v>
      </c>
      <c r="F497">
        <f>IFERROR(__xludf.DUMMYFUNCTION("""COMPUTED_VALUE"""),2018.0)</f>
        <v>2018</v>
      </c>
      <c r="H497" s="3" t="str">
        <f>IFERROR(__xludf.DUMMYFUNCTION("""COMPUTED_VALUE"""),"AN #32")</f>
        <v>AN #32</v>
      </c>
    </row>
    <row r="498">
      <c r="A498" t="str">
        <f>IFERROR(__xludf.DUMMYFUNCTION("""COMPUTED_VALUE"""),"Exploration")</f>
        <v>Exploration</v>
      </c>
      <c r="B498" t="str">
        <f>IFERROR(__xludf.DUMMYFUNCTION("""COMPUTED_VALUE"""),"")</f>
        <v/>
      </c>
      <c r="C498" s="3" t="str">
        <f>IFERROR(__xludf.DUMMYFUNCTION("""COMPUTED_VALUE"""),"Curiosity and Procrastination in Reinforcement Learning")</f>
        <v>Curiosity and Procrastination in Reinforcement Learning</v>
      </c>
      <c r="D498" t="str">
        <f>IFERROR(__xludf.DUMMYFUNCTION("""COMPUTED_VALUE"""),"Nikolay Savinov and Timothy Lillicrap")</f>
        <v>Nikolay Savinov and Timothy Lillicrap</v>
      </c>
      <c r="E498" t="str">
        <f>IFERROR(__xludf.DUMMYFUNCTION("""COMPUTED_VALUE"""),"Google AI Blog")</f>
        <v>Google AI Blog</v>
      </c>
      <c r="F498">
        <f>IFERROR(__xludf.DUMMYFUNCTION("""COMPUTED_VALUE"""),2018.0)</f>
        <v>2018</v>
      </c>
      <c r="H498" s="3" t="str">
        <f>IFERROR(__xludf.DUMMYFUNCTION("""COMPUTED_VALUE"""),"AN #30")</f>
        <v>AN #30</v>
      </c>
      <c r="I498" t="str">
        <f>IFERROR(__xludf.DUMMYFUNCTION("""COMPUTED_VALUE"""),"Rohin")</f>
        <v>Rohin</v>
      </c>
      <c r="J498" t="str">
        <f>IFERROR(__xludf.DUMMYFUNCTION("""COMPUTED_VALUE"""),"This blog post explains [Episodic Curiosity through Reachability](http://arxiv.org/abs/1810.02274), discussed in [AN #28](https://mailchi.mp/df2e472140b6/alignment-newsletter-28). As a reminder, this method trains a neural net to predict whether two obser"&amp;"vations were close in time to each other. Recent observations are stored in memory, and the agent is rewarded for reaching states that are predicted to be far away from any observations in memory.")</f>
        <v>This blog post explains [Episodic Curiosity through Reachability](http://arxiv.org/abs/1810.02274), discussed in [AN #28](https://mailchi.mp/df2e472140b6/alignment-newsletter-28). As a reminder, this method trains a neural net to predict whether two observations were close in time to each other. Recent observations are stored in memory, and the agent is rewarded for reaching states that are predicted to be far away from any observations in memory.</v>
      </c>
      <c r="K498" t="str">
        <f>IFERROR(__xludf.DUMMYFUNCTION("""COMPUTED_VALUE"""),"This is easier to read than the paper and more informative than our summaries, so I'd recommend it if you were interested in the paper.")</f>
        <v>This is easier to read than the paper and more informative than our summaries, so I'd recommend it if you were interested in the paper.</v>
      </c>
    </row>
    <row r="499">
      <c r="A499" t="str">
        <f>IFERROR(__xludf.DUMMYFUNCTION("""COMPUTED_VALUE"""),"Exploration")</f>
        <v>Exploration</v>
      </c>
      <c r="B499" t="str">
        <f>IFERROR(__xludf.DUMMYFUNCTION("""COMPUTED_VALUE"""),"")</f>
        <v/>
      </c>
      <c r="C499" s="3" t="str">
        <f>IFERROR(__xludf.DUMMYFUNCTION("""COMPUTED_VALUE"""),"Episodic Curiosity through Reachability")</f>
        <v>Episodic Curiosity through Reachability</v>
      </c>
      <c r="D499" t="str">
        <f>IFERROR(__xludf.DUMMYFUNCTION("""COMPUTED_VALUE"""),"Nikolay Savinov, Anton Raichuk, Raphaël Marinier, Damien Vincent, Marc Pollefeys, Timothy Lillicrap, Sylvain Gelly")</f>
        <v>Nikolay Savinov, Anton Raichuk, Raphaël Marinier, Damien Vincent, Marc Pollefeys, Timothy Lillicrap, Sylvain Gelly</v>
      </c>
      <c r="E499" t="str">
        <f>IFERROR(__xludf.DUMMYFUNCTION("""COMPUTED_VALUE"""),"IJCAI 2018")</f>
        <v>IJCAI 2018</v>
      </c>
      <c r="F499">
        <f>IFERROR(__xludf.DUMMYFUNCTION("""COMPUTED_VALUE"""),2018.0)</f>
        <v>2018</v>
      </c>
      <c r="H499" s="3" t="str">
        <f>IFERROR(__xludf.DUMMYFUNCTION("""COMPUTED_VALUE"""),"AN #28")</f>
        <v>AN #28</v>
      </c>
      <c r="I499" t="str">
        <f>IFERROR(__xludf.DUMMYFUNCTION("""COMPUTED_VALUE"""),"Richard")</f>
        <v>Richard</v>
      </c>
      <c r="J499" t="str">
        <f>IFERROR(__xludf.DUMMYFUNCTION("""COMPUTED_VALUE"""),"This paper addresses the ""couch potato"" problem for intrinsic curiousity - the fact that, if you reward an agent for observing novel or surprising states, it prefers to sit in front of a TV and keep changing channels rather than actually exploring. It p"&amp;"roposes instead rewarding states which are difficult to reach from already-explored states (stored in episodic memory). Their agent has a separate network to estimate reachability, which is trained based on the agent's experiences (where observations few "&amp;"steps apart are negative examples and those many steps apart are positive examples). This method significantly outperforms the previous state of the art curiousity method on VizDoom and DMLab environments.")</f>
        <v>This paper addresses the "couch potato" problem for intrinsic curiousity - the fact that, if you reward an agent for observing novel or surprising states, it prefers to sit in front of a TV and keep changing channels rather than actually exploring. It proposes instead rewarding states which are difficult to reach from already-explored states (stored in episodic memory). Their agent has a separate network to estimate reachability, which is trained based on the agent's experiences (where observations few steps apart are negative examples and those many steps apart are positive examples). This method significantly outperforms the previous state of the art curiousity method on VizDoom and DMLab environments.</v>
      </c>
      <c r="K499" t="str">
        <f>IFERROR(__xludf.DUMMYFUNCTION("""COMPUTED_VALUE"""),"This paper is a useful advance which does help address the couch potato problem, but it seems like it might still fail on similar problems. For example, suppose an agent were given a piece of paper on which it could doodle. Then states with lots of ink ar"&amp;"e far away from states with little ink, and so it might be rewarded for doodling forever (assuming a perfect model of reachability). My guess is that a model-based metric for novelty will be necessary to counter such problems - but it's also plausible tha"&amp;"t we end up using combinations of techniques like this one.")</f>
        <v>This paper is a useful advance which does help address the couch potato problem, but it seems like it might still fail on similar problems. For example, suppose an agent were given a piece of paper on which it could doodle. Then states with lots of ink are far away from states with little ink, and so it might be rewarded for doodling forever (assuming a perfect model of reachability). My guess is that a model-based metric for novelty will be necessary to counter such problems - but it's also plausible that we end up using combinations of techniques like this one.</v>
      </c>
    </row>
    <row r="500">
      <c r="A500" t="str">
        <f>IFERROR(__xludf.DUMMYFUNCTION("""COMPUTED_VALUE"""),"Exploration")</f>
        <v>Exploration</v>
      </c>
      <c r="B500" t="str">
        <f>IFERROR(__xludf.DUMMYFUNCTION("""COMPUTED_VALUE"""),"")</f>
        <v/>
      </c>
      <c r="C500" s="3" t="str">
        <f>IFERROR(__xludf.DUMMYFUNCTION("""COMPUTED_VALUE"""),"EMI: Exploration with Mutual Information Maximizing State and Action Embeddings")</f>
        <v>EMI: Exploration with Mutual Information Maximizing State and Action Embeddings</v>
      </c>
      <c r="D500" t="str">
        <f>IFERROR(__xludf.DUMMYFUNCTION("""COMPUTED_VALUE"""),"Hyoungseok Kim, Jaekyeom Kim, Yeonwoo Jeong, Sergey Levine, Hyun Oh Song")</f>
        <v>Hyoungseok Kim, Jaekyeom Kim, Yeonwoo Jeong, Sergey Levine, Hyun Oh Song</v>
      </c>
      <c r="E500" t="str">
        <f>IFERROR(__xludf.DUMMYFUNCTION("""COMPUTED_VALUE"""),"ICLR 2019")</f>
        <v>ICLR 2019</v>
      </c>
      <c r="F500">
        <f>IFERROR(__xludf.DUMMYFUNCTION("""COMPUTED_VALUE"""),2018.0)</f>
        <v>2018</v>
      </c>
      <c r="H500" s="3" t="str">
        <f>IFERROR(__xludf.DUMMYFUNCTION("""COMPUTED_VALUE"""),"AN #27")</f>
        <v>AN #27</v>
      </c>
    </row>
    <row r="501">
      <c r="A501" t="str">
        <f>IFERROR(__xludf.DUMMYFUNCTION("""COMPUTED_VALUE"""),"Exploration")</f>
        <v>Exploration</v>
      </c>
      <c r="B501" t="str">
        <f>IFERROR(__xludf.DUMMYFUNCTION("""COMPUTED_VALUE"""),"")</f>
        <v/>
      </c>
      <c r="C501" s="3" t="str">
        <f>IFERROR(__xludf.DUMMYFUNCTION("""COMPUTED_VALUE"""),"The Dreaming Variational Autoencoder for Reinforcement Learning Environments")</f>
        <v>The Dreaming Variational Autoencoder for Reinforcement Learning Environments</v>
      </c>
      <c r="D501" t="str">
        <f>IFERROR(__xludf.DUMMYFUNCTION("""COMPUTED_VALUE"""),"Per-Arne Andersen, Morten Goodwin, Ole-Christoffer Granmo")</f>
        <v>Per-Arne Andersen, Morten Goodwin, Ole-Christoffer Granmo</v>
      </c>
      <c r="E501" t="str">
        <f>IFERROR(__xludf.DUMMYFUNCTION("""COMPUTED_VALUE"""),"NeurIPS 2018")</f>
        <v>NeurIPS 2018</v>
      </c>
      <c r="F501">
        <f>IFERROR(__xludf.DUMMYFUNCTION("""COMPUTED_VALUE"""),2018.0)</f>
        <v>2018</v>
      </c>
      <c r="H501" s="3" t="str">
        <f>IFERROR(__xludf.DUMMYFUNCTION("""COMPUTED_VALUE"""),"AN #27")</f>
        <v>AN #27</v>
      </c>
    </row>
    <row r="502">
      <c r="A502" t="str">
        <f>IFERROR(__xludf.DUMMYFUNCTION("""COMPUTED_VALUE"""),"Exploration")</f>
        <v>Exploration</v>
      </c>
      <c r="B502" t="str">
        <f>IFERROR(__xludf.DUMMYFUNCTION("""COMPUTED_VALUE"""),"")</f>
        <v/>
      </c>
      <c r="C502" s="3" t="str">
        <f>IFERROR(__xludf.DUMMYFUNCTION("""COMPUTED_VALUE"""),"Evaluating Agents without Rewards")</f>
        <v>Evaluating Agents without Rewards</v>
      </c>
      <c r="D502" t="str">
        <f>IFERROR(__xludf.DUMMYFUNCTION("""COMPUTED_VALUE"""),"Brendon Matusch, Jimmy Ba, Danijar Hafner")</f>
        <v>Brendon Matusch, Jimmy Ba, Danijar Hafner</v>
      </c>
      <c r="E502" t="str">
        <f>IFERROR(__xludf.DUMMYFUNCTION("""COMPUTED_VALUE"""),"arXiv")</f>
        <v>arXiv</v>
      </c>
      <c r="F502">
        <f>IFERROR(__xludf.DUMMYFUNCTION("""COMPUTED_VALUE"""),2020.0)</f>
        <v>2020</v>
      </c>
      <c r="H502" s="3" t="str">
        <f>IFERROR(__xludf.DUMMYFUNCTION("""COMPUTED_VALUE"""),"AN #145")</f>
        <v>AN #145</v>
      </c>
      <c r="I502" t="str">
        <f>IFERROR(__xludf.DUMMYFUNCTION("""COMPUTED_VALUE"""),"Rohin")</f>
        <v>Rohin</v>
      </c>
      <c r="J502" t="str">
        <f>IFERROR(__xludf.DUMMYFUNCTION("""COMPUTED_VALUE"""),"How can we evaluate algorithms for exploration? This paper suggests that we look at a variety of proxy objectives, such as reward obtained, similarity to human behavior, empowerment, and entropy of the visited state distribution.
The authors evaluate two"&amp;" algorithms ([ICM](https://arxiv.org/abs/1705.05363) and &lt;@RND@&gt;(@Reinforcement Learning with Prediction-Based Rewards@)) as well as three baselines (noop agent, random agent, and PPO) on three Atari games and the &lt;@Minecraft TreeChop task@&gt;(@NeurIPS 2019"&amp;" Competition: The MineRL Competition on Sample Efficient Reinforcement Learning using Human Priors@), producing a list of proxy objective values for each combination. Their analysis then concludes that intrinsic objectives correlate with human behavior mo"&amp;"re strongly than task rewards do.")</f>
        <v>How can we evaluate algorithms for exploration? This paper suggests that we look at a variety of proxy objectives, such as reward obtained, similarity to human behavior, empowerment, and entropy of the visited state distribution.
The authors evaluate two algorithms ([ICM](https://arxiv.org/abs/1705.05363) and &lt;@RND@&gt;(@Reinforcement Learning with Prediction-Based Rewards@)) as well as three baselines (noop agent, random agent, and PPO) on three Atari games and the &lt;@Minecraft TreeChop task@&gt;(@NeurIPS 2019 Competition: The MineRL Competition on Sample Efficient Reinforcement Learning using Human Priors@), producing a list of proxy objective values for each combination. Their analysis then concludes that intrinsic objectives correlate with human behavior more strongly than task rewards do.</v>
      </c>
      <c r="K502" t="str">
        <f>IFERROR(__xludf.DUMMYFUNCTION("""COMPUTED_VALUE"""),"I’m a big fan of &lt;@thinking harder about metrics and evaluation@&gt;(@Evaluating the Robustness of Collaborative Agents@), and I do generally like the approach of “just look at a bunch of proxy statistics to help understand what’s happening”. However, I’m no"&amp;"t sure how much I believe in the ones used in this paper -- with the exception of task reward, they are computed by downsampling the pixel inputs _really_ far (8x8 with each pixel taking on 4 possible values), in order to create a nice discrete distributi"&amp;"on that they can compute objectives over. While you can downsample quite a lot without losing much important information, this seems too far to me.
I’m also a big fan of their choice of Minecraft as one of their environments. The issue with Atari is that"&amp;" the environments are too “linear” -- either you do the thing that causes you to score points or win the game, or you die; unsurprisingly many objectives lead to you scoring points. (See the &lt;@large-scale study on curiosity@&gt;(@Large-Scale Study of Curiosi"&amp;"ty-Driven Learning@).) However, on Minecraft there doesn’t seem to be much difference between the agents -- you’d be hard-pressed to tell the difference between the random agent and the trained agents based only on the values of the proxy objectives. To b"&amp;"e fair, this may not be a problem with the objectives: it could be that the agents haven’t been trained for long enough (they were trained for 12 million steps, because the Minecraft simulator is quite slow).")</f>
        <v>I’m a big fan of &lt;@thinking harder about metrics and evaluation@&gt;(@Evaluating the Robustness of Collaborative Agents@), and I do generally like the approach of “just look at a bunch of proxy statistics to help understand what’s happening”. However, I’m not sure how much I believe in the ones used in this paper -- with the exception of task reward, they are computed by downsampling the pixel inputs _really_ far (8x8 with each pixel taking on 4 possible values), in order to create a nice discrete distribution that they can compute objectives over. While you can downsample quite a lot without losing much important information, this seems too far to me.
I’m also a big fan of their choice of Minecraft as one of their environments. The issue with Atari is that the environments are too “linear” -- either you do the thing that causes you to score points or win the game, or you die; unsurprisingly many objectives lead to you scoring points. (See the &lt;@large-scale study on curiosity@&gt;(@Large-Scale Study of Curiosity-Driven Learning@).) However, on Minecraft there doesn’t seem to be much difference between the agents -- you’d be hard-pressed to tell the difference between the random agent and the trained agents based only on the values of the proxy objectives. To be fair, this may not be a problem with the objectives: it could be that the agents haven’t been trained for long enough (they were trained for 12 million steps, because the Minecraft simulator is quite slow).</v>
      </c>
    </row>
    <row r="503">
      <c r="A503" t="str">
        <f>IFERROR(__xludf.DUMMYFUNCTION("""COMPUTED_VALUE"""),"Exploration")</f>
        <v>Exploration</v>
      </c>
      <c r="B503" t="str">
        <f>IFERROR(__xludf.DUMMYFUNCTION("""COMPUTED_VALUE"""),"")</f>
        <v/>
      </c>
      <c r="C503" s="3" t="str">
        <f>IFERROR(__xludf.DUMMYFUNCTION("""COMPUTED_VALUE"""),"Planning to Explore via Self-Supervised World Models")</f>
        <v>Planning to Explore via Self-Supervised World Models</v>
      </c>
      <c r="D503" t="str">
        <f>IFERROR(__xludf.DUMMYFUNCTION("""COMPUTED_VALUE"""),"Ramanan Sekar*, Oleh Rybkin*, Kostas Daniilidis, Pieter Abbeel, Danijar Hafner, Deepak Pathak")</f>
        <v>Ramanan Sekar*, Oleh Rybkin*, Kostas Daniilidis, Pieter Abbeel, Danijar Hafner, Deepak Pathak</v>
      </c>
      <c r="E503" t="str">
        <f>IFERROR(__xludf.DUMMYFUNCTION("""COMPUTED_VALUE"""),"arXiv")</f>
        <v>arXiv</v>
      </c>
      <c r="F503">
        <f>IFERROR(__xludf.DUMMYFUNCTION("""COMPUTED_VALUE"""),2020.0)</f>
        <v>2020</v>
      </c>
      <c r="H503" s="3" t="str">
        <f>IFERROR(__xludf.DUMMYFUNCTION("""COMPUTED_VALUE"""),"AN #106")</f>
        <v>AN #106</v>
      </c>
      <c r="I503" t="str">
        <f>IFERROR(__xludf.DUMMYFUNCTION("""COMPUTED_VALUE"""),"Flo")</f>
        <v>Flo</v>
      </c>
      <c r="J503" t="str">
        <f>IFERROR(__xludf.DUMMYFUNCTION("""COMPUTED_VALUE"""),"&lt;@PlaNet@&gt;(@Learning Latent Dynamics for Planning from Pixels@) learns a latent world model which can be used for planning, and &lt;@Dreamer@&gt;(@Dream to Control: Learning Behaviors by Latent Imagination@) extends the idea by performing RL within the learned "&amp;"latent world model instead of requiring interaction with the environment. However, we still need to efficiently explore the real environment to obtain training data for the world model.
The authors propose to augment Dreamer with a novel exploration stra"&amp;"tegy. In addition to the learned latent world model, an ensemble of simpler one-step world models is trained and the magnitude of disagreement within the ensemble for a state is used as a proxy for the information gain for reaching that state. This is use"&amp;"d as a (dynamically changing) intrinsic reward that can guide planning. By training Dreamer on this intrinsic reward, we can identify informative states in the real environment without having to first visit similar states as would be the case with e.g. cu"&amp;"riosity, where the intrinsic reward is computed in retrospect.
The resulting system achieves state of the art zero-shot learning on a variety of continuous control tasks, and often comes close to the performance of agents that were trained for the specif"&amp;"ic task.")</f>
        <v>&lt;@PlaNet@&gt;(@Learning Latent Dynamics for Planning from Pixels@) learns a latent world model which can be used for planning, and &lt;@Dreamer@&gt;(@Dream to Control: Learning Behaviors by Latent Imagination@) extends the idea by performing RL within the learned latent world model instead of requiring interaction with the environment. However, we still need to efficiently explore the real environment to obtain training data for the world model.
The authors propose to augment Dreamer with a novel exploration strategy. In addition to the learned latent world model, an ensemble of simpler one-step world models is trained and the magnitude of disagreement within the ensemble for a state is used as a proxy for the information gain for reaching that state. This is used as a (dynamically changing) intrinsic reward that can guide planning. By training Dreamer on this intrinsic reward, we can identify informative states in the real environment without having to first visit similar states as would be the case with e.g. curiosity, where the intrinsic reward is computed in retrospect.
The resulting system achieves state of the art zero-shot learning on a variety of continuous control tasks, and often comes close to the performance of agents that were trained for the specific task.</v>
      </c>
      <c r="K503" t="str">
        <f>IFERROR(__xludf.DUMMYFUNCTION("""COMPUTED_VALUE"""),"Planning to reach states where a lot of information is gained seems like a very promising strategy for exploration. I am not sure whether building sufficiently precise world models is always as feasible as model-free RL. If it was, misspecified rewards an"&amp;"d similar problems would probably become easier to catch, as rollouts of a policy using a precise world model can help us predict what kind of worlds this policy produces without deployment. On the other hand, the improved capabilities for transfer learni"&amp;"ng could lead to more ubiquitous deployment of RL systems and amplify remaining failure modes, especially those stemming from &lt;@multiagent interactions@&gt;(@Multiparty Dynamics and Failure Modes for Machine Learning and Artificial Intelligence@).")</f>
        <v>Planning to reach states where a lot of information is gained seems like a very promising strategy for exploration. I am not sure whether building sufficiently precise world models is always as feasible as model-free RL. If it was, misspecified rewards and similar problems would probably become easier to catch, as rollouts of a policy using a precise world model can help us predict what kind of worlds this policy produces without deployment. On the other hand, the improved capabilities for transfer learning could lead to more ubiquitous deployment of RL systems and amplify remaining failure modes, especially those stemming from &lt;@multiagent interactions@&gt;(@Multiparty Dynamics and Failure Modes for Machine Learning and Artificial Intelligence@).</v>
      </c>
    </row>
    <row r="504">
      <c r="A504" t="str">
        <f>IFERROR(__xludf.DUMMYFUNCTION("""COMPUTED_VALUE"""),"Exploration")</f>
        <v>Exploration</v>
      </c>
      <c r="B504" t="str">
        <f>IFERROR(__xludf.DUMMYFUNCTION("""COMPUTED_VALUE"""),"")</f>
        <v/>
      </c>
      <c r="C504" s="3" t="str">
        <f>IFERROR(__xludf.DUMMYFUNCTION("""COMPUTED_VALUE"""),"Learning Exploration Policies for Navigation")</f>
        <v>Learning Exploration Policies for Navigation</v>
      </c>
      <c r="D504" t="str">
        <f>IFERROR(__xludf.DUMMYFUNCTION("""COMPUTED_VALUE"""),"Tao Chen, Saurabh Gupta, Abhinav Gupta")</f>
        <v>Tao Chen, Saurabh Gupta, Abhinav Gupta</v>
      </c>
      <c r="E504" t="str">
        <f>IFERROR(__xludf.DUMMYFUNCTION("""COMPUTED_VALUE"""),"arXiv")</f>
        <v>arXiv</v>
      </c>
      <c r="F504">
        <f>IFERROR(__xludf.DUMMYFUNCTION("""COMPUTED_VALUE"""),2019.0)</f>
        <v>2019</v>
      </c>
      <c r="H504" s="3" t="str">
        <f>IFERROR(__xludf.DUMMYFUNCTION("""COMPUTED_VALUE"""),"AN #51")</f>
        <v>AN #51</v>
      </c>
    </row>
    <row r="505">
      <c r="A505" t="str">
        <f>IFERROR(__xludf.DUMMYFUNCTION("""COMPUTED_VALUE"""),"Exploration")</f>
        <v>Exploration</v>
      </c>
      <c r="B505" t="str">
        <f>IFERROR(__xludf.DUMMYFUNCTION("""COMPUTED_VALUE"""),"")</f>
        <v/>
      </c>
      <c r="C505" s="3" t="str">
        <f>IFERROR(__xludf.DUMMYFUNCTION("""COMPUTED_VALUE"""),"World Discovery Models")</f>
        <v>World Discovery Models</v>
      </c>
      <c r="D505" t="str">
        <f>IFERROR(__xludf.DUMMYFUNCTION("""COMPUTED_VALUE"""),"Mohammad Gheshlaghi Azar, Bilal Piot, Bernardo Avila Pires, Jean-Bastien Grill, Florent Altché, Rémi Munos")</f>
        <v>Mohammad Gheshlaghi Azar, Bilal Piot, Bernardo Avila Pires, Jean-Bastien Grill, Florent Altché, Rémi Munos</v>
      </c>
      <c r="E505" t="str">
        <f>IFERROR(__xludf.DUMMYFUNCTION("""COMPUTED_VALUE"""),"arXiv")</f>
        <v>arXiv</v>
      </c>
      <c r="F505">
        <f>IFERROR(__xludf.DUMMYFUNCTION("""COMPUTED_VALUE"""),2019.0)</f>
        <v>2019</v>
      </c>
      <c r="H505" s="3" t="str">
        <f>IFERROR(__xludf.DUMMYFUNCTION("""COMPUTED_VALUE"""),"AN #49")</f>
        <v>AN #49</v>
      </c>
    </row>
    <row r="506">
      <c r="A506" t="str">
        <f>IFERROR(__xludf.DUMMYFUNCTION("""COMPUTED_VALUE"""),"Exploration")</f>
        <v>Exploration</v>
      </c>
      <c r="B506" t="str">
        <f>IFERROR(__xludf.DUMMYFUNCTION("""COMPUTED_VALUE"""),"")</f>
        <v/>
      </c>
      <c r="C506" s="3" t="str">
        <f>IFERROR(__xludf.DUMMYFUNCTION("""COMPUTED_VALUE"""),"Montezuma’s Revenge Solved by Go-Explore, a New Algorithm for Hard-Exploration Problems")</f>
        <v>Montezuma’s Revenge Solved by Go-Explore, a New Algorithm for Hard-Exploration Problems</v>
      </c>
      <c r="D506" t="str">
        <f>IFERROR(__xludf.DUMMYFUNCTION("""COMPUTED_VALUE"""),"Adrien Ecoffet,  Joost Huizinga, Joel Lehman, Kenneth O. Stanley, and Jeff Clune")</f>
        <v>Adrien Ecoffet,  Joost Huizinga, Joel Lehman, Kenneth O. Stanley, and Jeff Clune</v>
      </c>
      <c r="E506" t="str">
        <f>IFERROR(__xludf.DUMMYFUNCTION("""COMPUTED_VALUE"""),"Uber Engineering")</f>
        <v>Uber Engineering</v>
      </c>
      <c r="F506">
        <f>IFERROR(__xludf.DUMMYFUNCTION("""COMPUTED_VALUE"""),2018.0)</f>
        <v>2018</v>
      </c>
      <c r="H506" s="3" t="str">
        <f>IFERROR(__xludf.DUMMYFUNCTION("""COMPUTED_VALUE"""),"AN #35")</f>
        <v>AN #35</v>
      </c>
      <c r="I506" t="str">
        <f>IFERROR(__xludf.DUMMYFUNCTION("""COMPUTED_VALUE"""),"Richard")</f>
        <v>Richard</v>
      </c>
      <c r="J506" t="str">
        <f>IFERROR(__xludf.DUMMYFUNCTION("""COMPUTED_VALUE"""),"This blog post showcases an agent which achieves high scores in Montezuma’s Revenge and Pitfall by keeping track of a frontier of visited states (and the trajectories which led to them). In each training episode, a state is chosen from the frontier, the e"&amp;"nvironment is reset to that state, and then the agent randomly explores further and updates the frontier. The authors argue that this addresses the tendency of intrinsic motivation algorithms to forget about promising areas they've already explored. To ma"&amp;"ke state storage tractable, each state is stored as a downsampled 11x8 image.
The authors note that this solution exploits the determinism of the environment, which makes it brittle. So they then use imitation learning to learn a policy from demonstratio"&amp;"ns by the original agent. The resulting agents score many times higher than state-of-the-art on Montezuma’s Revenge and Pitfall.")</f>
        <v>This blog post showcases an agent which achieves high scores in Montezuma’s Revenge and Pitfall by keeping track of a frontier of visited states (and the trajectories which led to them). In each training episode, a state is chosen from the frontier, the environment is reset to that state, and then the agent randomly explores further and updates the frontier. The authors argue that this addresses the tendency of intrinsic motivation algorithms to forget about promising areas they've already explored. To make state storage tractable, each state is stored as a downsampled 11x8 image.
The authors note that this solution exploits the determinism of the environment, which makes it brittle. So they then use imitation learning to learn a policy from demonstrations by the original agent. The resulting agents score many times higher than state-of-the-art on Montezuma’s Revenge and Pitfall.</v>
      </c>
      <c r="K506" t="str">
        <f>IFERROR(__xludf.DUMMYFUNCTION("""COMPUTED_VALUE"""),"I’m not particularly impressed by this result, for a couple of reasons. Firstly, I think that exploiting determinism by resetting the environment (or even just memorising trajectories) fundamentally changes the nature of the problem posed by hard Atari ga"&amp;"mes. Doing so allows us to solve them in the same ways as any other search problem - we could, for instance, just use the AlphaZero algorithm to train a value network. In addition, the headline results are generated by hand-engineering features like x-y c"&amp;"oordinates and room number, a technique that has been eschewed by most other attempts. When you take those features away, their agent’s total reward on Pitfall falls back to 0.")</f>
        <v>I’m not particularly impressed by this result, for a couple of reasons. Firstly, I think that exploiting determinism by resetting the environment (or even just memorising trajectories) fundamentally changes the nature of the problem posed by hard Atari games. Doing so allows us to solve them in the same ways as any other search problem - we could, for instance, just use the AlphaZero algorithm to train a value network. In addition, the headline results are generated by hand-engineering features like x-y coordinates and room number, a technique that has been eschewed by most other attempts. When you take those features away, their agent’s total reward on Pitfall falls back to 0.</v>
      </c>
      <c r="M506" s="3" t="str">
        <f>IFERROR(__xludf.DUMMYFUNCTION("""COMPUTED_VALUE"""),"Quick Opinions on Go-Explore")</f>
        <v>Quick Opinions on Go-Explore</v>
      </c>
    </row>
    <row r="507">
      <c r="A507" t="str">
        <f>IFERROR(__xludf.DUMMYFUNCTION("""COMPUTED_VALUE"""),"Exploration")</f>
        <v>Exploration</v>
      </c>
      <c r="B507" t="str">
        <f>IFERROR(__xludf.DUMMYFUNCTION("""COMPUTED_VALUE"""),"")</f>
        <v/>
      </c>
      <c r="C507" s="3" t="str">
        <f>IFERROR(__xludf.DUMMYFUNCTION("""COMPUTED_VALUE"""),"Prioritizing Starting States for Reinforcement Learning")</f>
        <v>Prioritizing Starting States for Reinforcement Learning</v>
      </c>
      <c r="D507" t="str">
        <f>IFERROR(__xludf.DUMMYFUNCTION("""COMPUTED_VALUE"""),"Arash Tavakoli, Vitaly Levdik, Riashat Islam, Petar Kormushev")</f>
        <v>Arash Tavakoli, Vitaly Levdik, Riashat Islam, Petar Kormushev</v>
      </c>
      <c r="E507" t="str">
        <f>IFERROR(__xludf.DUMMYFUNCTION("""COMPUTED_VALUE"""),"arXiv")</f>
        <v>arXiv</v>
      </c>
      <c r="F507">
        <f>IFERROR(__xludf.DUMMYFUNCTION("""COMPUTED_VALUE"""),2018.0)</f>
        <v>2018</v>
      </c>
      <c r="H507" s="3" t="str">
        <f>IFERROR(__xludf.DUMMYFUNCTION("""COMPUTED_VALUE"""),"AN #35")</f>
        <v>AN #35</v>
      </c>
    </row>
    <row r="508">
      <c r="A508" t="str">
        <f>IFERROR(__xludf.DUMMYFUNCTION("""COMPUTED_VALUE"""),"Exploration")</f>
        <v>Exploration</v>
      </c>
      <c r="B508" t="str">
        <f>IFERROR(__xludf.DUMMYFUNCTION("""COMPUTED_VALUE"""),"")</f>
        <v/>
      </c>
      <c r="C508" s="3" t="str">
        <f>IFERROR(__xludf.DUMMYFUNCTION("""COMPUTED_VALUE"""),"Successor Uncertainties: exploration and uncertainty in temporal difference learning")</f>
        <v>Successor Uncertainties: exploration and uncertainty in temporal difference learning</v>
      </c>
      <c r="D508" t="str">
        <f>IFERROR(__xludf.DUMMYFUNCTION("""COMPUTED_VALUE"""),"David Janz, Jiri Hron, José Miguel Hernández-Lobato, Katja Hofmann, Sebastian Tschiatschek")</f>
        <v>David Janz, Jiri Hron, José Miguel Hernández-Lobato, Katja Hofmann, Sebastian Tschiatschek</v>
      </c>
      <c r="E508" t="str">
        <f>IFERROR(__xludf.DUMMYFUNCTION("""COMPUTED_VALUE"""),"arXiv")</f>
        <v>arXiv</v>
      </c>
      <c r="F508">
        <f>IFERROR(__xludf.DUMMYFUNCTION("""COMPUTED_VALUE"""),2018.0)</f>
        <v>2018</v>
      </c>
      <c r="H508" s="3" t="str">
        <f>IFERROR(__xludf.DUMMYFUNCTION("""COMPUTED_VALUE"""),"AN #30")</f>
        <v>AN #30</v>
      </c>
    </row>
    <row r="509">
      <c r="A509" t="str">
        <f>IFERROR(__xludf.DUMMYFUNCTION("""COMPUTED_VALUE"""),"Exploration")</f>
        <v>Exploration</v>
      </c>
      <c r="B509" t="str">
        <f>IFERROR(__xludf.DUMMYFUNCTION("""COMPUTED_VALUE"""),"")</f>
        <v/>
      </c>
      <c r="C509" s="3" t="str">
        <f>IFERROR(__xludf.DUMMYFUNCTION("""COMPUTED_VALUE"""),"Generative Exploration and Exploitation")</f>
        <v>Generative Exploration and Exploitation</v>
      </c>
      <c r="D509" t="str">
        <f>IFERROR(__xludf.DUMMYFUNCTION("""COMPUTED_VALUE"""),"Jiechuan Jiang, Zongqing Lu")</f>
        <v>Jiechuan Jiang, Zongqing Lu</v>
      </c>
      <c r="E509" t="str">
        <f>IFERROR(__xludf.DUMMYFUNCTION("""COMPUTED_VALUE"""),"arXiv")</f>
        <v>arXiv</v>
      </c>
      <c r="F509">
        <f>IFERROR(__xludf.DUMMYFUNCTION("""COMPUTED_VALUE"""),2019.0)</f>
        <v>2019</v>
      </c>
      <c r="H509" t="str">
        <f>IFERROR(__xludf.DUMMYFUNCTION("""COMPUTED_VALUE"""),"N/A")</f>
        <v>N/A</v>
      </c>
    </row>
    <row r="510">
      <c r="A510" t="str">
        <f>IFERROR(__xludf.DUMMYFUNCTION("""COMPUTED_VALUE"""),"Exploration")</f>
        <v>Exploration</v>
      </c>
      <c r="B510" t="str">
        <f>IFERROR(__xludf.DUMMYFUNCTION("""COMPUTED_VALUE"""),"")</f>
        <v/>
      </c>
      <c r="C510" s="3" t="str">
        <f>IFERROR(__xludf.DUMMYFUNCTION("""COMPUTED_VALUE"""),"Deep Reinforcement Learning with Feedback-based Exploration")</f>
        <v>Deep Reinforcement Learning with Feedback-based Exploration</v>
      </c>
      <c r="D510" t="str">
        <f>IFERROR(__xludf.DUMMYFUNCTION("""COMPUTED_VALUE"""),"Jan Scholten, Daan Wout, Carlos Celemin, Jens Kober")</f>
        <v>Jan Scholten, Daan Wout, Carlos Celemin, Jens Kober</v>
      </c>
      <c r="E510" t="str">
        <f>IFERROR(__xludf.DUMMYFUNCTION("""COMPUTED_VALUE"""),"arXiv")</f>
        <v>arXiv</v>
      </c>
      <c r="F510">
        <f>IFERROR(__xludf.DUMMYFUNCTION("""COMPUTED_VALUE"""),2019.0)</f>
        <v>2019</v>
      </c>
      <c r="H510" s="3" t="str">
        <f>IFERROR(__xludf.DUMMYFUNCTION("""COMPUTED_VALUE"""),"AN #51")</f>
        <v>AN #51</v>
      </c>
    </row>
    <row r="511">
      <c r="A511" t="str">
        <f>IFERROR(__xludf.DUMMYFUNCTION("""COMPUTED_VALUE"""),"Fairness and bias")</f>
        <v>Fairness and bias</v>
      </c>
      <c r="B511" t="str">
        <f>IFERROR(__xludf.DUMMYFUNCTION("""COMPUTED_VALUE"""),"")</f>
        <v/>
      </c>
      <c r="C511" s="3" t="str">
        <f>IFERROR(__xludf.DUMMYFUNCTION("""COMPUTED_VALUE"""),"Algorithmic Fairness from a Non-ideal Perspective")</f>
        <v>Algorithmic Fairness from a Non-ideal Perspective</v>
      </c>
      <c r="D511" t="str">
        <f>IFERROR(__xludf.DUMMYFUNCTION("""COMPUTED_VALUE"""),"Sina Fazelpour, Zachary C. Lipton")</f>
        <v>Sina Fazelpour, Zachary C. Lipton</v>
      </c>
      <c r="E511" t="str">
        <f>IFERROR(__xludf.DUMMYFUNCTION("""COMPUTED_VALUE"""),"arXiv")</f>
        <v>arXiv</v>
      </c>
      <c r="F511">
        <f>IFERROR(__xludf.DUMMYFUNCTION("""COMPUTED_VALUE"""),2020.0)</f>
        <v>2020</v>
      </c>
      <c r="H511" s="3" t="str">
        <f>IFERROR(__xludf.DUMMYFUNCTION("""COMPUTED_VALUE"""),"AN #98")</f>
        <v>AN #98</v>
      </c>
      <c r="I511" t="str">
        <f>IFERROR(__xludf.DUMMYFUNCTION("""COMPUTED_VALUE"""),"Rohin")</f>
        <v>Rohin</v>
      </c>
      <c r="J511" t="str">
        <f>IFERROR(__xludf.DUMMYFUNCTION("""COMPUTED_VALUE"""),"The field of fairness has aimed to develop objective metrics of fairness, which can then be optimized for in order to produce a just AI system. Unfortunately, many intuitively desirable fairness metrics are fundamentally incompatible, and cannot be simult"&amp;"aneously achieved except in special circumstances. Should we lose all hope for fairness?
This paper argues that the problem was that we were building _idealized_ theories, referring to a conception from political philosophy of ideal and non-ideal modes o"&amp;"f theorizing. An ideal theory is one that describes an optimal, ideal world, and then identifies injustices by searching for discrepancies between the real world and the idealized one. This leads to three major flaws:
1. It can lead to systematic neglect"&amp;" of some injustices and distortions of our understanding of other injustices. For example, group parity metrics of fairness applied to college admissions would identify east Asian students as privileged relative to white students despite historical and in"&amp;"stitutional discrimination.
2. It does not offer sufficient practical guidance about what should be done, sometimes leading to misguided mitigation strategies. Consider college admissions again. A _disparate learning process_ aims to be blind to protecte"&amp;"d characteristics (like gender) while still achieving demographic parity. This forces the model to penalize features that correlate with being male. As a result, we end up rewarding women who go into female-dominated fields, and penalize women who go into"&amp;" male-dominated fields! This was presumably not what we wanted.
3. It does not make clear who among decision-makers is responsible for intervening to correct specific injustices.
The authors suggest that the research community move towards a non-ideal m"&amp;"ode of theorizing, in which there is more emphasis on having a deep empirical understanding of the problem (including the various causal factors, rather than summary statistics), and using empirically-informed choices of treatments, rather than modifying "&amp;"ML algorithms to optimize a mathematically defined metric.")</f>
        <v>The field of fairness has aimed to develop objective metrics of fairness, which can then be optimized for in order to produce a just AI system. Unfortunately, many intuitively desirable fairness metrics are fundamentally incompatible, and cannot be simultaneously achieved except in special circumstances. Should we lose all hope for fairness?
This paper argues that the problem was that we were building _idealized_ theories, referring to a conception from political philosophy of ideal and non-ideal modes of theorizing. An ideal theory is one that describes an optimal, ideal world, and then identifies injustices by searching for discrepancies between the real world and the idealized one. This leads to three major flaws:
1. It can lead to systematic neglect of some injustices and distortions of our understanding of other injustices. For example, group parity metrics of fairness applied to college admissions would identify east Asian students as privileged relative to white students despite historical and institutional discrimination.
2. It does not offer sufficient practical guidance about what should be done, sometimes leading to misguided mitigation strategies. Consider college admissions again. A _disparate learning process_ aims to be blind to protected characteristics (like gender) while still achieving demographic parity. This forces the model to penalize features that correlate with being male. As a result, we end up rewarding women who go into female-dominated fields, and penalize women who go into male-dominated fields! This was presumably not what we wanted.
3. It does not make clear who among decision-makers is responsible for intervening to correct specific injustices.
The authors suggest that the research community move towards a non-ideal mode of theorizing, in which there is more emphasis on having a deep empirical understanding of the problem (including the various causal factors, rather than summary statistics), and using empirically-informed choices of treatments, rather than modifying ML algorithms to optimize a mathematically defined metric.</v>
      </c>
      <c r="K511" t="str">
        <f>IFERROR(__xludf.DUMMYFUNCTION("""COMPUTED_VALUE"""),"I really enjoyed this paper, and my summary doesn't do it justice -- it makes several other good points. I feel similarly about alignment: I feel relatively pessimistic about formal definitions of concepts like &lt;@goal-directedness@&gt;(@Intuitions about goal"&amp;"-directed behavior@) or &lt;@safe exploration@&gt;(@Safety Gym@), and feel much better about schemes that don't assume a formal definition of concepts and instead learn them from humans (or don't require them at all).
Another thing that jumped out at me was th"&amp;"at their description of the non-ideal mode of theorizing focuses a _lot_ on understanding what exactly is going on, which is very similar to the concepts of interpretability and &lt;@universality@&gt;(@Towards formalizing universality@) in alignment.")</f>
        <v>I really enjoyed this paper, and my summary doesn't do it justice -- it makes several other good points. I feel similarly about alignment: I feel relatively pessimistic about formal definitions of concepts like &lt;@goal-directedness@&gt;(@Intuitions about goal-directed behavior@) or &lt;@safe exploration@&gt;(@Safety Gym@), and feel much better about schemes that don't assume a formal definition of concepts and instead learn them from humans (or don't require them at all).
Another thing that jumped out at me was that their description of the non-ideal mode of theorizing focuses a _lot_ on understanding what exactly is going on, which is very similar to the concepts of interpretability and &lt;@universality@&gt;(@Towards formalizing universality@) in alignment.</v>
      </c>
    </row>
    <row r="512">
      <c r="A512" t="str">
        <f>IFERROR(__xludf.DUMMYFUNCTION("""COMPUTED_VALUE"""),"Fairness and bias")</f>
        <v>Fairness and bias</v>
      </c>
      <c r="B512" t="str">
        <f>IFERROR(__xludf.DUMMYFUNCTION("""COMPUTED_VALUE"""),"")</f>
        <v/>
      </c>
      <c r="C512" s="3" t="str">
        <f>IFERROR(__xludf.DUMMYFUNCTION("""COMPUTED_VALUE"""),"Identifying and Correcting Label Bias in Machine Learning")</f>
        <v>Identifying and Correcting Label Bias in Machine Learning</v>
      </c>
      <c r="D512" t="str">
        <f>IFERROR(__xludf.DUMMYFUNCTION("""COMPUTED_VALUE"""),"Heinrich Jiang and Ofir Nachum")</f>
        <v>Heinrich Jiang and Ofir Nachum</v>
      </c>
      <c r="E512" t="str">
        <f>IFERROR(__xludf.DUMMYFUNCTION("""COMPUTED_VALUE"""),"arXiv")</f>
        <v>arXiv</v>
      </c>
      <c r="F512">
        <f>IFERROR(__xludf.DUMMYFUNCTION("""COMPUTED_VALUE"""),2019.0)</f>
        <v>2019</v>
      </c>
      <c r="H512" s="3" t="str">
        <f>IFERROR(__xludf.DUMMYFUNCTION("""COMPUTED_VALUE"""),"AN #43")</f>
        <v>AN #43</v>
      </c>
    </row>
    <row r="513">
      <c r="A513" t="str">
        <f>IFERROR(__xludf.DUMMYFUNCTION("""COMPUTED_VALUE"""),"Fairness and bias")</f>
        <v>Fairness and bias</v>
      </c>
      <c r="B513" t="str">
        <f>IFERROR(__xludf.DUMMYFUNCTION("""COMPUTED_VALUE"""),"")</f>
        <v/>
      </c>
      <c r="C513" s="3" t="str">
        <f>IFERROR(__xludf.DUMMYFUNCTION("""COMPUTED_VALUE"""),"Path-Specific Counterfactual Fairness")</f>
        <v>Path-Specific Counterfactual Fairness</v>
      </c>
      <c r="D513" t="str">
        <f>IFERROR(__xludf.DUMMYFUNCTION("""COMPUTED_VALUE"""),"Silvia Chiappa, Thomas P. S. Gillam")</f>
        <v>Silvia Chiappa, Thomas P. S. Gillam</v>
      </c>
      <c r="E513" t="str">
        <f>IFERROR(__xludf.DUMMYFUNCTION("""COMPUTED_VALUE"""),"NIPS 2018")</f>
        <v>NIPS 2018</v>
      </c>
      <c r="F513">
        <f>IFERROR(__xludf.DUMMYFUNCTION("""COMPUTED_VALUE"""),2018.0)</f>
        <v>2018</v>
      </c>
      <c r="H513" s="3" t="str">
        <f>IFERROR(__xludf.DUMMYFUNCTION("""COMPUTED_VALUE"""),"Recon #4")</f>
        <v>Recon #4</v>
      </c>
    </row>
    <row r="514">
      <c r="A514" t="str">
        <f>IFERROR(__xludf.DUMMYFUNCTION("""COMPUTED_VALUE"""),"Fairness and bias")</f>
        <v>Fairness and bias</v>
      </c>
      <c r="B514" t="str">
        <f>IFERROR(__xludf.DUMMYFUNCTION("""COMPUTED_VALUE"""),"")</f>
        <v/>
      </c>
      <c r="C514" s="3" t="str">
        <f>IFERROR(__xludf.DUMMYFUNCTION("""COMPUTED_VALUE"""),"Learning Not to Learn: Training Deep Neural Networks with Biased Data")</f>
        <v>Learning Not to Learn: Training Deep Neural Networks with Biased Data</v>
      </c>
      <c r="D514" t="str">
        <f>IFERROR(__xludf.DUMMYFUNCTION("""COMPUTED_VALUE"""),"Byungju Kim, Hyunwoo Kim, Kyungsu Kim, Sungjin Kim, Junmo Kim")</f>
        <v>Byungju Kim, Hyunwoo Kim, Kyungsu Kim, Sungjin Kim, Junmo Kim</v>
      </c>
      <c r="E514" t="str">
        <f>IFERROR(__xludf.DUMMYFUNCTION("""COMPUTED_VALUE"""),"arXiv")</f>
        <v>arXiv</v>
      </c>
      <c r="F514">
        <f>IFERROR(__xludf.DUMMYFUNCTION("""COMPUTED_VALUE"""),2018.0)</f>
        <v>2018</v>
      </c>
      <c r="H514" s="3" t="str">
        <f>IFERROR(__xludf.DUMMYFUNCTION("""COMPUTED_VALUE"""),"AN #39")</f>
        <v>AN #39</v>
      </c>
    </row>
    <row r="515">
      <c r="A515" t="str">
        <f>IFERROR(__xludf.DUMMYFUNCTION("""COMPUTED_VALUE"""),"Fairness and bias")</f>
        <v>Fairness and bias</v>
      </c>
      <c r="B515" t="str">
        <f>IFERROR(__xludf.DUMMYFUNCTION("""COMPUTED_VALUE"""),"")</f>
        <v/>
      </c>
      <c r="C515" s="3" t="str">
        <f>IFERROR(__xludf.DUMMYFUNCTION("""COMPUTED_VALUE"""),"50 Years of Test (Un)fairness: Lessons for Machine Learning")</f>
        <v>50 Years of Test (Un)fairness: Lessons for Machine Learning</v>
      </c>
      <c r="D515" t="str">
        <f>IFERROR(__xludf.DUMMYFUNCTION("""COMPUTED_VALUE"""),"Ben Hutchinson")</f>
        <v>Ben Hutchinson</v>
      </c>
      <c r="E515" t="str">
        <f>IFERROR(__xludf.DUMMYFUNCTION("""COMPUTED_VALUE"""),"FAT* '19 Proceedings of the Conference on Fairness, Accountability, and Transparency")</f>
        <v>FAT* '19 Proceedings of the Conference on Fairness, Accountability, and Transparency</v>
      </c>
      <c r="F515">
        <f>IFERROR(__xludf.DUMMYFUNCTION("""COMPUTED_VALUE"""),2018.0)</f>
        <v>2018</v>
      </c>
      <c r="H515" s="3" t="str">
        <f>IFERROR(__xludf.DUMMYFUNCTION("""COMPUTED_VALUE"""),"AN #35")</f>
        <v>AN #35</v>
      </c>
    </row>
    <row r="516">
      <c r="A516" t="str">
        <f>IFERROR(__xludf.DUMMYFUNCTION("""COMPUTED_VALUE"""),"Fairness and bias")</f>
        <v>Fairness and bias</v>
      </c>
      <c r="B516" t="str">
        <f>IFERROR(__xludf.DUMMYFUNCTION("""COMPUTED_VALUE"""),"")</f>
        <v/>
      </c>
      <c r="C516" s="3" t="str">
        <f>IFERROR(__xludf.DUMMYFUNCTION("""COMPUTED_VALUE"""),"A new course to teach people about fairness in machine learning")</f>
        <v>A new course to teach people about fairness in machine learning</v>
      </c>
      <c r="D516" t="str">
        <f>IFERROR(__xludf.DUMMYFUNCTION("""COMPUTED_VALUE"""),"Sanders Kleinfeld")</f>
        <v>Sanders Kleinfeld</v>
      </c>
      <c r="E516" t="str">
        <f>IFERROR(__xludf.DUMMYFUNCTION("""COMPUTED_VALUE"""),"Google Blog")</f>
        <v>Google Blog</v>
      </c>
      <c r="F516">
        <f>IFERROR(__xludf.DUMMYFUNCTION("""COMPUTED_VALUE"""),2018.0)</f>
        <v>2018</v>
      </c>
      <c r="H516" s="3" t="str">
        <f>IFERROR(__xludf.DUMMYFUNCTION("""COMPUTED_VALUE"""),"AN #29")</f>
        <v>AN #29</v>
      </c>
      <c r="I516" t="str">
        <f>IFERROR(__xludf.DUMMYFUNCTION("""COMPUTED_VALUE"""),"Rohin")</f>
        <v>Rohin</v>
      </c>
      <c r="J516" t="str">
        <f>IFERROR(__xludf.DUMMYFUNCTION("""COMPUTED_VALUE"""),"Google has added a short section on fairness to their Machine Learning Crash Course (MLCC).")</f>
        <v>Google has added a short section on fairness to their Machine Learning Crash Course (MLCC).</v>
      </c>
    </row>
    <row r="517">
      <c r="A517" t="str">
        <f>IFERROR(__xludf.DUMMYFUNCTION("""COMPUTED_VALUE"""),"Fairness and bias")</f>
        <v>Fairness and bias</v>
      </c>
      <c r="B517" t="str">
        <f>IFERROR(__xludf.DUMMYFUNCTION("""COMPUTED_VALUE"""),"")</f>
        <v/>
      </c>
      <c r="C517" s="3" t="str">
        <f>IFERROR(__xludf.DUMMYFUNCTION("""COMPUTED_VALUE"""),"Delayed Impact of Fair Machine Learning")</f>
        <v>Delayed Impact of Fair Machine Learning</v>
      </c>
      <c r="D517" t="str">
        <f>IFERROR(__xludf.DUMMYFUNCTION("""COMPUTED_VALUE"""),"Lydia T. Liu, Sarah Dean, Esther Rolf, Max Simchowitz, Moritz Hardt")</f>
        <v>Lydia T. Liu, Sarah Dean, Esther Rolf, Max Simchowitz, Moritz Hardt</v>
      </c>
      <c r="E517" t="str">
        <f>IFERROR(__xludf.DUMMYFUNCTION("""COMPUTED_VALUE"""),"BAIR Blog")</f>
        <v>BAIR Blog</v>
      </c>
      <c r="F517">
        <f>IFERROR(__xludf.DUMMYFUNCTION("""COMPUTED_VALUE"""),2018.0)</f>
        <v>2018</v>
      </c>
      <c r="H517" s="3" t="str">
        <f>IFERROR(__xludf.DUMMYFUNCTION("""COMPUTED_VALUE"""),"AN #7")</f>
        <v>AN #7</v>
      </c>
      <c r="I517" t="str">
        <f>IFERROR(__xludf.DUMMYFUNCTION("""COMPUTED_VALUE"""),"Rohin")</f>
        <v>Rohin</v>
      </c>
      <c r="J517" t="str">
        <f>IFERROR(__xludf.DUMMYFUNCTION("""COMPUTED_VALUE"""),"Consider a bank that has to choose which loan applications should be approved based on a credit score. Typically, fairness in this setting is encoded by saying that there should be some sort of parity between groups (and different criteria have been propo"&amp;"sed for what actually should be the same). However, if you model the actual outcomes that come from the decision (namely, profit/loss to the bank _and_ changes in credit score to the applicant), you can see that standard fairness criteria lead to suboptim"&amp;"al outcomes. As a result, in general you want to look at the delayed impact of ML models.")</f>
        <v>Consider a bank that has to choose which loan applications should be approved based on a credit score. Typically, fairness in this setting is encoded by saying that there should be some sort of parity between groups (and different criteria have been proposed for what actually should be the same). However, if you model the actual outcomes that come from the decision (namely, profit/loss to the bank _and_ changes in credit score to the applicant), you can see that standard fairness criteria lead to suboptimal outcomes. As a result, in general you want to look at the delayed impact of ML models.</v>
      </c>
      <c r="K517" t="str">
        <f>IFERROR(__xludf.DUMMYFUNCTION("""COMPUTED_VALUE"""),"This actually feels quite related to the value alignment problem -- in general, we care about things besides fairness, and if we try to optimize directly for fairness, then we'll be giving up good outcomes on other dimensions. It's another case of Goodhar"&amp;"t's law, where ""fairness"" was a proxy for ""good for disadvantaged groups"".")</f>
        <v>This actually feels quite related to the value alignment problem -- in general, we care about things besides fairness, and if we try to optimize directly for fairness, then we'll be giving up good outcomes on other dimensions. It's another case of Goodhart's law, where "fairness" was a proxy for "good for disadvantaged groups".</v>
      </c>
    </row>
    <row r="518">
      <c r="A518" t="str">
        <f>IFERROR(__xludf.DUMMYFUNCTION("""COMPUTED_VALUE"""),"Fairness and bias")</f>
        <v>Fairness and bias</v>
      </c>
      <c r="B518" t="str">
        <f>IFERROR(__xludf.DUMMYFUNCTION("""COMPUTED_VALUE"""),"")</f>
        <v/>
      </c>
      <c r="C518" s="3" t="str">
        <f>IFERROR(__xludf.DUMMYFUNCTION("""COMPUTED_VALUE"""),"Providing Gender-Specific Translations in Google Translate")</f>
        <v>Providing Gender-Specific Translations in Google Translate</v>
      </c>
      <c r="D518" t="str">
        <f>IFERROR(__xludf.DUMMYFUNCTION("""COMPUTED_VALUE"""),"Melvin Johnson")</f>
        <v>Melvin Johnson</v>
      </c>
      <c r="E518" t="str">
        <f>IFERROR(__xludf.DUMMYFUNCTION("""COMPUTED_VALUE"""),"Google AI Blog")</f>
        <v>Google AI Blog</v>
      </c>
      <c r="F518">
        <f>IFERROR(__xludf.DUMMYFUNCTION("""COMPUTED_VALUE"""),2018.0)</f>
        <v>2018</v>
      </c>
      <c r="H518" s="3" t="str">
        <f>IFERROR(__xludf.DUMMYFUNCTION("""COMPUTED_VALUE"""),"AN #37")</f>
        <v>AN #37</v>
      </c>
    </row>
    <row r="519">
      <c r="A519" t="str">
        <f>IFERROR(__xludf.DUMMYFUNCTION("""COMPUTED_VALUE"""),"Fairness and bias")</f>
        <v>Fairness and bias</v>
      </c>
      <c r="B519" t="str">
        <f>IFERROR(__xludf.DUMMYFUNCTION("""COMPUTED_VALUE"""),"")</f>
        <v/>
      </c>
      <c r="C519" s="3" t="str">
        <f>IFERROR(__xludf.DUMMYFUNCTION("""COMPUTED_VALUE"""),"Introducing the Inclusive Images Competition")</f>
        <v>Introducing the Inclusive Images Competition</v>
      </c>
      <c r="D519" t="str">
        <f>IFERROR(__xludf.DUMMYFUNCTION("""COMPUTED_VALUE"""),"Tulsee Doshi")</f>
        <v>Tulsee Doshi</v>
      </c>
      <c r="E519" t="str">
        <f>IFERROR(__xludf.DUMMYFUNCTION("""COMPUTED_VALUE"""),"Google AI Blog")</f>
        <v>Google AI Blog</v>
      </c>
      <c r="F519">
        <f>IFERROR(__xludf.DUMMYFUNCTION("""COMPUTED_VALUE"""),2018.0)</f>
        <v>2018</v>
      </c>
      <c r="H519" s="3" t="str">
        <f>IFERROR(__xludf.DUMMYFUNCTION("""COMPUTED_VALUE"""),"AN #23")</f>
        <v>AN #23</v>
      </c>
      <c r="I519" t="str">
        <f>IFERROR(__xludf.DUMMYFUNCTION("""COMPUTED_VALUE"""),"Rohin")</f>
        <v>Rohin</v>
      </c>
      <c r="J519" t="str">
        <f>IFERROR(__xludf.DUMMYFUNCTION("""COMPUTED_VALUE"""),"The authors write, ""this competition challenges you to use Open Images, a large, multilabel, publicly-available image classification dataset that is majority-sampled from North America and Europe, to train a model that will be evaluated on images collect"&amp;"ed from a different set of geographic regions across the globe"". The results will be presented at NIPS 2018 in December.")</f>
        <v>The authors write, "this competition challenges you to use Open Images, a large, multilabel, publicly-available image classification dataset that is majority-sampled from North America and Europe, to train a model that will be evaluated on images collected from a different set of geographic regions across the globe". The results will be presented at NIPS 2018 in December.</v>
      </c>
      <c r="K519" t="str">
        <f>IFERROR(__xludf.DUMMYFUNCTION("""COMPUTED_VALUE"""),"I'm really interested in the techniques and results here, since there's a clear, sharp distribution shift from the training set to the test set, which is always hard to deal with. Hopefully some of the entries will have general solutions which we can adap"&amp;"t to other settings.")</f>
        <v>I'm really interested in the techniques and results here, since there's a clear, sharp distribution shift from the training set to the test set, which is always hard to deal with. Hopefully some of the entries will have general solutions which we can adapt to other settings.</v>
      </c>
    </row>
    <row r="520">
      <c r="A520" t="str">
        <f>IFERROR(__xludf.DUMMYFUNCTION("""COMPUTED_VALUE"""),"Field building")</f>
        <v>Field building</v>
      </c>
      <c r="B520" t="str">
        <f>IFERROR(__xludf.DUMMYFUNCTION("""COMPUTED_VALUE"""),"")</f>
        <v/>
      </c>
      <c r="C520" s="3" t="str">
        <f>IFERROR(__xludf.DUMMYFUNCTION("""COMPUTED_VALUE"""),"The case for building expertise to work on US AI policy, and how to do it")</f>
        <v>The case for building expertise to work on US AI policy, and how to do it</v>
      </c>
      <c r="D520" t="str">
        <f>IFERROR(__xludf.DUMMYFUNCTION("""COMPUTED_VALUE"""),"Niel Bowerman")</f>
        <v>Niel Bowerman</v>
      </c>
      <c r="E520" t="str">
        <f>IFERROR(__xludf.DUMMYFUNCTION("""COMPUTED_VALUE"""),"80000 Hours")</f>
        <v>80000 Hours</v>
      </c>
      <c r="F520">
        <f>IFERROR(__xludf.DUMMYFUNCTION("""COMPUTED_VALUE"""),2019.0)</f>
        <v>2019</v>
      </c>
      <c r="H520" s="3" t="str">
        <f>IFERROR(__xludf.DUMMYFUNCTION("""COMPUTED_VALUE"""),"AN #44")</f>
        <v>AN #44</v>
      </c>
      <c r="I520" t="str">
        <f>IFERROR(__xludf.DUMMYFUNCTION("""COMPUTED_VALUE"""),"Rohin")</f>
        <v>Rohin</v>
      </c>
      <c r="J520" t="str">
        <f>IFERROR(__xludf.DUMMYFUNCTION("""COMPUTED_VALUE"""),"This in-depth career review makes the case for working on US AI policy. It starts by making a short case for why AI policy is important; and then argues that US AI policy roles in particular can be very impactful (though they would still recommend a polic"&amp;"y position in an AI lab like DeepMind or OpenAI over a US AI policy role). It has tons of useful detail; the only reason I'm not summarizing it is because I suspect that most readers are not currently considering career choices, and if you are considering"&amp;" your career, you should be reading the entire article, not my summary. You could also check out [Import AI's summary](https://jack-clark.net/2019/02/04/import-ai-132-can-your-algorithm-outsmart-the-obstacle-tower-cross-domain-nlp-with-biobert-and-trainin"&amp;"g-on-faceforensics-to-spot-deepfakes/).")</f>
        <v>This in-depth career review makes the case for working on US AI policy. It starts by making a short case for why AI policy is important; and then argues that US AI policy roles in particular can be very impactful (though they would still recommend a policy position in an AI lab like DeepMind or OpenAI over a US AI policy role). It has tons of useful detail; the only reason I'm not summarizing it is because I suspect that most readers are not currently considering career choices, and if you are considering your career, you should be reading the entire article, not my summary. You could also check out [Import AI's summary](https://jack-clark.net/2019/02/04/import-ai-132-can-your-algorithm-outsmart-the-obstacle-tower-cross-domain-nlp-with-biobert-and-training-on-faceforensics-to-spot-deepfakes/).</v>
      </c>
    </row>
    <row r="521">
      <c r="A521" t="str">
        <f>IFERROR(__xludf.DUMMYFUNCTION("""COMPUTED_VALUE"""),"Field building")</f>
        <v>Field building</v>
      </c>
      <c r="B521" t="str">
        <f>IFERROR(__xludf.DUMMYFUNCTION("""COMPUTED_VALUE"""),"")</f>
        <v/>
      </c>
      <c r="C521" s="3" t="str">
        <f>IFERROR(__xludf.DUMMYFUNCTION("""COMPUTED_VALUE"""),"The case for taking AI seriously as a threat to humanity")</f>
        <v>The case for taking AI seriously as a threat to humanity</v>
      </c>
      <c r="D521" t="str">
        <f>IFERROR(__xludf.DUMMYFUNCTION("""COMPUTED_VALUE"""),"Kelsey Piper")</f>
        <v>Kelsey Piper</v>
      </c>
      <c r="E521" t="str">
        <f>IFERROR(__xludf.DUMMYFUNCTION("""COMPUTED_VALUE"""),"Vox")</f>
        <v>Vox</v>
      </c>
      <c r="F521">
        <f>IFERROR(__xludf.DUMMYFUNCTION("""COMPUTED_VALUE"""),2018.0)</f>
        <v>2018</v>
      </c>
      <c r="H521" s="3" t="str">
        <f>IFERROR(__xludf.DUMMYFUNCTION("""COMPUTED_VALUE"""),"AN #38")</f>
        <v>AN #38</v>
      </c>
      <c r="I521" t="str">
        <f>IFERROR(__xludf.DUMMYFUNCTION("""COMPUTED_VALUE"""),"Rohin")</f>
        <v>Rohin</v>
      </c>
      <c r="J521" t="str">
        <f>IFERROR(__xludf.DUMMYFUNCTION("""COMPUTED_VALUE"""),"This is an introduction to the problem of AI safety, from the perspective that it is hard to specify the ""right"" goal, and that goal-driven behavior leads to convergent instrumental subgoals that will likely be dangerous. It also addresses several commo"&amp;"n initial reactions that people have.")</f>
        <v>This is an introduction to the problem of AI safety, from the perspective that it is hard to specify the "right" goal, and that goal-driven behavior leads to convergent instrumental subgoals that will likely be dangerous. It also addresses several common initial reactions that people have.</v>
      </c>
      <c r="K521" t="str">
        <f>IFERROR(__xludf.DUMMYFUNCTION("""COMPUTED_VALUE"""),"I really like this introduction, it remains understandable while being technically accurate. It will probably be my new default article to introduce people to the problem.")</f>
        <v>I really like this introduction, it remains understandable while being technically accurate. It will probably be my new default article to introduce people to the problem.</v>
      </c>
    </row>
    <row r="522">
      <c r="A522" t="str">
        <f>IFERROR(__xludf.DUMMYFUNCTION("""COMPUTED_VALUE"""),"Field building")</f>
        <v>Field building</v>
      </c>
      <c r="B522" t="str">
        <f>IFERROR(__xludf.DUMMYFUNCTION("""COMPUTED_VALUE"""),"")</f>
        <v/>
      </c>
      <c r="C522" s="3" t="str">
        <f>IFERROR(__xludf.DUMMYFUNCTION("""COMPUTED_VALUE"""),"The fastest way into a high-impact role as a machine learning engineer, according to Catherine Olsson &amp; Daniel Ziegler")</f>
        <v>The fastest way into a high-impact role as a machine learning engineer, according to Catherine Olsson &amp; Daniel Ziegler</v>
      </c>
      <c r="D522" t="str">
        <f>IFERROR(__xludf.DUMMYFUNCTION("""COMPUTED_VALUE"""),"Catherine Olsson, Daniel Ziegler, and Rob Wiblin")</f>
        <v>Catherine Olsson, Daniel Ziegler, and Rob Wiblin</v>
      </c>
      <c r="E522" t="str">
        <f>IFERROR(__xludf.DUMMYFUNCTION("""COMPUTED_VALUE"""),"80000 Hours")</f>
        <v>80000 Hours</v>
      </c>
      <c r="F522">
        <f>IFERROR(__xludf.DUMMYFUNCTION("""COMPUTED_VALUE"""),2018.0)</f>
        <v>2018</v>
      </c>
      <c r="H522" s="3" t="str">
        <f>IFERROR(__xludf.DUMMYFUNCTION("""COMPUTED_VALUE"""),"AN #31")</f>
        <v>AN #31</v>
      </c>
      <c r="I522" t="str">
        <f>IFERROR(__xludf.DUMMYFUNCTION("""COMPUTED_VALUE"""),"Richard")</f>
        <v>Richard</v>
      </c>
      <c r="J522" t="str">
        <f>IFERROR(__xludf.DUMMYFUNCTION("""COMPUTED_VALUE"""),"Catherine and Daniel both started PhDs, but left to work on AI safety (they're currently at Google Brain and OpenAI respectively). They note that AI safety teams need research engineers to do implementation work, and that talented programmers can pick up "&amp;"the skills required within a few months, without needing to do a PhD. The distinction between research engineers and research scientists is fairly fluid - while research engineers usually work under the direction of a research scientist, they often do sim"&amp;"ilar things.
Their advice on developing the skills needed to get into good research roles is not to start with a broad theoretical focus, but rather to dive straight into the details. Read and reimplement important papers, to develop technical ML experti"&amp;"se. Find specific problems relevant to AI safety that you're particularly interested in, figure out what skills they require, and focus on those. They also argue that even if you want to eventually do a PhD, getting practical experience first is very usef"&amp;"ul, both technically and motivationally. While they're glad not to have finished their PhDs, doing one can provide important mentorship.
This is a long podcast and there's also much more discussion of object-level AI safety ideas, albeit mostly at an int"&amp;"roductory level.")</f>
        <v>Catherine and Daniel both started PhDs, but left to work on AI safety (they're currently at Google Brain and OpenAI respectively). They note that AI safety teams need research engineers to do implementation work, and that talented programmers can pick up the skills required within a few months, without needing to do a PhD. The distinction between research engineers and research scientists is fairly fluid - while research engineers usually work under the direction of a research scientist, they often do similar things.
Their advice on developing the skills needed to get into good research roles is not to start with a broad theoretical focus, but rather to dive straight into the details. Read and reimplement important papers, to develop technical ML expertise. Find specific problems relevant to AI safety that you're particularly interested in, figure out what skills they require, and focus on those. They also argue that even if you want to eventually do a PhD, getting practical experience first is very useful, both technically and motivationally. While they're glad not to have finished their PhDs, doing one can provide important mentorship.
This is a long podcast and there's also much more discussion of object-level AI safety ideas, albeit mostly at an introductory level.</v>
      </c>
      <c r="K522" t="str">
        <f>IFERROR(__xludf.DUMMYFUNCTION("""COMPUTED_VALUE"""),"Anyone who wants to get into AI safety (and isn't already an AI researcher) should listen to this podcast - there's a lot of useful information in it and [this career transition guide](https://80000hours.org/articles/ml-engineering-career-transition-guide"&amp;"/). I agree that having more research engineers is very valuable, and that it's a relatively easy transition for people with CS backgrounds to make. (I may be a little biased on this point, though, since it's also the path I'm currently taking.)
I think "&amp;"the issue of PhDs and mentorship is an important and complicated one. The field of AI safety is currently bottlenecked to a significant extent by the availability of mentorship, and so even a ML PhD unrelated to safety can still be very valuable if it tea"&amp;"ches you how to do good independent research and supervise others, without requiring the time of current safety researchers. Also note that the trade-offs involve vary quite a bit. In particular, European PhDs can be significantly shorter than US ones; an"&amp;"d the one-year Masters degrees available in the UK are a quick and easy way to transition into research engineering roles.")</f>
        <v>Anyone who wants to get into AI safety (and isn't already an AI researcher) should listen to this podcast - there's a lot of useful information in it and [this career transition guide](https://80000hours.org/articles/ml-engineering-career-transition-guide/). I agree that having more research engineers is very valuable, and that it's a relatively easy transition for people with CS backgrounds to make. (I may be a little biased on this point, though, since it's also the path I'm currently taking.)
I think the issue of PhDs and mentorship is an important and complicated one. The field of AI safety is currently bottlenecked to a significant extent by the availability of mentorship, and so even a ML PhD unrelated to safety can still be very valuable if it teaches you how to do good independent research and supervise others, without requiring the time of current safety researchers. Also note that the trade-offs involve vary quite a bit. In particular, European PhDs can be significantly shorter than US ones; and the one-year Masters degrees available in the UK are a quick and easy way to transition into research engineering roles.</v>
      </c>
      <c r="M522" s="3" t="str">
        <f>IFERROR(__xludf.DUMMYFUNCTION("""COMPUTED_VALUE"""),"Concrete next steps for transitioning from CS or software engineering into ML engineering for AI safety and alignment")</f>
        <v>Concrete next steps for transitioning from CS or software engineering into ML engineering for AI safety and alignment</v>
      </c>
    </row>
    <row r="523">
      <c r="A523" t="str">
        <f>IFERROR(__xludf.DUMMYFUNCTION("""COMPUTED_VALUE"""),"Field building")</f>
        <v>Field building</v>
      </c>
      <c r="B523" t="str">
        <f>IFERROR(__xludf.DUMMYFUNCTION("""COMPUTED_VALUE"""),"")</f>
        <v/>
      </c>
      <c r="C523" s="3" t="str">
        <f>IFERROR(__xludf.DUMMYFUNCTION("""COMPUTED_VALUE"""),"How to pursue a career in technical AI alignment")</f>
        <v>How to pursue a career in technical AI alignment</v>
      </c>
      <c r="D523" t="str">
        <f>IFERROR(__xludf.DUMMYFUNCTION("""COMPUTED_VALUE"""),"Charlie Rogers-Smith")</f>
        <v>Charlie Rogers-Smith</v>
      </c>
      <c r="E523" t="str">
        <f>IFERROR(__xludf.DUMMYFUNCTION("""COMPUTED_VALUE"""),"EA Forum")</f>
        <v>EA Forum</v>
      </c>
      <c r="F523">
        <f>IFERROR(__xludf.DUMMYFUNCTION("""COMPUTED_VALUE"""),2022.0)</f>
        <v>2022</v>
      </c>
      <c r="H523" t="str">
        <f>IFERROR(__xludf.DUMMYFUNCTION("""COMPUTED_VALUE"""),"AN #173")</f>
        <v>AN #173</v>
      </c>
      <c r="I523" t="str">
        <f>IFERROR(__xludf.DUMMYFUNCTION("""COMPUTED_VALUE"""),"Rohin")</f>
        <v>Rohin</v>
      </c>
      <c r="J523" t="str">
        <f>IFERROR(__xludf.DUMMYFUNCTION("""COMPUTED_VALUE"""),"This post gives a lot of advice in great detail on how to pursue a career in AI alignment. I strongly recommend it if you are in such a position; I previously would recommend &lt;@my FAQ@&gt;(@FAQ: Advice for AI Alignment Researchers@) but I think this is signi"&amp;"ficantly more detailed (while providing broadly similar advice).")</f>
        <v>This post gives a lot of advice in great detail on how to pursue a career in AI alignment. I strongly recommend it if you are in such a position; I previously would recommend &lt;@my FAQ@&gt;(@FAQ: Advice for AI Alignment Researchers@) but I think this is significantly more detailed (while providing broadly similar advice).</v>
      </c>
    </row>
    <row r="524">
      <c r="A524" t="str">
        <f>IFERROR(__xludf.DUMMYFUNCTION("""COMPUTED_VALUE"""),"Field building")</f>
        <v>Field building</v>
      </c>
      <c r="B524" t="str">
        <f>IFERROR(__xludf.DUMMYFUNCTION("""COMPUTED_VALUE"""),"")</f>
        <v/>
      </c>
      <c r="C524" s="3" t="str">
        <f>IFERROR(__xludf.DUMMYFUNCTION("""COMPUTED_VALUE"""),"FAQ: Advice for AI Alignment Researchers")</f>
        <v>FAQ: Advice for AI Alignment Researchers</v>
      </c>
      <c r="D524" t="str">
        <f>IFERROR(__xludf.DUMMYFUNCTION("""COMPUTED_VALUE"""),"Rohin Shah")</f>
        <v>Rohin Shah</v>
      </c>
      <c r="E524" t="str">
        <f>IFERROR(__xludf.DUMMYFUNCTION("""COMPUTED_VALUE"""),"Author's Website")</f>
        <v>Author's Website</v>
      </c>
      <c r="F524">
        <f>IFERROR(__xludf.DUMMYFUNCTION("""COMPUTED_VALUE"""),2021.0)</f>
        <v>2021</v>
      </c>
      <c r="H524" s="3" t="str">
        <f>IFERROR(__xludf.DUMMYFUNCTION("""COMPUTED_VALUE"""),"AN #148")</f>
        <v>AN #148</v>
      </c>
      <c r="I524" t="str">
        <f>IFERROR(__xludf.DUMMYFUNCTION("""COMPUTED_VALUE"""),"Rohin")</f>
        <v>Rohin</v>
      </c>
      <c r="J524" t="str">
        <f>IFERROR(__xludf.DUMMYFUNCTION("""COMPUTED_VALUE"""),"I've written an FAQ answering a broad range of AI alignment questions that people entering the field tend to ask me. Since it's a meta post, i.e. about how to do alignment research rather than about alignment itself, I'm not going to summarize it here.")</f>
        <v>I've written an FAQ answering a broad range of AI alignment questions that people entering the field tend to ask me. Since it's a meta post, i.e. about how to do alignment research rather than about alignment itself, I'm not going to summarize it here.</v>
      </c>
    </row>
    <row r="525">
      <c r="A525" t="str">
        <f>IFERROR(__xludf.DUMMYFUNCTION("""COMPUTED_VALUE"""),"Field building")</f>
        <v>Field building</v>
      </c>
      <c r="B525" t="str">
        <f>IFERROR(__xludf.DUMMYFUNCTION("""COMPUTED_VALUE"""),"")</f>
        <v/>
      </c>
      <c r="C525" s="3" t="str">
        <f>IFERROR(__xludf.DUMMYFUNCTION("""COMPUTED_VALUE"""),"Critch on career advice for junior AI-x-risk-concerned researchers")</f>
        <v>Critch on career advice for junior AI-x-risk-concerned researchers</v>
      </c>
      <c r="D525" t="str">
        <f>IFERROR(__xludf.DUMMYFUNCTION("""COMPUTED_VALUE"""),"Andrew Critch, via Rob Bensinger")</f>
        <v>Andrew Critch, via Rob Bensinger</v>
      </c>
      <c r="E525" t="str">
        <f>IFERROR(__xludf.DUMMYFUNCTION("""COMPUTED_VALUE"""),"LessWrong")</f>
        <v>LessWrong</v>
      </c>
      <c r="F525">
        <f>IFERROR(__xludf.DUMMYFUNCTION("""COMPUTED_VALUE"""),2018.0)</f>
        <v>2018</v>
      </c>
      <c r="H525" s="3" t="str">
        <f>IFERROR(__xludf.DUMMYFUNCTION("""COMPUTED_VALUE"""),"AN #7")</f>
        <v>AN #7</v>
      </c>
      <c r="I525" t="str">
        <f>IFERROR(__xludf.DUMMYFUNCTION("""COMPUTED_VALUE"""),"Rohin")</f>
        <v>Rohin</v>
      </c>
      <c r="J525" t="str">
        <f>IFERROR(__xludf.DUMMYFUNCTION("""COMPUTED_VALUE"""),"A common piece of advice for aspiring AI x-risk researchers is to work on AI capabilities research in order to skill up so they can later contribute to safety. However, Critch is worried that such researchers will rationalize their work as being ""relevan"&amp;"t to safety"", leading to a false sense of security since AI researchers are now surrounded by people who are ""concerned about safety"", but _aren't actually doing safety research_. Note that Critch would still advise young researchers to get into grad s"&amp;"chool for AI, but to be aware of this effect and not feel any pressure to do safety research and to avoid rationalizing whatever research they are doing.")</f>
        <v>A common piece of advice for aspiring AI x-risk researchers is to work on AI capabilities research in order to skill up so they can later contribute to safety. However, Critch is worried that such researchers will rationalize their work as being "relevant to safety", leading to a false sense of security since AI researchers are now surrounded by people who are "concerned about safety", but _aren't actually doing safety research_. Note that Critch would still advise young researchers to get into grad school for AI, but to be aware of this effect and not feel any pressure to do safety research and to avoid rationalizing whatever research they are doing.</v>
      </c>
      <c r="K525" t="str">
        <f>IFERROR(__xludf.DUMMYFUNCTION("""COMPUTED_VALUE"""),"I feel pretty unqualified to have an opinion here on how strong this effect is -- it's pretty far outside of my experience. At the very least it's a consideration we should be aware about, and Critch supports it better in the full post, so I'd recommend y"&amp;"ou read it.")</f>
        <v>I feel pretty unqualified to have an opinion here on how strong this effect is -- it's pretty far outside of my experience. At the very least it's a consideration we should be aware about, and Critch supports it better in the full post, so I'd recommend you read it.</v>
      </c>
    </row>
    <row r="526">
      <c r="A526" t="str">
        <f>IFERROR(__xludf.DUMMYFUNCTION("""COMPUTED_VALUE"""),"Field building")</f>
        <v>Field building</v>
      </c>
      <c r="B526" t="str">
        <f>IFERROR(__xludf.DUMMYFUNCTION("""COMPUTED_VALUE"""),"")</f>
        <v/>
      </c>
      <c r="C526" s="3" t="str">
        <f>IFERROR(__xludf.DUMMYFUNCTION("""COMPUTED_VALUE"""),"AI Reading List")</f>
        <v>AI Reading List</v>
      </c>
      <c r="D526" t="str">
        <f>IFERROR(__xludf.DUMMYFUNCTION("""COMPUTED_VALUE"""),"Vishal Maini")</f>
        <v>Vishal Maini</v>
      </c>
      <c r="E526" t="str">
        <f>IFERROR(__xludf.DUMMYFUNCTION("""COMPUTED_VALUE"""),"Medium")</f>
        <v>Medium</v>
      </c>
      <c r="F526">
        <f>IFERROR(__xludf.DUMMYFUNCTION("""COMPUTED_VALUE"""),2019.0)</f>
        <v>2019</v>
      </c>
      <c r="H526" s="3" t="str">
        <f>IFERROR(__xludf.DUMMYFUNCTION("""COMPUTED_VALUE"""),"AN #64")</f>
        <v>AN #64</v>
      </c>
    </row>
    <row r="527">
      <c r="A527" t="str">
        <f>IFERROR(__xludf.DUMMYFUNCTION("""COMPUTED_VALUE"""),"Field building")</f>
        <v>Field building</v>
      </c>
      <c r="B527" t="str">
        <f>IFERROR(__xludf.DUMMYFUNCTION("""COMPUTED_VALUE"""),"")</f>
        <v/>
      </c>
      <c r="C527" s="3" t="str">
        <f>IFERROR(__xludf.DUMMYFUNCTION("""COMPUTED_VALUE"""),"Alignment Research Field Guide")</f>
        <v>Alignment Research Field Guide</v>
      </c>
      <c r="D527" t="str">
        <f>IFERROR(__xludf.DUMMYFUNCTION("""COMPUTED_VALUE"""),"Abram Demski")</f>
        <v>Abram Demski</v>
      </c>
      <c r="E527" t="str">
        <f>IFERROR(__xludf.DUMMYFUNCTION("""COMPUTED_VALUE"""),"Alignment Forum")</f>
        <v>Alignment Forum</v>
      </c>
      <c r="F527">
        <f>IFERROR(__xludf.DUMMYFUNCTION("""COMPUTED_VALUE"""),2019.0)</f>
        <v>2019</v>
      </c>
      <c r="H527" s="3" t="str">
        <f>IFERROR(__xludf.DUMMYFUNCTION("""COMPUTED_VALUE"""),"AN #49")</f>
        <v>AN #49</v>
      </c>
      <c r="I527" t="str">
        <f>IFERROR(__xludf.DUMMYFUNCTION("""COMPUTED_VALUE"""),"Rohin")</f>
        <v>Rohin</v>
      </c>
      <c r="J527" t="str">
        <f>IFERROR(__xludf.DUMMYFUNCTION("""COMPUTED_VALUE"""),"This post gives advice on how to get started on technical research, in particular by starting a local MIRIx research group.")</f>
        <v>This post gives advice on how to get started on technical research, in particular by starting a local MIRIx research group.</v>
      </c>
      <c r="K527" t="str">
        <f>IFERROR(__xludf.DUMMYFUNCTION("""COMPUTED_VALUE"""),"I strongly recommend this post to anyone looking to get into research -- it's a great post; I'm not summarizing it because I want this newsletter to be primarily about technical research. Even if you are not planning to do the type of research that MIRI d"&amp;"oes, I think this post presents a very different perspective on how to do research compared to the mainstream view in academia. Note though that this is _not_ the advice I'd give to someone trying to publish papers or break into academia. Also, while I'm "&amp;"talking about recommendations on how to do research, let me also recommend [Research as a Stochastic Decision Process](https://cs.stanford.edu/~jsteinhardt/ResearchasaStochasticDecisionProcess.html).")</f>
        <v>I strongly recommend this post to anyone looking to get into research -- it's a great post; I'm not summarizing it because I want this newsletter to be primarily about technical research. Even if you are not planning to do the type of research that MIRI does, I think this post presents a very different perspective on how to do research compared to the mainstream view in academia. Note though that this is _not_ the advice I'd give to someone trying to publish papers or break into academia. Also, while I'm talking about recommendations on how to do research, let me also recommend [Research as a Stochastic Decision Process](https://cs.stanford.edu/~jsteinhardt/ResearchasaStochasticDecisionProcess.html).</v>
      </c>
    </row>
    <row r="528">
      <c r="A528" t="str">
        <f>IFERROR(__xludf.DUMMYFUNCTION("""COMPUTED_VALUE"""),"Field building")</f>
        <v>Field building</v>
      </c>
      <c r="B528" t="str">
        <f>IFERROR(__xludf.DUMMYFUNCTION("""COMPUTED_VALUE"""),"")</f>
        <v/>
      </c>
      <c r="C528" s="3" t="str">
        <f>IFERROR(__xludf.DUMMYFUNCTION("""COMPUTED_VALUE"""),"Current AI Safety Roles for Software Engineers")</f>
        <v>Current AI Safety Roles for Software Engineers</v>
      </c>
      <c r="D528" t="str">
        <f>IFERROR(__xludf.DUMMYFUNCTION("""COMPUTED_VALUE"""),"Ozzie Gooen")</f>
        <v>Ozzie Gooen</v>
      </c>
      <c r="E528" t="str">
        <f>IFERROR(__xludf.DUMMYFUNCTION("""COMPUTED_VALUE"""),"LessWrong")</f>
        <v>LessWrong</v>
      </c>
      <c r="F528">
        <f>IFERROR(__xludf.DUMMYFUNCTION("""COMPUTED_VALUE"""),2018.0)</f>
        <v>2018</v>
      </c>
      <c r="H528" s="3" t="str">
        <f>IFERROR(__xludf.DUMMYFUNCTION("""COMPUTED_VALUE"""),"AN #32")</f>
        <v>AN #32</v>
      </c>
      <c r="I528" t="str">
        <f>IFERROR(__xludf.DUMMYFUNCTION("""COMPUTED_VALUE"""),"Rohin")</f>
        <v>Rohin</v>
      </c>
      <c r="J528" t="str">
        <f>IFERROR(__xludf.DUMMYFUNCTION("""COMPUTED_VALUE"""),"This post and its comments summarize the AI safety roles available for software engineers (including ones that don't require ML experience).")</f>
        <v>This post and its comments summarize the AI safety roles available for software engineers (including ones that don't require ML experience).</v>
      </c>
    </row>
    <row r="529">
      <c r="A529" t="str">
        <f>IFERROR(__xludf.DUMMYFUNCTION("""COMPUTED_VALUE"""),"Field building")</f>
        <v>Field building</v>
      </c>
      <c r="B529" t="str">
        <f>IFERROR(__xludf.DUMMYFUNCTION("""COMPUTED_VALUE"""),"")</f>
        <v/>
      </c>
      <c r="C529" s="3" t="str">
        <f>IFERROR(__xludf.DUMMYFUNCTION("""COMPUTED_VALUE"""),"AGI Safety Fundamentals curriculum and application")</f>
        <v>AGI Safety Fundamentals curriculum and application</v>
      </c>
      <c r="D529" t="str">
        <f>IFERROR(__xludf.DUMMYFUNCTION("""COMPUTED_VALUE"""),"Richard Ngo")</f>
        <v>Richard Ngo</v>
      </c>
      <c r="E529" t="str">
        <f>IFERROR(__xludf.DUMMYFUNCTION("""COMPUTED_VALUE"""),"Alignment Forum")</f>
        <v>Alignment Forum</v>
      </c>
      <c r="F529">
        <f>IFERROR(__xludf.DUMMYFUNCTION("""COMPUTED_VALUE"""),2021.0)</f>
        <v>2021</v>
      </c>
      <c r="H529" s="3" t="str">
        <f>IFERROR(__xludf.DUMMYFUNCTION("""COMPUTED_VALUE"""),"AN #171")</f>
        <v>AN #171</v>
      </c>
      <c r="I529" t="str">
        <f>IFERROR(__xludf.DUMMYFUNCTION("""COMPUTED_VALUE"""),"Rohin")</f>
        <v>Rohin</v>
      </c>
      <c r="J529" t="str">
        <f>IFERROR(__xludf.DUMMYFUNCTION("""COMPUTED_VALUE"""),"This post presents the curriculum used in the AGI safety fundamentals course, which is meant to serve as an effective introduction to the field of AGI safety.")</f>
        <v>This post presents the curriculum used in the AGI safety fundamentals course, which is meant to serve as an effective introduction to the field of AGI safety.</v>
      </c>
    </row>
    <row r="530">
      <c r="A530" t="str">
        <f>IFERROR(__xludf.DUMMYFUNCTION("""COMPUTED_VALUE"""),"Field building")</f>
        <v>Field building</v>
      </c>
      <c r="B530" t="str">
        <f>IFERROR(__xludf.DUMMYFUNCTION("""COMPUTED_VALUE"""),"")</f>
        <v/>
      </c>
      <c r="C530" s="3" t="str">
        <f>IFERROR(__xludf.DUMMYFUNCTION("""COMPUTED_VALUE"""),"List of AI safety courses and resources")</f>
        <v>List of AI safety courses and resources</v>
      </c>
      <c r="D530" t="str">
        <f>IFERROR(__xludf.DUMMYFUNCTION("""COMPUTED_VALUE"""),"Kat Woods")</f>
        <v>Kat Woods</v>
      </c>
      <c r="E530" t="str">
        <f>IFERROR(__xludf.DUMMYFUNCTION("""COMPUTED_VALUE"""),"EA Forum")</f>
        <v>EA Forum</v>
      </c>
      <c r="F530">
        <f>IFERROR(__xludf.DUMMYFUNCTION("""COMPUTED_VALUE"""),2021.0)</f>
        <v>2021</v>
      </c>
      <c r="H530" s="3" t="str">
        <f>IFERROR(__xludf.DUMMYFUNCTION("""COMPUTED_VALUE"""),"AN #164")</f>
        <v>AN #164</v>
      </c>
      <c r="I530" t="str">
        <f>IFERROR(__xludf.DUMMYFUNCTION("""COMPUTED_VALUE"""),"Rohin")</f>
        <v>Rohin</v>
      </c>
      <c r="J530" t="str">
        <f>IFERROR(__xludf.DUMMYFUNCTION("""COMPUTED_VALUE"""),"Exactly what it says in the title.")</f>
        <v>Exactly what it says in the title.</v>
      </c>
    </row>
    <row r="531">
      <c r="A531" t="str">
        <f>IFERROR(__xludf.DUMMYFUNCTION("""COMPUTED_VALUE"""),"Field building")</f>
        <v>Field building</v>
      </c>
      <c r="B531" t="str">
        <f>IFERROR(__xludf.DUMMYFUNCTION("""COMPUTED_VALUE"""),"")</f>
        <v/>
      </c>
      <c r="C531" s="3" t="str">
        <f>IFERROR(__xludf.DUMMYFUNCTION("""COMPUTED_VALUE"""),"AI Safety Career Bottlenecks Survey Responses Responses")</f>
        <v>AI Safety Career Bottlenecks Survey Responses Responses</v>
      </c>
      <c r="D531" t="str">
        <f>IFERROR(__xludf.DUMMYFUNCTION("""COMPUTED_VALUE"""),"Linda Linsefors")</f>
        <v>Linda Linsefors</v>
      </c>
      <c r="E531" t="str">
        <f>IFERROR(__xludf.DUMMYFUNCTION("""COMPUTED_VALUE"""),"EA Forum")</f>
        <v>EA Forum</v>
      </c>
      <c r="F531">
        <f>IFERROR(__xludf.DUMMYFUNCTION("""COMPUTED_VALUE"""),2021.0)</f>
        <v>2021</v>
      </c>
      <c r="H531" s="3" t="str">
        <f>IFERROR(__xludf.DUMMYFUNCTION("""COMPUTED_VALUE"""),"AN #152")</f>
        <v>AN #152</v>
      </c>
      <c r="I531" t="str">
        <f>IFERROR(__xludf.DUMMYFUNCTION("""COMPUTED_VALUE"""),"Rohin")</f>
        <v>Rohin</v>
      </c>
      <c r="J531" t="str">
        <f>IFERROR(__xludf.DUMMYFUNCTION("""COMPUTED_VALUE"""),"A past survey asked for respondents’ wish list of things that would be helpful and/or make them more efficient (with respect to careers in AI safety). This post provides advice for some of these wishes. If you’re trying to break into AI safety work, this "&amp;"seems like a good source to get ideas on what to try or resources that you hadn’t previously seen.")</f>
        <v>A past survey asked for respondents’ wish list of things that would be helpful and/or make them more efficient (with respect to careers in AI safety). This post provides advice for some of these wishes. If you’re trying to break into AI safety work, this seems like a good source to get ideas on what to try or resources that you hadn’t previously seen.</v>
      </c>
    </row>
    <row r="532">
      <c r="A532" t="str">
        <f>IFERROR(__xludf.DUMMYFUNCTION("""COMPUTED_VALUE"""),"Field building")</f>
        <v>Field building</v>
      </c>
      <c r="B532" t="str">
        <f>IFERROR(__xludf.DUMMYFUNCTION("""COMPUTED_VALUE"""),"")</f>
        <v/>
      </c>
      <c r="C532" s="3" t="str">
        <f>IFERROR(__xludf.DUMMYFUNCTION("""COMPUTED_VALUE"""),"AI x-risk reduction: why I chose academia over industry")</f>
        <v>AI x-risk reduction: why I chose academia over industry</v>
      </c>
      <c r="D532" t="str">
        <f>IFERROR(__xludf.DUMMYFUNCTION("""COMPUTED_VALUE"""),"David Krueger")</f>
        <v>David Krueger</v>
      </c>
      <c r="E532" t="str">
        <f>IFERROR(__xludf.DUMMYFUNCTION("""COMPUTED_VALUE"""),"Alignment Forum")</f>
        <v>Alignment Forum</v>
      </c>
      <c r="F532">
        <f>IFERROR(__xludf.DUMMYFUNCTION("""COMPUTED_VALUE"""),2021.0)</f>
        <v>2021</v>
      </c>
      <c r="H532" s="3" t="str">
        <f>IFERROR(__xludf.DUMMYFUNCTION("""COMPUTED_VALUE"""),"AN #143")</f>
        <v>AN #143</v>
      </c>
      <c r="I532" t="str">
        <f>IFERROR(__xludf.DUMMYFUNCTION("""COMPUTED_VALUE"""),"Rohin")</f>
        <v>Rohin</v>
      </c>
      <c r="J532" t="str">
        <f>IFERROR(__xludf.DUMMYFUNCTION("""COMPUTED_VALUE"""),"This post and its comments discuss considerations that impact whether new PhD graduates interested in reducing AI x-risk should work in academia or industry.")</f>
        <v>This post and its comments discuss considerations that impact whether new PhD graduates interested in reducing AI x-risk should work in academia or industry.</v>
      </c>
    </row>
    <row r="533">
      <c r="A533" t="str">
        <f>IFERROR(__xludf.DUMMYFUNCTION("""COMPUTED_VALUE"""),"Field building")</f>
        <v>Field building</v>
      </c>
      <c r="B533" t="str">
        <f>IFERROR(__xludf.DUMMYFUNCTION("""COMPUTED_VALUE"""),"")</f>
        <v/>
      </c>
      <c r="C533" s="3" t="str">
        <f>IFERROR(__xludf.DUMMYFUNCTION("""COMPUTED_VALUE"""),"AI Governance Career Paths for Europeans")</f>
        <v>AI Governance Career Paths for Europeans</v>
      </c>
      <c r="D533" t="str">
        <f>IFERROR(__xludf.DUMMYFUNCTION("""COMPUTED_VALUE"""),"Anonymous")</f>
        <v>Anonymous</v>
      </c>
      <c r="E533" t="str">
        <f>IFERROR(__xludf.DUMMYFUNCTION("""COMPUTED_VALUE"""),"EA Forum")</f>
        <v>EA Forum</v>
      </c>
      <c r="F533">
        <f>IFERROR(__xludf.DUMMYFUNCTION("""COMPUTED_VALUE"""),2020.0)</f>
        <v>2020</v>
      </c>
      <c r="H533" s="3" t="str">
        <f>IFERROR(__xludf.DUMMYFUNCTION("""COMPUTED_VALUE"""),"AN #100")</f>
        <v>AN #100</v>
      </c>
      <c r="I533" t="str">
        <f>IFERROR(__xludf.DUMMYFUNCTION("""COMPUTED_VALUE"""),"Rohin")</f>
        <v>Rohin</v>
      </c>
      <c r="J533" t="str">
        <f>IFERROR(__xludf.DUMMYFUNCTION("""COMPUTED_VALUE"""),"Exactly what it sounds like.")</f>
        <v>Exactly what it sounds like.</v>
      </c>
    </row>
    <row r="534">
      <c r="A534" t="str">
        <f>IFERROR(__xludf.DUMMYFUNCTION("""COMPUTED_VALUE"""),"Field building")</f>
        <v>Field building</v>
      </c>
      <c r="B534" t="str">
        <f>IFERROR(__xludf.DUMMYFUNCTION("""COMPUTED_VALUE"""),"")</f>
        <v/>
      </c>
      <c r="C534" s="3" t="str">
        <f>IFERROR(__xludf.DUMMYFUNCTION("""COMPUTED_VALUE"""),"What I talk about when I talk about AI x-risk: 3 core claims I want machine learning researchers to address.")</f>
        <v>What I talk about when I talk about AI x-risk: 3 core claims I want machine learning researchers to address.</v>
      </c>
      <c r="D534" t="str">
        <f>IFERROR(__xludf.DUMMYFUNCTION("""COMPUTED_VALUE"""),"David Krueger")</f>
        <v>David Krueger</v>
      </c>
      <c r="E534" t="str">
        <f>IFERROR(__xludf.DUMMYFUNCTION("""COMPUTED_VALUE"""),"Alignment Forum")</f>
        <v>Alignment Forum</v>
      </c>
      <c r="F534">
        <f>IFERROR(__xludf.DUMMYFUNCTION("""COMPUTED_VALUE"""),2019.0)</f>
        <v>2019</v>
      </c>
      <c r="H534" s="3" t="str">
        <f>IFERROR(__xludf.DUMMYFUNCTION("""COMPUTED_VALUE"""),"AN #79")</f>
        <v>AN #79</v>
      </c>
      <c r="I534" t="str">
        <f>IFERROR(__xludf.DUMMYFUNCTION("""COMPUTED_VALUE"""),"Rohin")</f>
        <v>Rohin</v>
      </c>
      <c r="J534" t="str">
        <f>IFERROR(__xludf.DUMMYFUNCTION("""COMPUTED_VALUE"""),"When making the case for work on AI x-risk to other ML researchers, what should we focus on? This post suggests arguing for three core claims:
1. Due to Goodhart's law, instrumental goals, and safety-performance trade-offs, the development of advanced AI"&amp;" increases the risk of human extinction non-trivially.
2. To mitigate this x-risk, we need to know how to build safe systems, know that we know how to build safe systems, and prevent people from building unsafe systems.
3. So, we should mitigate AI x-risk"&amp;", as it is impactful, neglected, and challenging but tractable.")</f>
        <v>When making the case for work on AI x-risk to other ML researchers, what should we focus on? This post suggests arguing for three core claims:
1. Due to Goodhart's law, instrumental goals, and safety-performance trade-offs, the development of advanced AI increases the risk of human extinction non-trivially.
2. To mitigate this x-risk, we need to know how to build safe systems, know that we know how to build safe systems, and prevent people from building unsafe systems.
3. So, we should mitigate AI x-risk, as it is impactful, neglected, and challenging but tractable.</v>
      </c>
      <c r="K534" t="str">
        <f>IFERROR(__xludf.DUMMYFUNCTION("""COMPUTED_VALUE"""),"This is a nice concise case to make, but I think the bulk of the work is in splitting the first claim into subclaims: this is the part that is usually a sticking point (see also the next summary).")</f>
        <v>This is a nice concise case to make, but I think the bulk of the work is in splitting the first claim into subclaims: this is the part that is usually a sticking point (see also the next summary).</v>
      </c>
    </row>
    <row r="535">
      <c r="A535" t="str">
        <f>IFERROR(__xludf.DUMMYFUNCTION("""COMPUTED_VALUE"""),"Fixed point sequence")</f>
        <v>Fixed point sequence</v>
      </c>
      <c r="B535" t="str">
        <f>IFERROR(__xludf.DUMMYFUNCTION("""COMPUTED_VALUE"""),"")</f>
        <v/>
      </c>
      <c r="C535" s="3" t="str">
        <f>IFERROR(__xludf.DUMMYFUNCTION("""COMPUTED_VALUE"""),"Fixed Point Discussion")</f>
        <v>Fixed Point Discussion</v>
      </c>
      <c r="D535" t="str">
        <f>IFERROR(__xludf.DUMMYFUNCTION("""COMPUTED_VALUE"""),"Scott Garrabrant")</f>
        <v>Scott Garrabrant</v>
      </c>
      <c r="E535" t="str">
        <f>IFERROR(__xludf.DUMMYFUNCTION("""COMPUTED_VALUE"""),"Alignment Forum")</f>
        <v>Alignment Forum</v>
      </c>
      <c r="F535">
        <f>IFERROR(__xludf.DUMMYFUNCTION("""COMPUTED_VALUE"""),2018.0)</f>
        <v>2018</v>
      </c>
      <c r="H535" s="3" t="str">
        <f>IFERROR(__xludf.DUMMYFUNCTION("""COMPUTED_VALUE"""),"AN #34")</f>
        <v>AN #34</v>
      </c>
      <c r="I535" t="str">
        <f>IFERROR(__xludf.DUMMYFUNCTION("""COMPUTED_VALUE"""),"Rohin")</f>
        <v>Rohin</v>
      </c>
      <c r="J535" t="str">
        <f>IFERROR(__xludf.DUMMYFUNCTION("""COMPUTED_VALUE"""),"This post discusses the various fixed point theorems from a mathematical perspective, without commenting on their importance for AI alignment.")</f>
        <v>This post discusses the various fixed point theorems from a mathematical perspective, without commenting on their importance for AI alignment.</v>
      </c>
    </row>
    <row r="536">
      <c r="A536" t="str">
        <f>IFERROR(__xludf.DUMMYFUNCTION("""COMPUTED_VALUE"""),"Fixed point sequence")</f>
        <v>Fixed point sequence</v>
      </c>
      <c r="B536" t="str">
        <f>IFERROR(__xludf.DUMMYFUNCTION("""COMPUTED_VALUE"""),"")</f>
        <v/>
      </c>
      <c r="C536" s="3" t="str">
        <f>IFERROR(__xludf.DUMMYFUNCTION("""COMPUTED_VALUE"""),"Fixed Point Exercises")</f>
        <v>Fixed Point Exercises</v>
      </c>
      <c r="D536" t="str">
        <f>IFERROR(__xludf.DUMMYFUNCTION("""COMPUTED_VALUE"""),"Scott Garrabrant")</f>
        <v>Scott Garrabrant</v>
      </c>
      <c r="E536" t="str">
        <f>IFERROR(__xludf.DUMMYFUNCTION("""COMPUTED_VALUE"""),"Alignment Forum")</f>
        <v>Alignment Forum</v>
      </c>
      <c r="F536">
        <f>IFERROR(__xludf.DUMMYFUNCTION("""COMPUTED_VALUE"""),2018.0)</f>
        <v>2018</v>
      </c>
      <c r="H536" s="3" t="str">
        <f>IFERROR(__xludf.DUMMYFUNCTION("""COMPUTED_VALUE"""),"AN #33")</f>
        <v>AN #33</v>
      </c>
      <c r="I536" t="str">
        <f>IFERROR(__xludf.DUMMYFUNCTION("""COMPUTED_VALUE"""),"Rohin")</f>
        <v>Rohin</v>
      </c>
      <c r="J536" t="str">
        <f>IFERROR(__xludf.DUMMYFUNCTION("""COMPUTED_VALUE"""),"Scott's advice to people who want to learn math in order to work on agent foundations is to learn all of the fixed-point theorems across the different areas of math. This sequence will present a series of exercises designed to teach fixed-point theorems, "&amp;"and will then talk about core ideas in the theorems and how the theorems relate to alignment research.")</f>
        <v>Scott's advice to people who want to learn math in order to work on agent foundations is to learn all of the fixed-point theorems across the different areas of math. This sequence will present a series of exercises designed to teach fixed-point theorems, and will then talk about core ideas in the theorems and how the theorems relate to alignment research.</v>
      </c>
      <c r="K536" t="str">
        <f>IFERROR(__xludf.DUMMYFUNCTION("""COMPUTED_VALUE"""),"I'm not an expert on agent foundations, so I don't have an opinion worth saying here. I'm not going to cover the posts with exercises in the newsletter -- visit the [Alignment Forum](https://www.alignmentforum.org/) for that. I probably will cover the pos"&amp;"ts about how the theorems relate to agent foundations research.")</f>
        <v>I'm not an expert on agent foundations, so I don't have an opinion worth saying here. I'm not going to cover the posts with exercises in the newsletter -- visit the [Alignment Forum](https://www.alignmentforum.org/) for that. I probably will cover the posts about how the theorems relate to agent foundations research.</v>
      </c>
    </row>
    <row r="537">
      <c r="A537" t="str">
        <f>IFERROR(__xludf.DUMMYFUNCTION("""COMPUTED_VALUE"""),"Forecasting")</f>
        <v>Forecasting</v>
      </c>
      <c r="B537" t="str">
        <f>IFERROR(__xludf.DUMMYFUNCTION("""COMPUTED_VALUE"""),"Highlight")</f>
        <v>Highlight</v>
      </c>
      <c r="C537" s="3" t="str">
        <f>IFERROR(__xludf.DUMMYFUNCTION("""COMPUTED_VALUE"""),"AI and Efficiency")</f>
        <v>AI and Efficiency</v>
      </c>
      <c r="D537" t="str">
        <f>IFERROR(__xludf.DUMMYFUNCTION("""COMPUTED_VALUE"""),"Danny Hernandez, Tom Brown")</f>
        <v>Danny Hernandez, Tom Brown</v>
      </c>
      <c r="E537" t="str">
        <f>IFERROR(__xludf.DUMMYFUNCTION("""COMPUTED_VALUE"""),"OpenAI Blog")</f>
        <v>OpenAI Blog</v>
      </c>
      <c r="F537">
        <f>IFERROR(__xludf.DUMMYFUNCTION("""COMPUTED_VALUE"""),2020.0)</f>
        <v>2020</v>
      </c>
      <c r="H537" s="3" t="str">
        <f>IFERROR(__xludf.DUMMYFUNCTION("""COMPUTED_VALUE"""),"AN #99")</f>
        <v>AN #99</v>
      </c>
      <c r="I537" t="str">
        <f>IFERROR(__xludf.DUMMYFUNCTION("""COMPUTED_VALUE"""),"Flo")</f>
        <v>Flo</v>
      </c>
      <c r="J537" t="str">
        <f>IFERROR(__xludf.DUMMYFUNCTION("""COMPUTED_VALUE"""),"Given the &lt;@exponential increase@&gt;(@AI and Compute@) in compute used for state-of-the-art results in ML, one might come to think that there has been little algorithmic progress. This paper presents strong evidence against that hypothesis. We can roughly m"&amp;"easure algorithmic progress by tracking the compute needed to achieve a concrete performance benchmark over time. Doing so yields doubling times in efficiency (time until only half of the initial compute was needed for the same performance) of around 16 m"&amp;"onths for ImageNet, which is faster than Moore's law. Other tasks like translation as well as playing Go and Dota 2 exhibit even faster doubling times over short periods. As making a task feasible for the first time arguably presents more algorithmic prog"&amp;"ress than improving the efficiency of solving an already feasible task, actual progress might be even faster than these numbers suggest. However, the amount of data points is quite limited and it is unclear if these trends will persist and whether they wi"&amp;"ll generalize to other domains. Still, the authors conjecture that similar trends could be observed for tasks that received large amounts of investment and have seen substantial gains in performance. 
Combining these results with the increased available "&amp;"compute over time, the authors estimate that the effective training compute available to the largest AI experiments has increased by a factor of 7.5 million (!) in 2018 relative to 2012. 
A focus on efficiency instead of top performance allows actors wit"&amp;"h limited amounts of compute to contribute. Furthermore, models that reach a particular benchmark quickly seem like strong candidates for scaling up. This way, more efficient algorithms might act as a catalyst for further progress. There is a public [git "&amp;"repository](https://github.com/openai/ai-and-efficiency) to keep better track of algorithmic efficiency. ")</f>
        <v>Given the &lt;@exponential increase@&gt;(@AI and Compute@) in compute used for state-of-the-art results in ML, one might come to think that there has been little algorithmic progress. This paper presents strong evidence against that hypothesis. We can roughly measure algorithmic progress by tracking the compute needed to achieve a concrete performance benchmark over time. Doing so yields doubling times in efficiency (time until only half of the initial compute was needed for the same performance) of around 16 months for ImageNet, which is faster than Moore's law. Other tasks like translation as well as playing Go and Dota 2 exhibit even faster doubling times over short periods. As making a task feasible for the first time arguably presents more algorithmic progress than improving the efficiency of solving an already feasible task, actual progress might be even faster than these numbers suggest. However, the amount of data points is quite limited and it is unclear if these trends will persist and whether they will generalize to other domains. Still, the authors conjecture that similar trends could be observed for tasks that received large amounts of investment and have seen substantial gains in performance. 
Combining these results with the increased available compute over time, the authors estimate that the effective training compute available to the largest AI experiments has increased by a factor of 7.5 million (!) in 2018 relative to 2012. 
A focus on efficiency instead of top performance allows actors with limited amounts of compute to contribute. Furthermore, models that reach a particular benchmark quickly seem like strong candidates for scaling up. This way, more efficient algorithms might act as a catalyst for further progress. There is a public [git repository](https://github.com/openai/ai-and-efficiency) to keep better track of algorithmic efficiency. </v>
      </c>
      <c r="K537" t="str">
        <f>IFERROR(__xludf.DUMMYFUNCTION("""COMPUTED_VALUE"""),"Even though access to compute has surely helped with increased efficiency in ways that I would not really label as algorithmic progress (for example by enabling researchers to try more different hyperparameters), the aggregated numbers seem surprisingly h"&amp;"igh. This suggests that I either had not correctly internalized what problems AI is able to solve these days, or underestimated the difficulty of solving these problems. It would be quite interesting to see whether there are similar improvements in the sa"&amp;"mple efficiency of deep reinforcement learning, as I expect this to be a major bottleneck for the application of agentic AIs in the absence of accurate simulators for real-world decision making.")</f>
        <v>Even though access to compute has surely helped with increased efficiency in ways that I would not really label as algorithmic progress (for example by enabling researchers to try more different hyperparameters), the aggregated numbers seem surprisingly high. This suggests that I either had not correctly internalized what problems AI is able to solve these days, or underestimated the difficulty of solving these problems. It would be quite interesting to see whether there are similar improvements in the sample efficiency of deep reinforcement learning, as I expect this to be a major bottleneck for the application of agentic AIs in the absence of accurate simulators for real-world decision making.</v>
      </c>
    </row>
    <row r="538">
      <c r="A538" t="str">
        <f>IFERROR(__xludf.DUMMYFUNCTION("""COMPUTED_VALUE"""),"Forecasting")</f>
        <v>Forecasting</v>
      </c>
      <c r="B538" t="str">
        <f>IFERROR(__xludf.DUMMYFUNCTION("""COMPUTED_VALUE"""),"Highlight")</f>
        <v>Highlight</v>
      </c>
      <c r="C538" s="3" t="str">
        <f>IFERROR(__xludf.DUMMYFUNCTION("""COMPUTED_VALUE"""),"Discontinuous progress in history: an update")</f>
        <v>Discontinuous progress in history: an update</v>
      </c>
      <c r="D538" t="str">
        <f>IFERROR(__xludf.DUMMYFUNCTION("""COMPUTED_VALUE"""),"Katja Grace")</f>
        <v>Katja Grace</v>
      </c>
      <c r="E538" t="str">
        <f>IFERROR(__xludf.DUMMYFUNCTION("""COMPUTED_VALUE"""),"AI Impacts")</f>
        <v>AI Impacts</v>
      </c>
      <c r="F538">
        <f>IFERROR(__xludf.DUMMYFUNCTION("""COMPUTED_VALUE"""),2020.0)</f>
        <v>2020</v>
      </c>
      <c r="H538" s="3" t="str">
        <f>IFERROR(__xludf.DUMMYFUNCTION("""COMPUTED_VALUE"""),"AN #97")</f>
        <v>AN #97</v>
      </c>
      <c r="I538" t="str">
        <f>IFERROR(__xludf.DUMMYFUNCTION("""COMPUTED_VALUE"""),"Nicholas")</f>
        <v>Nicholas</v>
      </c>
      <c r="J538" t="str">
        <f>IFERROR(__xludf.DUMMYFUNCTION("""COMPUTED_VALUE"""),"One of the big questions in AI alignment is whether there will be a discontinuous AI takeoff (see &lt;@here@&gt;(@Clarifying some key hypotheses in AI alignment@) for some reasons why the question is decision-relevant). To get a better outside view, AI Impacts "&amp;"has been looking for large discontinuities in historical technological trends. A discontinuity is measured by how many years ahead of time that value is reached, relative to what would have been expected by extrapolating the trend. 
They found ten 100-ye"&amp;"ar discontinuous events, for example in ship size (The SS *Great Eastern*), the average speed of military payload across the Atlantic Ocean (the first ICBM), and the warmest temperature of superconduction (yttrium barium copper oxide). 
There are also s"&amp;"ome interesting negative examples of discontinuities. Particularly relevant to AI are AlexNet not being a discontinuity on the ImageNet benchmark and chess performance not having any discontinuities in Elo rating.")</f>
        <v>One of the big questions in AI alignment is whether there will be a discontinuous AI takeoff (see &lt;@here@&gt;(@Clarifying some key hypotheses in AI alignment@) for some reasons why the question is decision-relevant). To get a better outside view, AI Impacts has been looking for large discontinuities in historical technological trends. A discontinuity is measured by how many years ahead of time that value is reached, relative to what would have been expected by extrapolating the trend. 
They found ten 100-year discontinuous events, for example in ship size (The SS *Great Eastern*), the average speed of military payload across the Atlantic Ocean (the first ICBM), and the warmest temperature of superconduction (yttrium barium copper oxide). 
There are also some interesting negative examples of discontinuities. Particularly relevant to AI are AlexNet not being a discontinuity on the ImageNet benchmark and chess performance not having any discontinuities in Elo rating.</v>
      </c>
      <c r="K538" t="str">
        <f>IFERROR(__xludf.DUMMYFUNCTION("""COMPUTED_VALUE"""),"Ignoring the George Washington Bridge (which confuses both me and the authors), I’d roughly categorize the causes of these discontinuities as
- 3 of them were due to a concerted but apparently misplaced effort towards something others weren’t trying to do"&amp;". These are Pyramid of Djoser, SS Great Eastern, and the Paris Gun.
- 2 of them were due to the Atlantic Ocean causing a threshold effect (as they explain in the post). These are the ICBM and the first nonstop transatlantic flight.
- 4 of them were due to"&amp;" a new technological breakthrough followed by increased investment and a faster rate of progress. These are the two telegraph cables, nuclear weapons, and superconductors.
Of these, the final category seems the most relevant to AGI timelines, and I could"&amp;" imagine AGI development following a similar trajectory, where a major breakthrough causes a large amount of investment and then we have much faster progress on AI going forward.
I was quite surprised that AlexNet did not represent a discontinuity on Ima"&amp;"geNet performance. It is widely regarded to have kicked off deep learning in the computer vision community. I’m not sure if this is because the discontinuity metric they use doesn’t correspond with my sense of a “breakthrough”, because there were only two"&amp;" years of ImageNet beforehand, or because the vision community is just mistakenly attributing gradual progress to one major event.
**Rohin's opinion:** I agree with Nicholas that the final category seems most relevant to AI progress. Note though that eve"&amp;"n for this analogy to hold, you need to imagine a major AI breakthrough, since as Nicholas pointed out, these discontinuities were caused by a radically new technology (telegraph cables replacing ships, nuclear weapons replacing conventional bombs, and ce"&amp;"ramic superconductors replacing alloy superconductors). This doesn't seem likely in worlds where progress is driven primarily by &lt;@compute@&gt;(@AI and Compute@), but could happen if (as academics often suggest) deep learning hits a wall and we need to find "&amp;"other AI algorithms to make progress.")</f>
        <v>Ignoring the George Washington Bridge (which confuses both me and the authors), I’d roughly categorize the causes of these discontinuities as
- 3 of them were due to a concerted but apparently misplaced effort towards something others weren’t trying to do. These are Pyramid of Djoser, SS Great Eastern, and the Paris Gun.
- 2 of them were due to the Atlantic Ocean causing a threshold effect (as they explain in the post). These are the ICBM and the first nonstop transatlantic flight.
- 4 of them were due to a new technological breakthrough followed by increased investment and a faster rate of progress. These are the two telegraph cables, nuclear weapons, and superconductors.
Of these, the final category seems the most relevant to AGI timelines, and I could imagine AGI development following a similar trajectory, where a major breakthrough causes a large amount of investment and then we have much faster progress on AI going forward.
I was quite surprised that AlexNet did not represent a discontinuity on ImageNet performance. It is widely regarded to have kicked off deep learning in the computer vision community. I’m not sure if this is because the discontinuity metric they use doesn’t correspond with my sense of a “breakthrough”, because there were only two years of ImageNet beforehand, or because the vision community is just mistakenly attributing gradual progress to one major event.
**Rohin's opinion:** I agree with Nicholas that the final category seems most relevant to AI progress. Note though that even for this analogy to hold, you need to imagine a major AI breakthrough, since as Nicholas pointed out, these discontinuities were caused by a radically new technology (telegraph cables replacing ships, nuclear weapons replacing conventional bombs, and ceramic superconductors replacing alloy superconductors). This doesn't seem likely in worlds where progress is driven primarily by &lt;@compute@&gt;(@AI and Compute@), but could happen if (as academics often suggest) deep learning hits a wall and we need to find other AI algorithms to make progress.</v>
      </c>
    </row>
    <row r="539">
      <c r="A539" t="str">
        <f>IFERROR(__xludf.DUMMYFUNCTION("""COMPUTED_VALUE"""),"Forecasting")</f>
        <v>Forecasting</v>
      </c>
      <c r="B539" t="str">
        <f>IFERROR(__xludf.DUMMYFUNCTION("""COMPUTED_VALUE"""),"Highlight")</f>
        <v>Highlight</v>
      </c>
      <c r="C539" s="3" t="str">
        <f>IFERROR(__xludf.DUMMYFUNCTION("""COMPUTED_VALUE"""),"Description vs simulated prediction")</f>
        <v>Description vs simulated prediction</v>
      </c>
      <c r="D539" t="str">
        <f>IFERROR(__xludf.DUMMYFUNCTION("""COMPUTED_VALUE"""),"Rick Korzekwa")</f>
        <v>Rick Korzekwa</v>
      </c>
      <c r="E539" t="str">
        <f>IFERROR(__xludf.DUMMYFUNCTION("""COMPUTED_VALUE"""),"AI Impacts")</f>
        <v>AI Impacts</v>
      </c>
      <c r="F539">
        <f>IFERROR(__xludf.DUMMYFUNCTION("""COMPUTED_VALUE"""),2020.0)</f>
        <v>2020</v>
      </c>
      <c r="H539" s="3" t="str">
        <f>IFERROR(__xludf.DUMMYFUNCTION("""COMPUTED_VALUE"""),"AN #97")</f>
        <v>AN #97</v>
      </c>
      <c r="I539" t="str">
        <f>IFERROR(__xludf.DUMMYFUNCTION("""COMPUTED_VALUE"""),"Nicholas")</f>
        <v>Nicholas</v>
      </c>
      <c r="J539" t="str">
        <f>IFERROR(__xludf.DUMMYFUNCTION("""COMPUTED_VALUE"""),"AI Impacts’ investigation into discontinuous progress intends to answer two questions:
1. How did tech progress happen in the past?
2. How well could it have been predicted beforehand?
These can diverge when we have different information available now th"&amp;"an in the past. For example, we could have more information because later data clarified trends or because the information is more accessible. We might have less information because we take an outside view (looking at trends) rather than an inside view (k"&amp;"nowing the specific bottlenecks and what might need to be overcome).
The post then outlines some tradeoffs between answering these two questions and settles on primarily focusing on the first: describing tech progress in the past. ")</f>
        <v>AI Impacts’ investigation into discontinuous progress intends to answer two questions:
1. How did tech progress happen in the past?
2. How well could it have been predicted beforehand?
These can diverge when we have different information available now than in the past. For example, we could have more information because later data clarified trends or because the information is more accessible. We might have less information because we take an outside view (looking at trends) rather than an inside view (knowing the specific bottlenecks and what might need to be overcome).
The post then outlines some tradeoffs between answering these two questions and settles on primarily focusing on the first: describing tech progress in the past. </v>
      </c>
      <c r="K539" t="str">
        <f>IFERROR(__xludf.DUMMYFUNCTION("""COMPUTED_VALUE"""),"I don’t have a strong opinion between which of these two questions is most important to focus on. It makes sense to me to work on them both in parallel since the data required is likely to be the same. My concern with this approach is that there is no cle"&amp;"ar denominator to the discontinuities they find. The case studies convince me that discontinuities **can** happen, but I really want to know the **frequency** with which they happen.
**Rohin's opinion:** Given that we want to use this to forecast AI prog"&amp;"ress, it seems like we primarily care about the second question (simulated prediction). However, it's _really hard_ to put yourselves in the shoes of someone in the past, making sure to have exactly the information that was available at the time; as a res"&amp;"ult I broadly agree with the decision to focus more on a description of what happened.")</f>
        <v>I don’t have a strong opinion between which of these two questions is most important to focus on. It makes sense to me to work on them both in parallel since the data required is likely to be the same. My concern with this approach is that there is no clear denominator to the discontinuities they find. The case studies convince me that discontinuities **can** happen, but I really want to know the **frequency** with which they happen.
**Rohin's opinion:** Given that we want to use this to forecast AI progress, it seems like we primarily care about the second question (simulated prediction). However, it's _really hard_ to put yourselves in the shoes of someone in the past, making sure to have exactly the information that was available at the time; as a result I broadly agree with the decision to focus more on a description of what happened.</v>
      </c>
    </row>
    <row r="540">
      <c r="A540" t="str">
        <f>IFERROR(__xludf.DUMMYFUNCTION("""COMPUTED_VALUE"""),"Forecasting")</f>
        <v>Forecasting</v>
      </c>
      <c r="B540" t="str">
        <f>IFERROR(__xludf.DUMMYFUNCTION("""COMPUTED_VALUE"""),"Highlight")</f>
        <v>Highlight</v>
      </c>
      <c r="C540" s="3" t="str">
        <f>IFERROR(__xludf.DUMMYFUNCTION("""COMPUTED_VALUE"""),"AI and Compute")</f>
        <v>AI and Compute</v>
      </c>
      <c r="D540" t="str">
        <f>IFERROR(__xludf.DUMMYFUNCTION("""COMPUTED_VALUE"""),"Dario Amodei and Danny Hernandez")</f>
        <v>Dario Amodei and Danny Hernandez</v>
      </c>
      <c r="E540" t="str">
        <f>IFERROR(__xludf.DUMMYFUNCTION("""COMPUTED_VALUE"""),"OpenAI Blog")</f>
        <v>OpenAI Blog</v>
      </c>
      <c r="F540">
        <f>IFERROR(__xludf.DUMMYFUNCTION("""COMPUTED_VALUE"""),2018.0)</f>
        <v>2018</v>
      </c>
      <c r="H540" s="3" t="str">
        <f>IFERROR(__xludf.DUMMYFUNCTION("""COMPUTED_VALUE"""),"AN #7")</f>
        <v>AN #7</v>
      </c>
      <c r="I540" t="str">
        <f>IFERROR(__xludf.DUMMYFUNCTION("""COMPUTED_VALUE"""),"Rohin")</f>
        <v>Rohin</v>
      </c>
      <c r="J540" t="str">
        <f>IFERROR(__xludf.DUMMYFUNCTION("""COMPUTED_VALUE"""),"Since 2012, when the deep learning revolution began with AlexNet, the amount of compute used in the largest-scale experiments has been doubling _every 3.5 months_. Initially, people started to use GPUs to scale up, but there wasn't a huge amount o f inter"&amp;"est. In 2014-16, as interest in deep learning really began to take off, people started to use a lot of compute to get good results -- but parallelism stopped helping beyond a certain point (~100 GPUs) because the parameter updates from the data were becom"&amp;"ing too stale. Since then, we've had algorithmic improvements that allow us to take advantage of more parallelism (huge batch sizes, architecture search, expert iteration), and this has let us scale up the amount of compute thrown at the problem.")</f>
        <v>Since 2012, when the deep learning revolution began with AlexNet, the amount of compute used in the largest-scale experiments has been doubling _every 3.5 months_. Initially, people started to use GPUs to scale up, but there wasn't a huge amount o f interest. In 2014-16, as interest in deep learning really began to take off, people started to use a lot of compute to get good results -- but parallelism stopped helping beyond a certain point (~100 GPUs) because the parameter updates from the data were becoming too stale. Since then, we've had algorithmic improvements that allow us to take advantage of more parallelism (huge batch sizes, architecture search, expert iteration), and this has let us scale up the amount of compute thrown at the problem.</v>
      </c>
      <c r="K540" t="str">
        <f>IFERROR(__xludf.DUMMYFUNCTION("""COMPUTED_VALUE"""),"I did know that the amount of compute used was growing fast, but a 3.5 month doubling time _for 6 years running_ is _huge_, and there's no reason to expect that it will stop now. It's also interesting to see what made it onto the graph -- there's image cl"&amp;"assification, machine translation, and neural architecture search (all of which have clear economic incentives), but some of the largest ones are by projects aiming to build AGI (AlphaGo Zero, AlphaZero, and Dota). Notably, deep reinforcement learning jus"&amp;"t barely makes it on the graph, with DQN two orders of magnitude lower than any other point on the graph. I'm really curious what deep RL could solve given AlphaGo levels of compute.")</f>
        <v>I did know that the amount of compute used was growing fast, but a 3.5 month doubling time _for 6 years running_ is _huge_, and there's no reason to expect that it will stop now. It's also interesting to see what made it onto the graph -- there's image classification, machine translation, and neural architecture search (all of which have clear economic incentives), but some of the largest ones are by projects aiming to build AGI (AlphaGo Zero, AlphaZero, and Dota). Notably, deep reinforcement learning just barely makes it on the graph, with DQN two orders of magnitude lower than any other point on the graph. I'm really curious what deep RL could solve given AlphaGo levels of compute.</v>
      </c>
    </row>
    <row r="541">
      <c r="A541" t="str">
        <f>IFERROR(__xludf.DUMMYFUNCTION("""COMPUTED_VALUE"""),"Forecasting")</f>
        <v>Forecasting</v>
      </c>
      <c r="B541" t="str">
        <f>IFERROR(__xludf.DUMMYFUNCTION("""COMPUTED_VALUE"""),"Highlight")</f>
        <v>Highlight</v>
      </c>
      <c r="C541" s="3" t="str">
        <f>IFERROR(__xludf.DUMMYFUNCTION("""COMPUTED_VALUE"""),"Reinterpreting “AI and Compute”")</f>
        <v>Reinterpreting “AI and Compute”</v>
      </c>
      <c r="D541" t="str">
        <f>IFERROR(__xludf.DUMMYFUNCTION("""COMPUTED_VALUE"""),"Ben Garfinkel")</f>
        <v>Ben Garfinkel</v>
      </c>
      <c r="E541" t="str">
        <f>IFERROR(__xludf.DUMMYFUNCTION("""COMPUTED_VALUE"""),"AI Impacts")</f>
        <v>AI Impacts</v>
      </c>
      <c r="F541">
        <f>IFERROR(__xludf.DUMMYFUNCTION("""COMPUTED_VALUE"""),2018.0)</f>
        <v>2018</v>
      </c>
      <c r="H541" s="3" t="str">
        <f>IFERROR(__xludf.DUMMYFUNCTION("""COMPUTED_VALUE"""),"AN #38")</f>
        <v>AN #38</v>
      </c>
      <c r="I541" t="str">
        <f>IFERROR(__xludf.DUMMYFUNCTION("""COMPUTED_VALUE"""),"Rohin")</f>
        <v>Rohin</v>
      </c>
      <c r="J541" t="str">
        <f>IFERROR(__xludf.DUMMYFUNCTION("""COMPUTED_VALUE"""),"[Data](https://blog.openai.com/ai-and-compute/) from OpenAI showed that the amount of compute used by the most expensive projects had been growing exponentially with a doubling time of three months. While it is easy to interpret this trend as suggesting t"&amp;"hat we will get AGI sooner than expected, it is also possible to interpret this trend as evidence in the opposite direction. A surprisingly high rate of increase in amount of compute used suggests that we have been _overestimating_ how helpful more comput"&amp;"e is. Since this trend [can't be sustainable over decades](https://aiimpacts.org/interpreting-ai-compute-trends/), we should expect that progress will slow down, and so this data is evidence _against_ near-term AGI.")</f>
        <v>[Data](https://blog.openai.com/ai-and-compute/) from OpenAI showed that the amount of compute used by the most expensive projects had been growing exponentially with a doubling time of three months. While it is easy to interpret this trend as suggesting that we will get AGI sooner than expected, it is also possible to interpret this trend as evidence in the opposite direction. A surprisingly high rate of increase in amount of compute used suggests that we have been _overestimating_ how helpful more compute is. Since this trend [can't be sustainable over decades](https://aiimpacts.org/interpreting-ai-compute-trends/), we should expect that progress will slow down, and so this data is evidence _against_ near-term AGI.</v>
      </c>
      <c r="K541" t="str">
        <f>IFERROR(__xludf.DUMMYFUNCTION("""COMPUTED_VALUE"""),"The surprising part of the data is how fast compute has been growing. One common part of AGI timelines is whether you think compute or algorithms are the bottleneck. Assuming you had a good sense of progress in AI, but were surprised by how fast compute g"&amp;"rew, you should update against the relative benefits of compute.
This post seems to be about the way you relate compute to AGI timelines, ignoring algorithms altogether. If you think of AGI as requiring a specific amount of compute that is determined ind"&amp;"ependently of current AI progress (for example, by estimating the compute used by a human brain), then the evidence should shorten your timelines. If you instead predict how close AGI is by looking at the rate of progress in AI and extrapolating over time"&amp;", then to first order this data should not affect timelines (since compute is not part of the model), and to second order it should lengthen them for the reasons in this post.")</f>
        <v>The surprising part of the data is how fast compute has been growing. One common part of AGI timelines is whether you think compute or algorithms are the bottleneck. Assuming you had a good sense of progress in AI, but were surprised by how fast compute grew, you should update against the relative benefits of compute.
This post seems to be about the way you relate compute to AGI timelines, ignoring algorithms altogether. If you think of AGI as requiring a specific amount of compute that is determined independently of current AI progress (for example, by estimating the compute used by a human brain), then the evidence should shorten your timelines. If you instead predict how close AGI is by looking at the rate of progress in AI and extrapolating over time, then to first order this data should not affect timelines (since compute is not part of the model), and to second order it should lengthen them for the reasons in this post.</v>
      </c>
      <c r="M541" s="3" t="str">
        <f>IFERROR(__xludf.DUMMYFUNCTION("""COMPUTED_VALUE"""),"AI and Compute")</f>
        <v>AI and Compute</v>
      </c>
    </row>
    <row r="542">
      <c r="A542" t="str">
        <f>IFERROR(__xludf.DUMMYFUNCTION("""COMPUTED_VALUE"""),"Forecasting")</f>
        <v>Forecasting</v>
      </c>
      <c r="B542" t="str">
        <f>IFERROR(__xludf.DUMMYFUNCTION("""COMPUTED_VALUE"""),"Highlight")</f>
        <v>Highlight</v>
      </c>
      <c r="C542" s="3" t="str">
        <f>IFERROR(__xludf.DUMMYFUNCTION("""COMPUTED_VALUE"""),"Discussion of ""Takeoff Speeds""")</f>
        <v>Discussion of "Takeoff Speeds"</v>
      </c>
      <c r="D542" t="str">
        <f>IFERROR(__xludf.DUMMYFUNCTION("""COMPUTED_VALUE"""),"Eliezer Yudkowsky and Paul Christiano")</f>
        <v>Eliezer Yudkowsky and Paul Christiano</v>
      </c>
      <c r="E542" t="str">
        <f>IFERROR(__xludf.DUMMYFUNCTION("""COMPUTED_VALUE"""),"Alignment Forum")</f>
        <v>Alignment Forum</v>
      </c>
      <c r="F542">
        <f>IFERROR(__xludf.DUMMYFUNCTION("""COMPUTED_VALUE"""),2021.0)</f>
        <v>2021</v>
      </c>
      <c r="H542" s="3" t="str">
        <f>IFERROR(__xludf.DUMMYFUNCTION("""COMPUTED_VALUE"""),"AN #171")</f>
        <v>AN #171</v>
      </c>
      <c r="I542" t="str">
        <f>IFERROR(__xludf.DUMMYFUNCTION("""COMPUTED_VALUE"""),"Rohin")</f>
        <v>Rohin</v>
      </c>
      <c r="J542" t="str">
        <f>IFERROR(__xludf.DUMMYFUNCTION("""COMPUTED_VALUE"""),"This post focuses on the question of whether we should expect AI progress to look discontinuous or not. It seemed to me that the two participants were mostly talking past each other, and so I’ll summarize their views separately and not discuss the parts w"&amp;"here they were attempting to address each other’s views.
Some ideas behind the “discontinuous” view:
1. When things are made up of a bunch of parts, you only get impact once all of the parts are working. So, if you have, say, 19 out of 20 parts done, the"&amp;"re still won’t be much impact, and then once you get the 20th part, then there is a huge impact, which looks like a discontinuity.
2. A continuous change in inputs can lead to a discontinuous change in outputs or impact. Continuously increasing the amount"&amp;" of fissile material leads to a discontinuous change from “inert-looking lump” to “nuclear explosion”. Continuously scaling up a language model from GPT-2 to GPT-3 leads to many new capabilities, such as few-shot learning. A misaligned AI that is only cap"&amp;"able of concealing 95% of its deceptive activities will not perform any such activities; it will only strike once it is scaled up to be capable of concealing 100% of its activities.
3. Fundamentally new approaches to a problem will often have prototypes w"&amp;"hich didn’t have much impact. The difference is that they will scale much better, and so once they start having an impact this will look like a discontinuity in the rate of improvement on the problem.
4. The evolution from chimps to humans tells us that t"&amp;"here is, within the space of possible mind designs, an area in which you can get from shallow, non-widely-generalizing cognition to deep, much-more-generalizing cognition, with only relatively small changes.
5. Our civilization tends to prevent people fro"&amp;"m doing things via bureaucracy and regulatory constraints, so even if there are productivity gains to be had from applications of non-scary AI, we probably won’t see them; as a result we probably do not see GWP growth before the point where an AI can igno"&amp;"re bureaucracy and regulatory constraints, which makes it look discontinuous.
Some ideas behind the “continuous” view:
1. When people are optimizing hard in pursuit of a metric, then the metric tends to grow smoothly. While individual groups may find new"&amp;" ideas that improve the metric, those new ideas are unlikely to change the metric drastically more than previously observed changes in the metric.
2. A good heuristic for forecasting is to estimate (1) the returns to performance from additional effort, us"&amp;"ing historical data, and (2) the amount of effort currently being applied. These can then be combined to give a forecast.
3. How smooth and predictable the improvement is depends on how much effort is being put in. In terms of effort put in currently, cod"&amp;"ing assistants &lt; machine translation &lt; semiconductors, as a result we should expect semiconductor improvement to be smoother than machine translation improvement, which in turn will be smoother than coding assistant improvement.
4. In AI we will probably "&amp;"have crappy versions of economically useful systems before we have good versions of those systems. By the time we have good versions, people will be throwing lots of effort at the problem. For example, Codex is a crappy version of a coding assistant; such"&amp;" assistants will now improve over time in a somewhat smooth way.
There’s further discussion on the differences between these views in a [subsequent post](https://www.alignmentforum.org/posts/7MCqRnZzvszsxgtJi/christiano-cotra-and-yudkowsky-on-ai-progress"&amp;").")</f>
        <v>This post focuses on the question of whether we should expect AI progress to look discontinuous or not. It seemed to me that the two participants were mostly talking past each other, and so I’ll summarize their views separately and not discuss the parts where they were attempting to address each other’s views.
Some ideas behind the “discontinuous” view:
1. When things are made up of a bunch of parts, you only get impact once all of the parts are working. So, if you have, say, 19 out of 20 parts done, there still won’t be much impact, and then once you get the 20th part, then there is a huge impact, which looks like a discontinuity.
2. A continuous change in inputs can lead to a discontinuous change in outputs or impact. Continuously increasing the amount of fissile material leads to a discontinuous change from “inert-looking lump” to “nuclear explosion”. Continuously scaling up a language model from GPT-2 to GPT-3 leads to many new capabilities, such as few-shot learning. A misaligned AI that is only capable of concealing 95% of its deceptive activities will not perform any such activities; it will only strike once it is scaled up to be capable of concealing 100% of its activities.
3. Fundamentally new approaches to a problem will often have prototypes which didn’t have much impact. The difference is that they will scale much better, and so once they start having an impact this will look like a discontinuity in the rate of improvement on the problem.
4. The evolution from chimps to humans tells us that there is, within the space of possible mind designs, an area in which you can get from shallow, non-widely-generalizing cognition to deep, much-more-generalizing cognition, with only relatively small changes.
5. Our civilization tends to prevent people from doing things via bureaucracy and regulatory constraints, so even if there are productivity gains to be had from applications of non-scary AI, we probably won’t see them; as a result we probably do not see GWP growth before the point where an AI can ignore bureaucracy and regulatory constraints, which makes it look discontinuous.
Some ideas behind the “continuous” view:
1. When people are optimizing hard in pursuit of a metric, then the metric tends to grow smoothly. While individual groups may find new ideas that improve the metric, those new ideas are unlikely to change the metric drastically more than previously observed changes in the metric.
2. A good heuristic for forecasting is to estimate (1) the returns to performance from additional effort, using historical data, and (2) the amount of effort currently being applied. These can then be combined to give a forecast.
3. How smooth and predictable the improvement is depends on how much effort is being put in. In terms of effort put in currently, coding assistants &lt; machine translation &lt; semiconductors, as a result we should expect semiconductor improvement to be smoother than machine translation improvement, which in turn will be smoother than coding assistant improvement.
4. In AI we will probably have crappy versions of economically useful systems before we have good versions of those systems. By the time we have good versions, people will be throwing lots of effort at the problem. For example, Codex is a crappy version of a coding assistant; such assistants will now improve over time in a somewhat smooth way.
There’s further discussion on the differences between these views in a [subsequent post](https://www.alignmentforum.org/posts/7MCqRnZzvszsxgtJi/christiano-cotra-and-yudkowsky-on-ai-progress).</v>
      </c>
      <c r="K542" t="str">
        <f>IFERROR(__xludf.DUMMYFUNCTION("""COMPUTED_VALUE"""),"The ideas I’ve listed in this summary seem quite compatible to me; I believe all of them to at least some degree (though perhaps not in the same way as the authors). I am not sure if either author would strongly disagree with any of the claims on this lis"&amp;"t. (Of course, this does not mean that they agree -- presumably there are some other claims that have not yet been made explicit on which they disagree.)")</f>
        <v>The ideas I’ve listed in this summary seem quite compatible to me; I believe all of them to at least some degree (though perhaps not in the same way as the authors). I am not sure if either author would strongly disagree with any of the claims on this list. (Of course, this does not mean that they agree -- presumably there are some other claims that have not yet been made explicit on which they disagree.)</v>
      </c>
    </row>
    <row r="543">
      <c r="A543" t="str">
        <f>IFERROR(__xludf.DUMMYFUNCTION("""COMPUTED_VALUE"""),"Forecasting")</f>
        <v>Forecasting</v>
      </c>
      <c r="B543" t="str">
        <f>IFERROR(__xludf.DUMMYFUNCTION("""COMPUTED_VALUE"""),"Highlight")</f>
        <v>Highlight</v>
      </c>
      <c r="C543" s="3" t="str">
        <f>IFERROR(__xludf.DUMMYFUNCTION("""COMPUTED_VALUE"""),"Measuring Coding Challenge Competence With APPS")</f>
        <v>Measuring Coding Challenge Competence With APPS</v>
      </c>
      <c r="D543" t="str">
        <f>IFERROR(__xludf.DUMMYFUNCTION("""COMPUTED_VALUE"""),"Dan Hendrycks*, Steven Basart*, Saurav Kadavath, Mantas Mazeika, Akul Arora, Ethan Guo, Collin Burns, Samir Puranik, Horace He, Dawn Song, Jacob Steinhardt")</f>
        <v>Dan Hendrycks*, Steven Basart*, Saurav Kadavath, Mantas Mazeika, Akul Arora, Ethan Guo, Collin Burns, Samir Puranik, Horace He, Dawn Song, Jacob Steinhardt</v>
      </c>
      <c r="E543" t="str">
        <f>IFERROR(__xludf.DUMMYFUNCTION("""COMPUTED_VALUE"""),"arXiv")</f>
        <v>arXiv</v>
      </c>
      <c r="F543">
        <f>IFERROR(__xludf.DUMMYFUNCTION("""COMPUTED_VALUE"""),2021.0)</f>
        <v>2021</v>
      </c>
      <c r="H543" s="3" t="str">
        <f>IFERROR(__xludf.DUMMYFUNCTION("""COMPUTED_VALUE"""),"AN #164")</f>
        <v>AN #164</v>
      </c>
      <c r="I543" t="str">
        <f>IFERROR(__xludf.DUMMYFUNCTION("""COMPUTED_VALUE"""),"Rohin")</f>
        <v>Rohin</v>
      </c>
      <c r="J543" t="str">
        <f>IFERROR(__xludf.DUMMYFUNCTION("""COMPUTED_VALUE"""),"The APPS dataset measures programming competence by testing models the way humans are tested: we provide them with natural language descriptions of the code to be written and then evaluate whether the code they generate successfully solves the problem by "&amp;"testing the proposed solutions. The authors collect a dataset of 3,639 introductory problems (solvable by humans with 1-2 years of experience), 5,000 interview problems (comparable difficulty to interview questions), and 1,361 competition problems (compar"&amp;"able difficulty to questions in programming competitions). In addition, the test set contains 1,000 introductory problems, 3,000 interview problems, and 1,000 competition problems.
They use this benchmark to test four models: two variants of GPT-2 (0.1B "&amp;"params and 1.5B params), GPT-Neo (2.7B params), and GPT-3 (175B params). GPT-3 is prompted with examples; all other models are finetuned on a dataset collected from GitHub. The authors find that:
1. Finetuning makes a big difference in performance: GPT-3"&amp;" only solves 0.2% of introductory problems, while the finetuned GPT-2-0.1B model solves 1% of such problems.
2. Model performance increases with size, as you would expect: GPT-Neo performs best, solving 3.9% of problems.
3. Syntax errors in generated code"&amp;" drop sharply as model performance improves: for introductory problems, GPT-3 has syntax errors in slightly under 40% of generations, while GPT-Neo has under 1%.
4. Performance can be improved by sampling the best of multiple generated programs: a beam se"&amp;"arch for 5 programs boosts GPT-Neo’s performance from 3.9% to 5.5% on introductory problems.
5. While no model synthesizes a correct solution to a competition level program, they do sometimes generate solutions that pass some of the test cases: for exampl"&amp;"e, GPT-Neo passes 6.5% of test cases.")</f>
        <v>The APPS dataset measures programming competence by testing models the way humans are tested: we provide them with natural language descriptions of the code to be written and then evaluate whether the code they generate successfully solves the problem by testing the proposed solutions. The authors collect a dataset of 3,639 introductory problems (solvable by humans with 1-2 years of experience), 5,000 interview problems (comparable difficulty to interview questions), and 1,361 competition problems (comparable difficulty to questions in programming competitions). In addition, the test set contains 1,000 introductory problems, 3,000 interview problems, and 1,000 competition problems.
They use this benchmark to test four models: two variants of GPT-2 (0.1B params and 1.5B params), GPT-Neo (2.7B params), and GPT-3 (175B params). GPT-3 is prompted with examples; all other models are finetuned on a dataset collected from GitHub. The authors find that:
1. Finetuning makes a big difference in performance: GPT-3 only solves 0.2% of introductory problems, while the finetuned GPT-2-0.1B model solves 1% of such problems.
2. Model performance increases with size, as you would expect: GPT-Neo performs best, solving 3.9% of problems.
3. Syntax errors in generated code drop sharply as model performance improves: for introductory problems, GPT-3 has syntax errors in slightly under 40% of generations, while GPT-Neo has under 1%.
4. Performance can be improved by sampling the best of multiple generated programs: a beam search for 5 programs boosts GPT-Neo’s performance from 3.9% to 5.5% on introductory problems.
5. While no model synthesizes a correct solution to a competition level program, they do sometimes generate solutions that pass some of the test cases: for example, GPT-Neo passes 6.5% of test cases.</v>
      </c>
      <c r="K543" t="str">
        <f>IFERROR(__xludf.DUMMYFUNCTION("""COMPUTED_VALUE"""),"While the previous paper focused on how we could make _maximal use_ of existing models for program synthesis, this paper is much more focused on how we can _measure_ the capabilities of models. This leads to quite a bit of difference in what they focus on"&amp;": for example, the highlighted paper treats the strategy of generating multiple possible answers as a fundamental approach to study, while this paper considers it briefly in a single subsection.
Although the introductory problems in the APPS dataset seem"&amp;"ed to me to be comparable to those in the MBPP dataset from the previous paper, models do significantly better on MBPP. A model slightly smaller than GPT-3 has a ~17% chance of solving a random MBPP problem in a single sample and ~10% if it is not given a"&amp;"ny example test cases; in contrast for introductory APPS problems GPT-3 is at 0.2%. I'm not sure whether this is because the introductory problems in APPS are harder, or if the format of the APPS problems is harder for the model to work with, or if this p"&amp;"aper didn't do the prompt tuning that the previous paper found was crucial, or something else entirely.")</f>
        <v>While the previous paper focused on how we could make _maximal use_ of existing models for program synthesis, this paper is much more focused on how we can _measure_ the capabilities of models. This leads to quite a bit of difference in what they focus on: for example, the highlighted paper treats the strategy of generating multiple possible answers as a fundamental approach to study, while this paper considers it briefly in a single subsection.
Although the introductory problems in the APPS dataset seemed to me to be comparable to those in the MBPP dataset from the previous paper, models do significantly better on MBPP. A model slightly smaller than GPT-3 has a ~17% chance of solving a random MBPP problem in a single sample and ~10% if it is not given any example test cases; in contrast for introductory APPS problems GPT-3 is at 0.2%. I'm not sure whether this is because the introductory problems in APPS are harder, or if the format of the APPS problems is harder for the model to work with, or if this paper didn't do the prompt tuning that the previous paper found was crucial, or something else entirely.</v>
      </c>
    </row>
    <row r="544">
      <c r="A544" t="str">
        <f>IFERROR(__xludf.DUMMYFUNCTION("""COMPUTED_VALUE"""),"Forecasting")</f>
        <v>Forecasting</v>
      </c>
      <c r="B544" t="str">
        <f>IFERROR(__xludf.DUMMYFUNCTION("""COMPUTED_VALUE"""),"Highlight")</f>
        <v>Highlight</v>
      </c>
      <c r="C544" s="3" t="str">
        <f>IFERROR(__xludf.DUMMYFUNCTION("""COMPUTED_VALUE"""),"Could Advanced AI Drive Explosive Economic Growth?")</f>
        <v>Could Advanced AI Drive Explosive Economic Growth?</v>
      </c>
      <c r="D544" t="str">
        <f>IFERROR(__xludf.DUMMYFUNCTION("""COMPUTED_VALUE"""),"Tom Davidson")</f>
        <v>Tom Davidson</v>
      </c>
      <c r="E544" t="str">
        <f>IFERROR(__xludf.DUMMYFUNCTION("""COMPUTED_VALUE"""),"Open Philanthropy")</f>
        <v>Open Philanthropy</v>
      </c>
      <c r="F544">
        <f>IFERROR(__xludf.DUMMYFUNCTION("""COMPUTED_VALUE"""),2021.0)</f>
        <v>2021</v>
      </c>
      <c r="H544" s="3" t="str">
        <f>IFERROR(__xludf.DUMMYFUNCTION("""COMPUTED_VALUE"""),"AN #154")</f>
        <v>AN #154</v>
      </c>
      <c r="I544" t="str">
        <f>IFERROR(__xludf.DUMMYFUNCTION("""COMPUTED_VALUE"""),"Rohin")</f>
        <v>Rohin</v>
      </c>
      <c r="J544" t="str">
        <f>IFERROR(__xludf.DUMMYFUNCTION("""COMPUTED_VALUE"""),"&lt;@Some@&gt;(@Draft report on AI timelines@) &lt;@previous@&gt;(@Modeling the Human Trajectory@) &lt;@work@&gt;(@Semi-informative priors over AI timelines@) has suggested that by 2100 there is a non-trivial chance that AI could lead to _explosive growth_, that is, a grow"&amp;"th rate of 30% (i.e. a doubling time of 2-3 years), 10x the current growth rate of ~3%. What does economics have to say about the matter?
This report investigates the following three stories:
1. **Ignorance story:** In this story, we don’t know how grow"&amp;"th is determined, and attempts to forecast it based on models of how growth works are likely to be wrong. Note that this is perfectly compatible with explosive growth. We know that the growth rate has increased by orders of magnitude over the past millenn"&amp;"ia; so on an ignorance story we certainly shouldn’t rule out that the growth rate could increase by an order of magnitude again.
2. **Standard story:** This story focuses on the last ~century of growth, noting that the growth rate has stayed relatively c"&amp;"onstant at 2-3% per year, and thus predicting that future growth will be exponential (i.e. a constant growth rate), or possibly subexponential.
3. **Explosive story:** This story focuses on growth models with positive feedback loops, in which increased o"&amp;"utput leads to increased inputs which leads to even larger outputs, resulting in superexponential (and explosive) growth.
The author is interested in whether explosive growth is _plausible_, and so is most interested in arguments that argue for the stand"&amp;"ard story and against the ignorance or explosive stories, or vice versa. The main empirical facts we have are that the growth rate increased (maybe continuously, maybe not, it’s hard to tell) until about a century ago, when it plateaued at the current lev"&amp;"el of 2-3%. What can we then learn from economic growth models?
1. Ideas-based models of economic growth suggest that growth in output is driven primarily by the rate at which we get ideas (leading to technological improvement), which in turn is driven b"&amp;"y population size, which in turn is driven by output (completing the positive feedback cycle). This predicts increases in the growth rate _as long as_ population growth rate is increasing. A century ago, we underwent the “demographic transition” where, as"&amp;" we produced more output, instead of having more kids we became richer, breaking the positive feedback loop and preventing population size from growing. This fits our empirical facts well, and if we now assume that AI can also generate ideas, then the fee"&amp;"dback loop is reestablished and we should expect explosive growth.
2. Economists have tried to find growth models that robustly predict exponential growth alongside a slowly growing population, but have mostly not found such models, suggesting that our c"&amp;"urrent exponential growth might be an anomaly that will eventually change. The best explanations of exponential growth imply that future growth will be sub-exponential given that population growth is predicted to slow down.
3. Most economic growth models"&amp;", including the ones in the previous point, predict explosive growth if you add in an assumption that AI systems can replace human workers.
Thus, it seems that economic growth theory suggests that explosive growth is probable, _conditional_ on the assump"&amp;"tion that we develop AI systems that can replace arbitrary human workers.
You could object to these arguments on several grounds. The ones that the author finds partially convincing are:
1. We don’t see any trends of explosive growth right now -- this s"&amp;"uggests that we at least won’t see explosive growth in the next couple of decades (though it’s harder to make claims all the way out to 2100).
2. If there are a few key “bottleneck” tasks that (a) are crucial for growth and (b) can’t be automated by AI, t"&amp;"hen those tasks may limit growth.
3. There may be physical limits on growth that we haven’t yet encountered: for example, growth may be bottlenecked on running experiments in the real world, extracting and transporting raw materials, delays for humans to "&amp;"adjust to new technology, etc.
Another objection is that ideas are getting harder to find, which would surely prevent explosive growth. The author is _not_ convinced by this objection, because the growth models predicting explosive growth already take th"&amp;"is into account, and still predict explosive growth. (Roughly, the superexponential increase in the inputs “overpowers” the exponential increase in the difficulty of finding good ideas.)")</f>
        <v>&lt;@Some@&gt;(@Draft report on AI timelines@) &lt;@previous@&gt;(@Modeling the Human Trajectory@) &lt;@work@&gt;(@Semi-informative priors over AI timelines@) has suggested that by 2100 there is a non-trivial chance that AI could lead to _explosive growth_, that is, a growth rate of 30% (i.e. a doubling time of 2-3 years), 10x the current growth rate of ~3%. What does economics have to say about the matter?
This report investigates the following three stories:
1. **Ignorance story:** In this story, we don’t know how growth is determined, and attempts to forecast it based on models of how growth works are likely to be wrong. Note that this is perfectly compatible with explosive growth. We know that the growth rate has increased by orders of magnitude over the past millennia; so on an ignorance story we certainly shouldn’t rule out that the growth rate could increase by an order of magnitude again.
2. **Standard story:** This story focuses on the last ~century of growth, noting that the growth rate has stayed relatively constant at 2-3% per year, and thus predicting that future growth will be exponential (i.e. a constant growth rate), or possibly subexponential.
3. **Explosive story:** This story focuses on growth models with positive feedback loops, in which increased output leads to increased inputs which leads to even larger outputs, resulting in superexponential (and explosive) growth.
The author is interested in whether explosive growth is _plausible_, and so is most interested in arguments that argue for the standard story and against the ignorance or explosive stories, or vice versa. The main empirical facts we have are that the growth rate increased (maybe continuously, maybe not, it’s hard to tell) until about a century ago, when it plateaued at the current level of 2-3%. What can we then learn from economic growth models?
1. Ideas-based models of economic growth suggest that growth in output is driven primarily by the rate at which we get ideas (leading to technological improvement), which in turn is driven by population size, which in turn is driven by output (completing the positive feedback cycle). This predicts increases in the growth rate _as long as_ population growth rate is increasing. A century ago, we underwent the “demographic transition” where, as we produced more output, instead of having more kids we became richer, breaking the positive feedback loop and preventing population size from growing. This fits our empirical facts well, and if we now assume that AI can also generate ideas, then the feedback loop is reestablished and we should expect explosive growth.
2. Economists have tried to find growth models that robustly predict exponential growth alongside a slowly growing population, but have mostly not found such models, suggesting that our current exponential growth might be an anomaly that will eventually change. The best explanations of exponential growth imply that future growth will be sub-exponential given that population growth is predicted to slow down.
3. Most economic growth models, including the ones in the previous point, predict explosive growth if you add in an assumption that AI systems can replace human workers.
Thus, it seems that economic growth theory suggests that explosive growth is probable, _conditional_ on the assumption that we develop AI systems that can replace arbitrary human workers.
You could object to these arguments on several grounds. The ones that the author finds partially convincing are:
1. We don’t see any trends of explosive growth right now -- this suggests that we at least won’t see explosive growth in the next couple of decades (though it’s harder to make claims all the way out to 2100).
2. If there are a few key “bottleneck” tasks that (a) are crucial for growth and (b) can’t be automated by AI, then those tasks may limit growth.
3. There may be physical limits on growth that we haven’t yet encountered: for example, growth may be bottlenecked on running experiments in the real world, extracting and transporting raw materials, delays for humans to adjust to new technology, etc.
Another objection is that ideas are getting harder to find, which would surely prevent explosive growth. The author is _not_ convinced by this objection, because the growth models predicting explosive growth already take this into account, and still predict explosive growth. (Roughly, the superexponential increase in the inputs “overpowers” the exponential increase in the difficulty of finding good ideas.)</v>
      </c>
      <c r="K544" t="str">
        <f>IFERROR(__xludf.DUMMYFUNCTION("""COMPUTED_VALUE"""),"I find the economic take on AI to be particularly interesting because it makes the “automation” frame on AI the default one, as opposed to the “superintelligent goal-directed agent” frame that we often work with in AI alignment. The critical assumption ne"&amp;"eded in this automation frame is that AI systems can automate ~every task that a human worker could do. This is what enables the positive feedback loop to work (which is the automation version of recursive self-improvement).
I generally prefer the automa"&amp;"tion frame for thinking about and predicting how AI systems are integrated into the world, while preferring the agent frame for thinking about how AI systems might cause _alignment_ problems (i.e. ignoring &lt;@misuse and structural risks@&gt;(@Thinking About R"&amp;"isks From AI: Accidents, Misuse and Structure@)). Many of my disagreements with &lt;@CAIS@&gt;(@Reframing Superintelligence: Comprehensive AI Services as General Intelligence@) feel like cases where I think it is appropriate to use the agent frame rather than t"&amp;"he automation frame. I would classify several newer alignment &lt;@risk@&gt;(@What failure looks like@) &lt;@stories@&gt;(@Another (outer) alignment failure story@) as taking the same agent-based _cause_ of alignment failure as in (say) Superintelligence, but then te"&amp;"lling a story in which the _deployment_ of the misaligned AI system is automation-based.
I think it is generally worth spending some time meditating on the growth models explored in this post, and what implications they would have for AI development (and"&amp;" thus for AI alignment). For example, some models emphasize that there are many different tasks and suggest (not conclusively) that we’ll have different AI systems for different tasks. In such a world, it doesn’t seem very useful to focus on teaching AI s"&amp;"ystems about humanity’s true values, as they are going to be asked to do particular tasks that are pretty divorced from these “true values”.
Note that I am not an economist. This means that there’s a higher chance than usual that I’ve accidentally insert"&amp;"ed an erroneous claim into this summary and opinion. It is also the reason why I don’t usually summarize econ papers that are relevant to AI -- I’ve summarized this one because it’s explained at a level that I can understand. If you’re interested in this "&amp;"area, other papers include [Economic Growth Given Machine Intelligence](http://mason.gmu.edu/~rhanson/aigrow.pdf) and [Economic growth under transformative AI](https://globalprioritiesinstitute.org/philip-trammell-and-anton-korinek-economic-growth-under-t"&amp;"ransformative-ai/).")</f>
        <v>I find the economic take on AI to be particularly interesting because it makes the “automation” frame on AI the default one, as opposed to the “superintelligent goal-directed agent” frame that we often work with in AI alignment. The critical assumption needed in this automation frame is that AI systems can automate ~every task that a human worker could do. This is what enables the positive feedback loop to work (which is the automation version of recursive self-improvement).
I generally prefer the automation frame for thinking about and predicting how AI systems are integrated into the world, while preferring the agent frame for thinking about how AI systems might cause _alignment_ problems (i.e. ignoring &lt;@misuse and structural risks@&gt;(@Thinking About Risks From AI: Accidents, Misuse and Structure@)). Many of my disagreements with &lt;@CAIS@&gt;(@Reframing Superintelligence: Comprehensive AI Services as General Intelligence@) feel like cases where I think it is appropriate to use the agent frame rather than the automation frame. I would classify several newer alignment &lt;@risk@&gt;(@What failure looks like@) &lt;@stories@&gt;(@Another (outer) alignment failure story@) as taking the same agent-based _cause_ of alignment failure as in (say) Superintelligence, but then telling a story in which the _deployment_ of the misaligned AI system is automation-based.
I think it is generally worth spending some time meditating on the growth models explored in this post, and what implications they would have for AI development (and thus for AI alignment). For example, some models emphasize that there are many different tasks and suggest (not conclusively) that we’ll have different AI systems for different tasks. In such a world, it doesn’t seem very useful to focus on teaching AI systems about humanity’s true values, as they are going to be asked to do particular tasks that are pretty divorced from these “true values”.
Note that I am not an economist. This means that there’s a higher chance than usual that I’ve accidentally inserted an erroneous claim into this summary and opinion. It is also the reason why I don’t usually summarize econ papers that are relevant to AI -- I’ve summarized this one because it’s explained at a level that I can understand. If you’re interested in this area, other papers include [Economic Growth Given Machine Intelligence](http://mason.gmu.edu/~rhanson/aigrow.pdf) and [Economic growth under transformative AI](https://globalprioritiesinstitute.org/philip-trammell-and-anton-korinek-economic-growth-under-transformative-ai/).</v>
      </c>
      <c r="M544" s="3" t="str">
        <f>IFERROR(__xludf.DUMMYFUNCTION("""COMPUTED_VALUE"""),"Blog post")</f>
        <v>Blog post</v>
      </c>
    </row>
    <row r="545">
      <c r="A545" t="str">
        <f>IFERROR(__xludf.DUMMYFUNCTION("""COMPUTED_VALUE"""),"Forecasting")</f>
        <v>Forecasting</v>
      </c>
      <c r="B545" t="str">
        <f>IFERROR(__xludf.DUMMYFUNCTION("""COMPUTED_VALUE"""),"Highlight")</f>
        <v>Highlight</v>
      </c>
      <c r="C545" s="3" t="str">
        <f>IFERROR(__xludf.DUMMYFUNCTION("""COMPUTED_VALUE"""),"Extrapolating GPT-N performance")</f>
        <v>Extrapolating GPT-N performance</v>
      </c>
      <c r="D545" t="str">
        <f>IFERROR(__xludf.DUMMYFUNCTION("""COMPUTED_VALUE"""),"Lukas Finnveden")</f>
        <v>Lukas Finnveden</v>
      </c>
      <c r="E545" t="str">
        <f>IFERROR(__xludf.DUMMYFUNCTION("""COMPUTED_VALUE"""),"Alignment Forum")</f>
        <v>Alignment Forum</v>
      </c>
      <c r="F545">
        <f>IFERROR(__xludf.DUMMYFUNCTION("""COMPUTED_VALUE"""),2020.0)</f>
        <v>2020</v>
      </c>
      <c r="H545" s="3" t="str">
        <f>IFERROR(__xludf.DUMMYFUNCTION("""COMPUTED_VALUE"""),"AN #136")</f>
        <v>AN #136</v>
      </c>
      <c r="I545" t="str">
        <f>IFERROR(__xludf.DUMMYFUNCTION("""COMPUTED_VALUE"""),"Asya")</f>
        <v>Asya</v>
      </c>
      <c r="J545" t="str">
        <f>IFERROR(__xludf.DUMMYFUNCTION("""COMPUTED_VALUE"""),"This post describes the author’s insights from extrapolating the performance of GPT on the benchmarks presented in the &lt;@GPT-3 paper@&gt;(@Language Models are Few-Shot Learners@). The author compares cross-entropy loss (which measures how good a model is at "&amp;"predicting the next token) with benchmark performance normalized to the difference between random performance and the maximum possible performance. Since &lt;@previous work@&gt;(@Scaling Laws for Neural Language Models@) has shown that cross-entropy loss scales"&amp;" smoothly with model size, data, and FLOP requirements, we can then look at the overall relationship between those inputs and benchmark performance.
The author finds that most of the benchmarks scale smoothly and similarly with respect to cross-entropy l"&amp;"oss. Three exceptions are arithmetic, scramble (shuffling letters around the right way), and ANLI (a benchmark generated adversarially against transformer-based language models), which don't improve until the very end of the cross-entropy loss range. The "&amp;"author fits linear and s-shaped curves to these relationships, and guesses that:
- Performance improvements are likely to slow down closer to maximum performance, making s-curves a better progress estimate than linear curves.
- Machine learning models ma"&amp;"y use very different reasoning from humans to get good performance on a given benchmark, so human-level performance on any single benchmark would likely not be impressive, but human-level performance on almost all of them with few examples might be.
- We "&amp;"might care about the point where we can achieve human-level performance on all tasks with a 1 token ""horizon length""-- i.e., all tasks where just 1 token is enough of a training signal to understand how a change in the model affects its performance. (Se"&amp;"e &lt;@this AI timelines report draft@&gt;(@Draft report on AI timelines@) for more on horizon length.) Achieving this milestone is likely to be _more_ difficult than getting to human-level performance on these benchmarks, but since scaling up GPT is just one w"&amp;"ay to do these tasks, the raw number of parameters required for this milestone could just as well be _less_ than the number of parameters that GPT needs to beat the benchmarks.
- Human-level performance on these benchmarks would likely be enough to automa"&amp;"te lots of particular tasks with short horizon length, such as customer service, PA and RA work, and writing routine sections of code.
The author augments his s-curves graph with references to certain data, FLOP, and parameter levels, including the numbe"&amp;"r of words in common crawl, the number of FLOPs that could currently be bought for $1B, the point where reading or writing one word would cost 1 cent, and the number of parameters in a transformative model according to &lt;@this AI timelines report draft@&gt;(@"&amp;"Draft report on AI timelines@). (I recommend looking at the graph of these references to see their relationship to the benchmark trends.)
Overall, the author concludes that:
- GPT-3 is in line with smooth performance on benchmarks predicted by smaller m"&amp;"odels. It sharply increases performance on arithmetic and scramble tasks, which the author thinks is because the tasks are 'narrow' in that they are easy once you understand their one trick. The author now finds it less likely that a small amount of scali"&amp;"ng will suddenly lead to a large jump in performance on a wide range of tasks.
- Close to optimal performance on these benchmarks seems like it's at least ~3 orders of magnitude away ($1B at current prices). The author thinks more likely than not, we'd ge"&amp;"t there after increasing the training FLOP by ~5-6 orders of magnitude ($100B -$1T at current prices, $1B - $10B given estimated hardware and software improvements over the next 5 - 10 years). The author thinks this would probably not be enough to be tran"&amp;"sformative, but thinks we should prepare for that eventuality anyway.
- The number of parameters estimated for human-equivalent performance on these benchmarks (~1e15) is close to the median number of parameters given in &lt;@this AI timelines report draft@&gt;"&amp;"(@Draft report on AI timelines@), which is generated via comparison to the computation done in the human brain.")</f>
        <v>This post describes the author’s insights from extrapolating the performance of GPT on the benchmarks presented in the &lt;@GPT-3 paper@&gt;(@Language Models are Few-Shot Learners@). The author compares cross-entropy loss (which measures how good a model is at predicting the next token) with benchmark performance normalized to the difference between random performance and the maximum possible performance. Since &lt;@previous work@&gt;(@Scaling Laws for Neural Language Models@) has shown that cross-entropy loss scales smoothly with model size, data, and FLOP requirements, we can then look at the overall relationship between those inputs and benchmark performance.
The author finds that most of the benchmarks scale smoothly and similarly with respect to cross-entropy loss. Three exceptions are arithmetic, scramble (shuffling letters around the right way), and ANLI (a benchmark generated adversarially against transformer-based language models), which don't improve until the very end of the cross-entropy loss range. The author fits linear and s-shaped curves to these relationships, and guesses that:
- Performance improvements are likely to slow down closer to maximum performance, making s-curves a better progress estimate than linear curves.
- Machine learning models may use very different reasoning from humans to get good performance on a given benchmark, so human-level performance on any single benchmark would likely not be impressive, but human-level performance on almost all of them with few examples might be.
- We might care about the point where we can achieve human-level performance on all tasks with a 1 token "horizon length"-- i.e., all tasks where just 1 token is enough of a training signal to understand how a change in the model affects its performance. (See &lt;@this AI timelines report draft@&gt;(@Draft report on AI timelines@) for more on horizon length.) Achieving this milestone is likely to be _more_ difficult than getting to human-level performance on these benchmarks, but since scaling up GPT is just one way to do these tasks, the raw number of parameters required for this milestone could just as well be _less_ than the number of parameters that GPT needs to beat the benchmarks.
- Human-level performance on these benchmarks would likely be enough to automate lots of particular tasks with short horizon length, such as customer service, PA and RA work, and writing routine sections of code.
The author augments his s-curves graph with references to certain data, FLOP, and parameter levels, including the number of words in common crawl, the number of FLOPs that could currently be bought for $1B, the point where reading or writing one word would cost 1 cent, and the number of parameters in a transformative model according to &lt;@this AI timelines report draft@&gt;(@Draft report on AI timelines@). (I recommend looking at the graph of these references to see their relationship to the benchmark trends.)
Overall, the author concludes that:
- GPT-3 is in line with smooth performance on benchmarks predicted by smaller models. It sharply increases performance on arithmetic and scramble tasks, which the author thinks is because the tasks are 'narrow' in that they are easy once you understand their one trick. The author now finds it less likely that a small amount of scaling will suddenly lead to a large jump in performance on a wide range of tasks.
- Close to optimal performance on these benchmarks seems like it's at least ~3 orders of magnitude away ($1B at current prices). The author thinks more likely than not, we'd get there after increasing the training FLOP by ~5-6 orders of magnitude ($100B -$1T at current prices, $1B - $10B given estimated hardware and software improvements over the next 5 - 10 years). The author thinks this would probably not be enough to be transformative, but thinks we should prepare for that eventuality anyway.
- The number of parameters estimated for human-equivalent performance on these benchmarks (~1e15) is close to the median number of parameters given in &lt;@this AI timelines report draft@&gt;(@Draft report on AI timelines@), which is generated via comparison to the computation done in the human brain.</v>
      </c>
      <c r="K545" t="str">
        <f>IFERROR(__xludf.DUMMYFUNCTION("""COMPUTED_VALUE"""),"Ask and ye shall receive! In my &lt;@last summary@&gt;(@Scaling Laws for Autoregressive Generative Modeling@), I mentioned that I was uncertain about how cross-entropy loss translates to transformative progress that we care about, and here is an excellent post "&amp;"exploring just that question. I'm sure I'll end up referencing this many times in the future.
The post discusses both what benchmarks might suggest for forecasting ""human equivalence"" and how benchmarks might relate to economic value via concrete task "&amp;"automation. I agree with the tasks the author suggests for the latter, and continuing my ""opinions as calls for more work"" trend, I'd be interested in seeing even more work on this-- i.e. attempts to decompose tasks into a set of concrete benchmark perf"&amp;"ormances which would be sufficient for economically valuable automation. [This comment thread](https://www.lesswrong.com/posts/k2SNji3jXaLGhBeYP/extrapolating-gpt-n-performance?commentId=x7cGXDCju6qsnzRfg) discusses whether current benchmarks are likely t"&amp;"o capture a substantial portion of what is necessary for economic value, given that many jobs end up requiring a diverse portfolio of skills and reasoning ability. It seems plausible to me that AI-powered automation will be ""discontinuous"" in that a lot"&amp;" of it will be unlocked only when we have a system that's fairly general.
It seems quite noteworthy that the parameter estimates here and in the AI timelines report draft are close together, even though one is anchored to human-level benchmark performanc"&amp;"e, and the other is anchored to brain computation. That updates me in the direction of those numbers being in the right range for human-like abilities.
People interested in this post maybe also be interested in [BIG-bench](https://github.com/google/BIG-B"&amp;"ench), a project to crowdsource the mother of all benchmarks for language models.")</f>
        <v>Ask and ye shall receive! In my &lt;@last summary@&gt;(@Scaling Laws for Autoregressive Generative Modeling@), I mentioned that I was uncertain about how cross-entropy loss translates to transformative progress that we care about, and here is an excellent post exploring just that question. I'm sure I'll end up referencing this many times in the future.
The post discusses both what benchmarks might suggest for forecasting "human equivalence" and how benchmarks might relate to economic value via concrete task automation. I agree with the tasks the author suggests for the latter, and continuing my "opinions as calls for more work" trend, I'd be interested in seeing even more work on this-- i.e. attempts to decompose tasks into a set of concrete benchmark performances which would be sufficient for economically valuable automation. [This comment thread](https://www.lesswrong.com/posts/k2SNji3jXaLGhBeYP/extrapolating-gpt-n-performance?commentId=x7cGXDCju6qsnzRfg) discusses whether current benchmarks are likely to capture a substantial portion of what is necessary for economic value, given that many jobs end up requiring a diverse portfolio of skills and reasoning ability. It seems plausible to me that AI-powered automation will be "discontinuous" in that a lot of it will be unlocked only when we have a system that's fairly general.
It seems quite noteworthy that the parameter estimates here and in the AI timelines report draft are close together, even though one is anchored to human-level benchmark performance, and the other is anchored to brain computation. That updates me in the direction of those numbers being in the right range for human-like abilities.
People interested in this post maybe also be interested in [BIG-bench](https://github.com/google/BIG-Bench), a project to crowdsource the mother of all benchmarks for language models.</v>
      </c>
    </row>
    <row r="546">
      <c r="A546" t="str">
        <f>IFERROR(__xludf.DUMMYFUNCTION("""COMPUTED_VALUE"""),"Forecasting")</f>
        <v>Forecasting</v>
      </c>
      <c r="B546" t="str">
        <f>IFERROR(__xludf.DUMMYFUNCTION("""COMPUTED_VALUE"""),"Highlight")</f>
        <v>Highlight</v>
      </c>
      <c r="C546" s="3" t="str">
        <f>IFERROR(__xludf.DUMMYFUNCTION("""COMPUTED_VALUE"""),"Scaling Laws for Autoregressive Generative Modeling")</f>
        <v>Scaling Laws for Autoregressive Generative Modeling</v>
      </c>
      <c r="D546" t="str">
        <f>IFERROR(__xludf.DUMMYFUNCTION("""COMPUTED_VALUE"""),"Tom Henighan*, Jared Kaplan*, Mor Katz*, Mark Chen, Christopher Hesse, Jacob Jackson, Heewoo Jun, Tom B. Brown, Prafulla Dhariwal, Scott Gray, Chris Hallacy, Benjamin Mann, Alec Radford, Aditya Ramesh, Nick Ryder, Daniel M. Ziegler, John Schulman, Dario A"&amp;"modei, Sam McCandlish")</f>
        <v>Tom Henighan*, Jared Kaplan*, Mor Katz*, Mark Chen, Christopher Hesse, Jacob Jackson, Heewoo Jun, Tom B. Brown, Prafulla Dhariwal, Scott Gray, Chris Hallacy, Benjamin Mann, Alec Radford, Aditya Ramesh, Nick Ryder, Daniel M. Ziegler, John Schulman, Dario Amodei, Sam McCandlish</v>
      </c>
      <c r="E546" t="str">
        <f>IFERROR(__xludf.DUMMYFUNCTION("""COMPUTED_VALUE"""),"arXiv")</f>
        <v>arXiv</v>
      </c>
      <c r="F546">
        <f>IFERROR(__xludf.DUMMYFUNCTION("""COMPUTED_VALUE"""),2020.0)</f>
        <v>2020</v>
      </c>
      <c r="H546" s="3" t="str">
        <f>IFERROR(__xludf.DUMMYFUNCTION("""COMPUTED_VALUE"""),"AN #125")</f>
        <v>AN #125</v>
      </c>
      <c r="I546" t="str">
        <f>IFERROR(__xludf.DUMMYFUNCTION("""COMPUTED_VALUE"""),"Asya")</f>
        <v>Asya</v>
      </c>
      <c r="J546" t="str">
        <f>IFERROR(__xludf.DUMMYFUNCTION("""COMPUTED_VALUE"""),"This paper looks at scaling laws for generative Transformer models of images (predicting pixels or parts of image encodings), videos (predicting frames of image encodings), multimodal image &lt;-&gt; text (predicting captions based on images or images based on "&amp;"captions), and mathematical problem solving (predicting answers to auto-generated questions about algebra, arithmetic, calculus, comparisons, integer properties, measurement, polynomials, and probability). The authors find that:
- Cross-entropy loss as a"&amp;" function of compute follows a power law + constant in all these data modalities (just as it does &lt;@in language@&gt;(@Scaling Laws for Neural Language Models@)). Information theoretically, this can be interpreted as scaling a 'reducible loss' which estimates"&amp;" the KL divergence between the true and model distributions, and an 'irreducible loss' which estimates the entropy of the true data distribution.
- Performance on ImageNet classification fine-tuned from their generative image model also follows such a pow"&amp;"er law, whereas ImageNet classification trained *from scratch* actually gets worse with sufficiently large model sizes. Interestingly, this classification power law continues even past model sizes where the generative cross-entropy loss starts bending as "&amp;"a result of irreducible loss. The authors conclude that approaching the irreducible loss for some dataset does not necessarily indicate diminishing returns for representation quality or semantic content.
- Optimal model size as a function of compute follo"&amp;"ws a power law with an exponent very close to ~0.7 for all data modalities they've studied so far. This implies that in the current compute regime, as compute budgets grow, it's best to devote a majority of compute towards making models bigger and a minor"&amp;"ity towards training on more data.
- Larger models perform better on extrapolating to math problems more difficult than those seen in training, but only insofar as they do better on the training distribution (no benefits to 'strong generalization').
- Lar"&amp;"ger models are able to take advantage of more multimodal information, but the scaling is extremely slow-- a 1-billion-parameter model uses 10% of the information in a caption to define an image, while using 20% of the information would require a 3-trillio"&amp;"n-parameter model.
As in the &lt;@language models paper@&gt;(@Scaling Laws for Neural Language Models@), extrapolating the steep power laws found for optimally-used compute seems to eventually paradoxically result in loss lower than the bound given by shallowe"&amp;"r power laws for optimally-used training data. The authors offer a potential hypothesis for resolving this inconsistency-- in the regime of less compute and smaller model sizes, increasing model size effectively increases the amount of information you ext"&amp;"ract from each data point you train on, resulting in the steepness of the current compute law. As compute increases past a certain point, however, the amount of information extracted per data point approaches the maximum amount possible, so the curve swit"&amp;"ches to a shallower regime and marginal compute should be used increasingly on dataset increases rather than model size increases. If this hypothesis is true, we should eventually expect the scaling laws for compute to bend towards laws set by dataset siz"&amp;"e, and perhaps should think they will ultimately be set by trends for overfitting (see [this post](https://www.alignmentforum.org/posts/diutNaWF669WgEt3v/the-scaling-inconsistency-openai-s-new-insight) for another explanation of this).")</f>
        <v>This paper looks at scaling laws for generative Transformer models of images (predicting pixels or parts of image encodings), videos (predicting frames of image encodings), multimodal image &lt;-&gt; text (predicting captions based on images or images based on captions), and mathematical problem solving (predicting answers to auto-generated questions about algebra, arithmetic, calculus, comparisons, integer properties, measurement, polynomials, and probability). The authors find that:
- Cross-entropy loss as a function of compute follows a power law + constant in all these data modalities (just as it does &lt;@in language@&gt;(@Scaling Laws for Neural Language Models@)). Information theoretically, this can be interpreted as scaling a 'reducible loss' which estimates the KL divergence between the true and model distributions, and an 'irreducible loss' which estimates the entropy of the true data distribution.
- Performance on ImageNet classification fine-tuned from their generative image model also follows such a power law, whereas ImageNet classification trained *from scratch* actually gets worse with sufficiently large model sizes. Interestingly, this classification power law continues even past model sizes where the generative cross-entropy loss starts bending as a result of irreducible loss. The authors conclude that approaching the irreducible loss for some dataset does not necessarily indicate diminishing returns for representation quality or semantic content.
- Optimal model size as a function of compute follows a power law with an exponent very close to ~0.7 for all data modalities they've studied so far. This implies that in the current compute regime, as compute budgets grow, it's best to devote a majority of compute towards making models bigger and a minority towards training on more data.
- Larger models perform better on extrapolating to math problems more difficult than those seen in training, but only insofar as they do better on the training distribution (no benefits to 'strong generalization').
- Larger models are able to take advantage of more multimodal information, but the scaling is extremely slow-- a 1-billion-parameter model uses 10% of the information in a caption to define an image, while using 20% of the information would require a 3-trillion-parameter model.
As in the &lt;@language models paper@&gt;(@Scaling Laws for Neural Language Models@), extrapolating the steep power laws found for optimally-used compute seems to eventually paradoxically result in loss lower than the bound given by shallower power laws for optimally-used training data. The authors offer a potential hypothesis for resolving this inconsistency-- in the regime of less compute and smaller model sizes, increasing model size effectively increases the amount of information you extract from each data point you train on, resulting in the steepness of the current compute law. As compute increases past a certain point, however, the amount of information extracted per data point approaches the maximum amount possible, so the curve switches to a shallower regime and marginal compute should be used increasingly on dataset increases rather than model size increases. If this hypothesis is true, we should eventually expect the scaling laws for compute to bend towards laws set by dataset size, and perhaps should think they will ultimately be set by trends for overfitting (see [this post](https://www.alignmentforum.org/posts/diutNaWF669WgEt3v/the-scaling-inconsistency-openai-s-new-insight) for another explanation of this).</v>
      </c>
      <c r="K546" t="str">
        <f>IFERROR(__xludf.DUMMYFUNCTION("""COMPUTED_VALUE"""),"I would also recommend listening to [Jared Kaplan's talk](https://www.youtube.com/watch?v=QMqPAM_knrE) on this.
I was really excited to learn about more empirical work here. These results suggest that scaling behavior predictable with smooth power-laws i"&amp;"s likely a feature of most generative models, not just text. I found it surprising that optimal model size given a compute budget scales the same way across data modalities-- it does seem to suggest that there's something more fundamental going on here th"&amp;"at I don't understand (but which may be explained in [this theory paper](https://arxiv.org/abs/2004.10802) that I haven't read). It's also interesting that pretraining on a generative model (rather than training from scratch) seems to confer real benefits"&amp;" to scaling behavior for image classification-- this lends some support to the view that a lot of the learning that needs to happen will come from unsupervised settings.
A lot of the most salient questions around current scaling laws for me still lie in "&amp;"the translation between cross-entropy loss in these domains and performance on downstream tasks we care about. I feel very unsure about whether any of the fine-tuned generative models we (currently) have the data to train are likely to have transformative"&amp;" performance within even the next 5 orders of magnitude of compute scaling.
**Rohin's opinion:** In addition to the points Asya made above, I wanted to speculate on the implications of these scaling laws for AGI. I was particularly struck by how well the"&amp;"se scaling laws seem to fit the data. This was also true in the case of mathematics problems, at least for the models we have so far, even though intuitively math requires “reasoning”. This suggests to me that even for tasks that require reasoning, capabi"&amp;"lity will increase smoothly along a spectrum, and the term “reasoning” is simply a descriptor of a particular capability level. (An alternative position is that “reasoning” happens only to the extent that the neural net is implementing an algorithm that c"&amp;"an justifiably be known to always output the right answer, but this sort of definition usually implies that humans are not doing reasoning, which seems like a deal-breaker.)
Note however that we haven't gotten to the level of performance that would be as"&amp;"sociated with ""reasoning"", so it is still _possible_ that the trends stop holding and reasoning then leads to some sort of discontinuous increase in performance. I just wouldn't bet on it.")</f>
        <v>I would also recommend listening to [Jared Kaplan's talk](https://www.youtube.com/watch?v=QMqPAM_knrE) on this.
I was really excited to learn about more empirical work here. These results suggest that scaling behavior predictable with smooth power-laws is likely a feature of most generative models, not just text. I found it surprising that optimal model size given a compute budget scales the same way across data modalities-- it does seem to suggest that there's something more fundamental going on here that I don't understand (but which may be explained in [this theory paper](https://arxiv.org/abs/2004.10802) that I haven't read). It's also interesting that pretraining on a generative model (rather than training from scratch) seems to confer real benefits to scaling behavior for image classification-- this lends some support to the view that a lot of the learning that needs to happen will come from unsupervised settings.
A lot of the most salient questions around current scaling laws for me still lie in the translation between cross-entropy loss in these domains and performance on downstream tasks we care about. I feel very unsure about whether any of the fine-tuned generative models we (currently) have the data to train are likely to have transformative performance within even the next 5 orders of magnitude of compute scaling.
**Rohin's opinion:** In addition to the points Asya made above, I wanted to speculate on the implications of these scaling laws for AGI. I was particularly struck by how well these scaling laws seem to fit the data. This was also true in the case of mathematics problems, at least for the models we have so far, even though intuitively math requires “reasoning”. This suggests to me that even for tasks that require reasoning, capability will increase smoothly along a spectrum, and the term “reasoning” is simply a descriptor of a particular capability level. (An alternative position is that “reasoning” happens only to the extent that the neural net is implementing an algorithm that can justifiably be known to always output the right answer, but this sort of definition usually implies that humans are not doing reasoning, which seems like a deal-breaker.)
Note however that we haven't gotten to the level of performance that would be associated with "reasoning", so it is still _possible_ that the trends stop holding and reasoning then leads to some sort of discontinuous increase in performance. I just wouldn't bet on it.</v>
      </c>
      <c r="M546" s="3" t="str">
        <f>IFERROR(__xludf.DUMMYFUNCTION("""COMPUTED_VALUE"""),"the scaling “inconsistency”: openAI’s new insight")</f>
        <v>the scaling “inconsistency”: openAI’s new insight</v>
      </c>
    </row>
    <row r="547">
      <c r="A547" t="str">
        <f>IFERROR(__xludf.DUMMYFUNCTION("""COMPUTED_VALUE"""),"Forecasting")</f>
        <v>Forecasting</v>
      </c>
      <c r="B547" t="str">
        <f>IFERROR(__xludf.DUMMYFUNCTION("""COMPUTED_VALUE"""),"Highlight")</f>
        <v>Highlight</v>
      </c>
      <c r="C547" s="3" t="str">
        <f>IFERROR(__xludf.DUMMYFUNCTION("""COMPUTED_VALUE"""),"Draft report on AI timelines")</f>
        <v>Draft report on AI timelines</v>
      </c>
      <c r="D547" t="str">
        <f>IFERROR(__xludf.DUMMYFUNCTION("""COMPUTED_VALUE"""),"Ajeya Cotra")</f>
        <v>Ajeya Cotra</v>
      </c>
      <c r="E547" t="str">
        <f>IFERROR(__xludf.DUMMYFUNCTION("""COMPUTED_VALUE"""),"Alignment Forum")</f>
        <v>Alignment Forum</v>
      </c>
      <c r="F547">
        <f>IFERROR(__xludf.DUMMYFUNCTION("""COMPUTED_VALUE"""),2020.0)</f>
        <v>2020</v>
      </c>
      <c r="H547" s="3" t="str">
        <f>IFERROR(__xludf.DUMMYFUNCTION("""COMPUTED_VALUE"""),"AN #121")</f>
        <v>AN #121</v>
      </c>
      <c r="I547" t="str">
        <f>IFERROR(__xludf.DUMMYFUNCTION("""COMPUTED_VALUE"""),"Rohin")</f>
        <v>Rohin</v>
      </c>
      <c r="J547" t="str">
        <f>IFERROR(__xludf.DUMMYFUNCTION("""COMPUTED_VALUE"""),"Once again, we have a piece of work so large and detailed that I need a whole newsletter to summarize it! This time, it is a quantitative model for forecasting when transformative AI will happen. Note that since this is still a draft report, the numbers a"&amp;"re in flux; the numbers below were taken when I read it and may no longer be up to date.
**The overall framework**
The key assumption behind this model is that if we train a neural net or other ML model that uses about as much computation as a human bra"&amp;"in, that will likely result in transformative AI (TAI) (defined as AI that has an impact comparable to that of the industrial revolution). In other words, we _anchor_ our estimate of the ML model’s inference computation to that of the human brain. This as"&amp;"sumption allows us to estimate how much compute will be required to train such a model _using 2020 algorithms_. By incorporating a trend extrapolation of how algorithmic progress will reduce the required amount of compute, we can get a prediction of how m"&amp;"uch compute would be required for the final training run of a transformative model in any given year.
We can also get a prediction of how much compute will be _available_ by predicting the cost of compute in a given year (which we have a decent amount of"&amp;" past evidence about), and predicting the maximum amount of money an actor would be willing to spend on a single training run. The probability that we can train a transformative model in year Y is then just the probability that the compute _requirement_ f"&amp;"or year Y is less than the compute _available_ in year Y.
The vast majority of the report is focused on estimating the amount of compute required to train a transformative model using 2020 algorithms (where most of our uncertainty would come from); the r"&amp;"emaining factors are estimated relatively quickly without too much detail. I’ll start with those so that you can have them as background knowledge before we delve into the real meat of the report. These are usually modeled as logistic curves in log space:"&amp;" that is, they are modeled as improving at some constant rate, but will level off and saturate at some maximum value after which they won’t improve.
**Algorithmic progress**
First off, we have the impact of _algorithmic progress_. &lt;@AI and Efficiency@&gt; "&amp;"estimates that algorithms improve enough to cut compute times in half every 16 months. However, this was measured on ImageNet, where researchers are directly optimizing for reduced computation costs. It seems less likely that researchers are doing as good"&amp;" a job at reducing computation costs for “training a transformative model”, and so the author increases the **halving time to 2-3 years**, with a maximum of **somewhere between 1-5 orders of magnitude** (with the assumption that the higher the “technical "&amp;"difficulty” of the problem, the more algorithmic progress is possible).
**Cost of compute**
Second, we need to estimate a trend for compute costs. There has been some prior work on this (summarized in [AN #97](https://mailchi.mp/a2b5efbcd3a7/an-97-are-t"&amp;"here-historical-examples-of-large-robust-discontinuities)). The report has some similar analyses, and ends up estimating **a doubling time of 2.5 years**, and a (very unstable) maximum of improvement by **a factor of 2 million by 2100**.
**Willingness to"&amp;" spend**
Third, we would like to know the maximum amount (in 2020 dollars) any actor might spend on a single training run. Note that we are estimating the money spent on a _final training run_, which doesn’t include the cost of initial experiments or the"&amp;" cost of researcher time. Currently, the author estimates that all-in project costs are 10-100x larger than the final training run cost, but this will likely go down to something like 2-10x, as the incentive for reducing this ratio becomes much larger.
T"&amp;"he author estimates that the most expensive run _in a published paper_ was the final &lt;@AlphaStar@&gt;(@AlphaStar: Mastering the Real-Time Strategy Game StarCraft II@) training run, at ~1e23 FLOP and $1M cost. However, there have probably been unpublished res"&amp;"ults that are slightly more expensive, maybe $2-8M. In line with &lt;@AI and Compute@&gt;, this will probably increase dramatically to about **$1B in 2025**.
Given that AI companies each have around $100B cash on hand, and could potentially borrow additional s"&amp;"everal hundreds of billions of dollars (given their current market caps and likely growth in the worlds where AI still looks promising), it seems likely that low hundreds of billions of dollars could be spent on a single run by 2040, corresponding to a do"&amp;"ubling time (from $1B in 2025) of about 2 years.
To estimate the maximum here, we can compare to megaprojects like the Manhattan Project or the Apollo program, which suggests that a government could spend around 0.75% of GDP for ~4 years. Since transform"&amp;"ative AI will likely be more valuable economically and strategically than these previous programs, we can shade that upwards to 1% of GDP for 5 years. Assuming all-in costs are 5x that of the final training run, this suggests the maximum willingness to sp"&amp;"end should be 1% of GDP of the largest country, which we assume grows at ~3% every year.
**Strategy for estimating training compute for a transformative model**
In addition to the three factors of algorithmic progress, cost of compute, and willingness t"&amp;"o spend, we need an estimate of how much computation would be needed to train a transformative model using 2020 algorithms (which I’ll discuss next). Then, at year Y, the compute required is given by computation needed with 2020 algorithms * improvement f"&amp;"actor from algorithmic progress, which (in this report) is a probability distribution. At year Y, the compute available is given by FLOP per dollar (aka compute cost) * money that can be spent, which (in this report) is a point estimate. We can then simpl"&amp;"y read off the probability that the compute required is greater than the compute available.
Okay, so the last thing we need is a distribution over the amount of computation that would be needed to train a transformative model using 2020 algorithms, which"&amp;" is the main focus of this report. There is a lot of detail here that I’m going to elide over, especially in talking about the _distribution_ as a whole (whereas I will focus primarily on the median case for simplicity). As I mentioned early on, the key h"&amp;"ypothesis is that we will need to train a neural net or other ML model that uses about as much compute as a human brain. So the strategy will be to first translate from “compute of human brain” to “inference compute of neural net”, and then to translate f"&amp;"rom “inference compute of neural net” to “training compute of neural net”.
**How much inference compute would a transformative model use?**
We can talk about the rate at which synapses fire in the human brain. How can we convert this to FLOP? The author"&amp;" proposes the following hypothetical: suppose we redo evolutionary history, but in every animal we replace each neuron with N [floating-point units](https://en.wikipedia.org/wiki/Floating-point_unit) that each perform 1 FLOP per second. For what value of "&amp;"N do we still get roughly human-level intelligence over a similar evolutionary timescale? The author then does some calculations about simulating synapses with FLOPs, drawing heavily on the &lt;@recent report on brain computation@&gt;(@How Much Computational Po"&amp;"wer It Takes to Match the Human Brain@), to estimate that N would be around 1-10,000, which after some more calculations suggests that the human brain is doing the equivalent of 1e13 - 1e16 FLOP per second, with **a median of 1e15 FLOP per second**, and a"&amp;" long tail to the right.
Does this mean we can say that a transformative model will use 1e15 FLOP per second during inference? Such a model would have a clear flaw: even though we are assuming that algorithmic progress reduces compute costs over time, if"&amp;" we did the same analysis in e.g. 1980, we’d get the _same_ estimate for the compute cost of a transformative model, which would imply that there was no algorithmic progress between 1980 and 2020! The problem is that we’d always estimate the brain as usin"&amp;"g 1e15 FLOP per second (or around there), but for our ML models there is a difference between FLOP per second _using 2020 algorithms_ and FLOP per second _using 1980 algorithms_. So how do we convert form “brain FLOP per second” to “inference FLOP per sec"&amp;"ond for 2020 ML algorithms”?
One approach is to look at how other machines we have designed compare to the corresponding machines that evolution has designed. An [analysis](https://docs.google.com/document/d/1HUtUBpRbNnnWBxiO2bz3LumEsQcaZioAPZDNcsWPnos/e"&amp;"dit) by Paul Christiano concluded that human-designed artifacts tend to be 2-3 orders of magnitude worse than those designed by evolution, when considering energy usage. Presumably a similar analysis done in the past would have resulted in higher numbers "&amp;"and thus wouldn’t fall prey to the problem above. Another approach is to compare existing ML models to animals with a similar amount of computation, and see which one is subjectively “more impressive”. For example, the AlphaStar model uses about as much c"&amp;"omputation as a bee brain, and large language models use somewhat more; the author finds it reasonable to say that AlphaStar is “about as sophisticated” as a bee, or that &lt;@GPT-3@&gt;(@Language Models are Few-Shot Learners@) is “more sophisticated” than a be"&amp;"e.
We can also look at some abstract considerations. Natural selection had _a lot_ of time to optimize brains, and natural artifacts are usually quite impressive. On the other hand, human designers have the benefit of intelligent design and can copy the "&amp;"patterns that natural selection has come up with. Overall, these considerations roughly balance each other out. Another important consideration is that we’re only predicting what would be needed for a model that was good at most tasks that a human would c"&amp;"urrently be good at (think a virtual personal assistant), whereas evolution optimized for a whole bunch of other skills that were needed in the ancestral environment. The author subjectively guesses that this should reduce our estimate of compute costs by"&amp;" about an order of magnitude.
Overall, putting all these considerations together, the author intuitively guesses that to convert from “brain FLOP per second” to “inference FLOP per second for 2020 ML algorithms”, we should add an order of magnitude to th"&amp;"e median, and add another two orders of magnitude to the standard deviation to account for our large uncertainty. This results in a median of **1e16 FLOP per second** for the inference-time compute of a transformative model.
**Training compute for a tran"&amp;"sformative model**
We might expect a transformative model to run a forward pass **0.1 - 10 times per second** (which on the high end would match human reaction time of 100ms), and for each parameter of the neural net to contribute **1-100 FLOP per forwar"&amp;"d pass**, which implies that if the inference-time compute is 1e16 FLOP per second then the model should have **1e13 - 1e17 parameters**, with a median of **3e14 parameters**.
We now need to estimate how much compute it takes to train a transformative mo"&amp;"del with 3e14 parameters. We assume this is dominated by the number of times you have to run the model during training, or equivalently, the number of data points you train on times the number of times you train on each data point. (In particular, this as"&amp;"sumes that the cost of acquiring data is negligible in comparison. The report argues for this assumption; for the sake of brevity I won’t summarize it here.)
For this, we need a relationship between parameters and data points, which we’ll assume will fol"&amp;"low a power law KP^α, where P is the number of parameters and K and α are constants. A large number of ML theory results imply that the number of data points needed to reach a specified level of accuracy grows linearly with the number of parameters (i.e. "&amp;"α=1), which we can take as a weak prior. We can then update this with empirical evidence from papers. &lt;@Scaling Laws for Neural Language Models@&gt; suggests that for language models, data requirements scale as α=0.37 or as α=0.74, depending on what measure "&amp;"you look at. Meanwhile, [Deep Learning Scaling is Predictable, Empirically](https://arxiv.org/abs/1712.00409) suggests that α=1.39 for a wide variety of supervised learning problems (including language modeling). However, the former paper studies a more r"&amp;"elevant setting: it includes regularization, and asks about the number of data points needed to reach a target accuracy, whereas the latter paper ignores regularization and asks about the minimum number of data points that the model _cannot_ overfit to. S"&amp;"o overall the author puts more weight on the former paper and estimates a median of α=0.8, though with substantial uncertainty.
We also need to estimate how many epochs will be needed, i.e. how many times we train on any given data point. The author deci"&amp;"des not to explicitly model this factor since it will likely be close to 1, and instead lumps in the uncertainty over the number of epochs with the uncertainty over the constant factor in the scaling law above. We can then look at language model runs to e"&amp;"stimate a scaling law for them, for which the median scaling law predicts that we would need 1e13 data points for our 3e14 parameter model.
However, this has all been for supervised learning. It seems plausible that a transformative task would have to be"&amp;" trained using RL, where the model acts over a sequence of timesteps, and then receives (non-differentiable) feedback at the end of those timesteps. How would scaling laws apply in this setting? One simple assumption is to say that each rollout over the _"&amp;"effective horizon_ counts as one piece of “meaningful feedback” and so should count as a single data point. Here, the effective horizon is the minimum of the actual horizon and 1/(1-γ), where γ is the discount factor. We assume that the scaling law stays "&amp;"the same; if we instead try to estimate it from recent RL runs, it can change the results by about one order of magnitude.
So we now know we need to train a 3e14 parameter model with 1e13 data points for a transformative task. This gets us nearly all the"&amp;" way to the compute required with 2020 algorithms: we have a ~3e14 parameter model that takes ~1e16 FLOP per forward pass, that is trained on ~1e13 data points with each data point taking H timesteps, for a total of H * 1e29 FLOP. The author’s distributio"&amp;"ns are instead centered at H * 1e30 FLOP; I suspect this is simply because the author was computing with distributions whereas I’ve been directly manipulating medians in this summary.
The last and most uncertain piece of information is the effective hori"&amp;"zon of a transformative task. We could imagine something as low as 1 subjective second (for something like language modeling), or something as high as 1e9 subjective seconds (i.e. 32 subjective years), if we were to redo evolution, or train on a task like"&amp;" “do effective scientific R&amp;D”. The author splits this up into short, medium and long horizon neural net paths (corresponding to horizons of 1e0-1e3, 1e3-1e6, and 1e6-1e9 respectively), and invites readers to place their own weights on each of the possibl"&amp;"e paths.
There are many important considerations here: for example, if you think that the dominating cost will be generative modeling (GPT-3 style, but maybe also for images, video etc), then you would place more weight on short horizons. Conversely, if "&amp;"you think the hard challenge is to gain meta learning abilities, and that we probably need “data points” comparable to the time between generations in human evolution, then you would place more weight on longer horizons.
**Adding three more potential anc"&amp;"hors**
We can now combine all these ingredients to get a forecast for when compute will be available to develop a transformative model! But not yet: we’ll first add a few more possible “anchors” for the amount of computation needed for a transformative m"&amp;"odel. (All of the modeling so far has “anchored” the _inference time computation of a transformative model_ to the _inference time computation of the human brain_.)
First, we can anchor _parameter count of a transformative model_ to the _parameter count "&amp;"of the human genome_, which has far fewer “parameters” than the human brain. Specifically, we assume that all the scaling laws remain the same, but that a transformative model will only require 7.5e8 parameters (the amount of information in the human geno"&amp;"me) rather than our previous estimate of ~1e15 parameters. This drastically reduces the amount of computation required, though it is still slightly above that of the short-horizon neural net, because the author assumed that the horizon for this path was s"&amp;"omewhere between 1 and 32 years.
Second, we can anchor _training compute for a transformative model_ to the _compute used by the human brain over a lifetime_. As you might imagine, this leads to a much smaller estimate: the brain uses ~1e24 FLOP over 32 "&amp;"years of life, which is only 10x the amount used for AlphaStar, and even after adjusting upwards to account for man-made artifacts being worse than those made by evolution, the resulting model predicts a significant probability that we would already have "&amp;"been able to build a transformative model.
Finally, we can anchor _training compute for a transformative model_ to the _compute used by all animal brains over the course of evolution_. The basic assumption here is that our optimization algorithms and arc"&amp;"hitectures are not much better than simply “redoing” natural selection from a very primitive starting point. This leads to an estimate of ~1e41 FLOP to train a transformative model, which is more than the long horizon neural net path (though not hugely mo"&amp;"re).
**Putting it all together**
So we now have six different paths: the three neural net anchors (short, medium and long horizon), the genome anchor, the lifetime anchor, and the evolution anchor. We can now assign weights to each of these paths, where"&amp;" each weight can be interpreted as the probability that that path is the _cheapest_ way to get a transformative model, as well as a final weight that describes the chance that none of the paths work out.
The long horizon neural net path can be thought of"&amp;" as a conservative “default” view: it could work out simply by training directly on examples of a long horizon task where each data point takes around a subjective year to generate. However, there are several reasons to think that researchers will be able"&amp;" to do better than this. As a result, the author assigns 20% to the short horizon neural net, 30% to the medium horizon neural net, and 15% to the long horizon neural net.
The lifetime anchor would suggest that we either already could get TAI, or are ver"&amp;"y close, which seems very unlikely given the lack of major economic applications of neural nets so far, and so gets assigned only 5%. The genome path gets 10%, the evolution anchor gets 10%, and the remaining 10% is assigned to none of the paths working o"&amp;"ut.
This predicts a **median of 2052** for the year in which some actor would be willing and able to train a single transformative model, with the full graphs shown below:
&lt;GRAPHS HERE&gt;
**How does this relate to TAI?**
Note that what we’ve modeled so "&amp;"far is the probability that by year Y we will have enough compute for the final training run of a transformative model. This is not the same thing as the probability of developing TAI. There are several reasons that TAI could be developed _later_ than the"&amp;" given prediction:
1. Compute isn’t the only input required: we also need data, environments, human feedback, etc. While the author expects that these will not be the bottleneck, this is far from a certainty.
2. When thinking about any particular path an"&amp;"d making it more concrete, a host of problems tends to show up that will need to be solved and may add extra time. Some examples include robustness, reliability, possible breakdown of the scaling laws, the need to generate lots of different kinds of data,"&amp;" etc.
3. AI research could stall, whether because of regulation, a global catastrophe, an AI winter, or something else.
However, there are also compelling reasons to expect TAI to arrive _earlier_:
1. We may develop TAI through some other cheaper route,"&amp;" such as a &lt;@services model@&gt;(@Reframing Superintelligence: Comprehensive AI Services as General Intelligence@).
2. Our forecasts apply to a “balanced” model that has a similar profile of abilities as a human. In practice, it will likely be easier and che"&amp;"aper to build an “unbalanced” model that is superhuman in some domains and subhuman in others, that is nonetheless transformative.
3. The curves for several factors assume some maximum after which progress is not possible; in reality it is more likely tha"&amp;"t progress slows to some lower but non-zero growth rate.
In the near future, it seems likely that it would be harder to find cheaper routes (since there is less time to do the research), so we should probably assume that the probabilities are overestimat"&amp;"es, and for similar reasons for later years the probabilities should be treated as underestimates.
For the median of 2052, the author guesses that these considerations roughly cancel out, and so rounds the median for development of TAI to **2050**. A sen"&amp;"sitivity analysis concludes that 2040 is the “most aggressive plausible median”, while the “most conservative plausible median” is 2080.")</f>
        <v>Once again, we have a piece of work so large and detailed that I need a whole newsletter to summarize it! This time, it is a quantitative model for forecasting when transformative AI will happen. Note that since this is still a draft report, the numbers are in flux; the numbers below were taken when I read it and may no longer be up to date.
**The overall framework**
The key assumption behind this model is that if we train a neural net or other ML model that uses about as much computation as a human brain, that will likely result in transformative AI (TAI) (defined as AI that has an impact comparable to that of the industrial revolution). In other words, we _anchor_ our estimate of the ML model’s inference computation to that of the human brain. This assumption allows us to estimate how much compute will be required to train such a model _using 2020 algorithms_. By incorporating a trend extrapolation of how algorithmic progress will reduce the required amount of compute, we can get a prediction of how much compute would be required for the final training run of a transformative model in any given year.
We can also get a prediction of how much compute will be _available_ by predicting the cost of compute in a given year (which we have a decent amount of past evidence about), and predicting the maximum amount of money an actor would be willing to spend on a single training run. The probability that we can train a transformative model in year Y is then just the probability that the compute _requirement_ for year Y is less than the compute _available_ in year Y.
The vast majority of the report is focused on estimating the amount of compute required to train a transformative model using 2020 algorithms (where most of our uncertainty would come from); the remaining factors are estimated relatively quickly without too much detail. I’ll start with those so that you can have them as background knowledge before we delve into the real meat of the report. These are usually modeled as logistic curves in log space: that is, they are modeled as improving at some constant rate, but will level off and saturate at some maximum value after which they won’t improve.
**Algorithmic progress**
First off, we have the impact of _algorithmic progress_. &lt;@AI and Efficiency@&gt; estimates that algorithms improve enough to cut compute times in half every 16 months. However, this was measured on ImageNet, where researchers are directly optimizing for reduced computation costs. It seems less likely that researchers are doing as good a job at reducing computation costs for “training a transformative model”, and so the author increases the **halving time to 2-3 years**, with a maximum of **somewhere between 1-5 orders of magnitude** (with the assumption that the higher the “technical difficulty” of the problem, the more algorithmic progress is possible).
**Cost of compute**
Second, we need to estimate a trend for compute costs. There has been some prior work on this (summarized in [AN #97](https://mailchi.mp/a2b5efbcd3a7/an-97-are-there-historical-examples-of-large-robust-discontinuities)). The report has some similar analyses, and ends up estimating **a doubling time of 2.5 years**, and a (very unstable) maximum of improvement by **a factor of 2 million by 2100**.
**Willingness to spend**
Third, we would like to know the maximum amount (in 2020 dollars) any actor might spend on a single training run. Note that we are estimating the money spent on a _final training run_, which doesn’t include the cost of initial experiments or the cost of researcher time. Currently, the author estimates that all-in project costs are 10-100x larger than the final training run cost, but this will likely go down to something like 2-10x, as the incentive for reducing this ratio becomes much larger.
The author estimates that the most expensive run _in a published paper_ was the final &lt;@AlphaStar@&gt;(@AlphaStar: Mastering the Real-Time Strategy Game StarCraft II@) training run, at ~1e23 FLOP and $1M cost. However, there have probably been unpublished results that are slightly more expensive, maybe $2-8M. In line with &lt;@AI and Compute@&gt;, this will probably increase dramatically to about **$1B in 2025**.
Given that AI companies each have around $100B cash on hand, and could potentially borrow additional several hundreds of billions of dollars (given their current market caps and likely growth in the worlds where AI still looks promising), it seems likely that low hundreds of billions of dollars could be spent on a single run by 2040, corresponding to a doubling time (from $1B in 2025) of about 2 years.
To estimate the maximum here, we can compare to megaprojects like the Manhattan Project or the Apollo program, which suggests that a government could spend around 0.75% of GDP for ~4 years. Since transformative AI will likely be more valuable economically and strategically than these previous programs, we can shade that upwards to 1% of GDP for 5 years. Assuming all-in costs are 5x that of the final training run, this suggests the maximum willingness to spend should be 1% of GDP of the largest country, which we assume grows at ~3% every year.
**Strategy for estimating training compute for a transformative model**
In addition to the three factors of algorithmic progress, cost of compute, and willingness to spend, we need an estimate of how much computation would be needed to train a transformative model using 2020 algorithms (which I’ll discuss next). Then, at year Y, the compute required is given by computation needed with 2020 algorithms * improvement factor from algorithmic progress, which (in this report) is a probability distribution. At year Y, the compute available is given by FLOP per dollar (aka compute cost) * money that can be spent, which (in this report) is a point estimate. We can then simply read off the probability that the compute required is greater than the compute available.
Okay, so the last thing we need is a distribution over the amount of computation that would be needed to train a transformative model using 2020 algorithms, which is the main focus of this report. There is a lot of detail here that I’m going to elide over, especially in talking about the _distribution_ as a whole (whereas I will focus primarily on the median case for simplicity). As I mentioned early on, the key hypothesis is that we will need to train a neural net or other ML model that uses about as much compute as a human brain. So the strategy will be to first translate from “compute of human brain” to “inference compute of neural net”, and then to translate from “inference compute of neural net” to “training compute of neural net”.
**How much inference compute would a transformative model use?**
We can talk about the rate at which synapses fire in the human brain. How can we convert this to FLOP? The author proposes the following hypothetical: suppose we redo evolutionary history, but in every animal we replace each neuron with N [floating-point units](https://en.wikipedia.org/wiki/Floating-point_unit) that each perform 1 FLOP per second. For what value of N do we still get roughly human-level intelligence over a similar evolutionary timescale? The author then does some calculations about simulating synapses with FLOPs, drawing heavily on the &lt;@recent report on brain computation@&gt;(@How Much Computational Power It Takes to Match the Human Brain@), to estimate that N would be around 1-10,000, which after some more calculations suggests that the human brain is doing the equivalent of 1e13 - 1e16 FLOP per second, with **a median of 1e15 FLOP per second**, and a long tail to the right.
Does this mean we can say that a transformative model will use 1e15 FLOP per second during inference? Such a model would have a clear flaw: even though we are assuming that algorithmic progress reduces compute costs over time, if we did the same analysis in e.g. 1980, we’d get the _same_ estimate for the compute cost of a transformative model, which would imply that there was no algorithmic progress between 1980 and 2020! The problem is that we’d always estimate the brain as using 1e15 FLOP per second (or around there), but for our ML models there is a difference between FLOP per second _using 2020 algorithms_ and FLOP per second _using 1980 algorithms_. So how do we convert form “brain FLOP per second” to “inference FLOP per second for 2020 ML algorithms”?
One approach is to look at how other machines we have designed compare to the corresponding machines that evolution has designed. An [analysis](https://docs.google.com/document/d/1HUtUBpRbNnnWBxiO2bz3LumEsQcaZioAPZDNcsWPnos/edit) by Paul Christiano concluded that human-designed artifacts tend to be 2-3 orders of magnitude worse than those designed by evolution, when considering energy usage. Presumably a similar analysis done in the past would have resulted in higher numbers and thus wouldn’t fall prey to the problem above. Another approach is to compare existing ML models to animals with a similar amount of computation, and see which one is subjectively “more impressive”. For example, the AlphaStar model uses about as much computation as a bee brain, and large language models use somewhat more; the author finds it reasonable to say that AlphaStar is “about as sophisticated” as a bee, or that &lt;@GPT-3@&gt;(@Language Models are Few-Shot Learners@) is “more sophisticated” than a bee.
We can also look at some abstract considerations. Natural selection had _a lot_ of time to optimize brains, and natural artifacts are usually quite impressive. On the other hand, human designers have the benefit of intelligent design and can copy the patterns that natural selection has come up with. Overall, these considerations roughly balance each other out. Another important consideration is that we’re only predicting what would be needed for a model that was good at most tasks that a human would currently be good at (think a virtual personal assistant), whereas evolution optimized for a whole bunch of other skills that were needed in the ancestral environment. The author subjectively guesses that this should reduce our estimate of compute costs by about an order of magnitude.
Overall, putting all these considerations together, the author intuitively guesses that to convert from “brain FLOP per second” to “inference FLOP per second for 2020 ML algorithms”, we should add an order of magnitude to the median, and add another two orders of magnitude to the standard deviation to account for our large uncertainty. This results in a median of **1e16 FLOP per second** for the inference-time compute of a transformative model.
**Training compute for a transformative model**
We might expect a transformative model to run a forward pass **0.1 - 10 times per second** (which on the high end would match human reaction time of 100ms), and for each parameter of the neural net to contribute **1-100 FLOP per forward pass**, which implies that if the inference-time compute is 1e16 FLOP per second then the model should have **1e13 - 1e17 parameters**, with a median of **3e14 parameters**.
We now need to estimate how much compute it takes to train a transformative model with 3e14 parameters. We assume this is dominated by the number of times you have to run the model during training, or equivalently, the number of data points you train on times the number of times you train on each data point. (In particular, this assumes that the cost of acquiring data is negligible in comparison. The report argues for this assumption; for the sake of brevity I won’t summarize it here.)
For this, we need a relationship between parameters and data points, which we’ll assume will follow a power law KP^α, where P is the number of parameters and K and α are constants. A large number of ML theory results imply that the number of data points needed to reach a specified level of accuracy grows linearly with the number of parameters (i.e. α=1), which we can take as a weak prior. We can then update this with empirical evidence from papers. &lt;@Scaling Laws for Neural Language Models@&gt; suggests that for language models, data requirements scale as α=0.37 or as α=0.74, depending on what measure you look at. Meanwhile, [Deep Learning Scaling is Predictable, Empirically](https://arxiv.org/abs/1712.00409) suggests that α=1.39 for a wide variety of supervised learning problems (including language modeling). However, the former paper studies a more relevant setting: it includes regularization, and asks about the number of data points needed to reach a target accuracy, whereas the latter paper ignores regularization and asks about the minimum number of data points that the model _cannot_ overfit to. So overall the author puts more weight on the former paper and estimates a median of α=0.8, though with substantial uncertainty.
We also need to estimate how many epochs will be needed, i.e. how many times we train on any given data point. The author decides not to explicitly model this factor since it will likely be close to 1, and instead lumps in the uncertainty over the number of epochs with the uncertainty over the constant factor in the scaling law above. We can then look at language model runs to estimate a scaling law for them, for which the median scaling law predicts that we would need 1e13 data points for our 3e14 parameter model.
However, this has all been for supervised learning. It seems plausible that a transformative task would have to be trained using RL, where the model acts over a sequence of timesteps, and then receives (non-differentiable) feedback at the end of those timesteps. How would scaling laws apply in this setting? One simple assumption is to say that each rollout over the _effective horizon_ counts as one piece of “meaningful feedback” and so should count as a single data point. Here, the effective horizon is the minimum of the actual horizon and 1/(1-γ), where γ is the discount factor. We assume that the scaling law stays the same; if we instead try to estimate it from recent RL runs, it can change the results by about one order of magnitude.
So we now know we need to train a 3e14 parameter model with 1e13 data points for a transformative task. This gets us nearly all the way to the compute required with 2020 algorithms: we have a ~3e14 parameter model that takes ~1e16 FLOP per forward pass, that is trained on ~1e13 data points with each data point taking H timesteps, for a total of H * 1e29 FLOP. The author’s distributions are instead centered at H * 1e30 FLOP; I suspect this is simply because the author was computing with distributions whereas I’ve been directly manipulating medians in this summary.
The last and most uncertain piece of information is the effective horizon of a transformative task. We could imagine something as low as 1 subjective second (for something like language modeling), or something as high as 1e9 subjective seconds (i.e. 32 subjective years), if we were to redo evolution, or train on a task like “do effective scientific R&amp;D”. The author splits this up into short, medium and long horizon neural net paths (corresponding to horizons of 1e0-1e3, 1e3-1e6, and 1e6-1e9 respectively), and invites readers to place their own weights on each of the possible paths.
There are many important considerations here: for example, if you think that the dominating cost will be generative modeling (GPT-3 style, but maybe also for images, video etc), then you would place more weight on short horizons. Conversely, if you think the hard challenge is to gain meta learning abilities, and that we probably need “data points” comparable to the time between generations in human evolution, then you would place more weight on longer horizons.
**Adding three more potential anchors**
We can now combine all these ingredients to get a forecast for when compute will be available to develop a transformative model! But not yet: we’ll first add a few more possible “anchors” for the amount of computation needed for a transformative model. (All of the modeling so far has “anchored” the _inference time computation of a transformative model_ to the _inference time computation of the human brain_.)
First, we can anchor _parameter count of a transformative model_ to the _parameter count of the human genome_, which has far fewer “parameters” than the human brain. Specifically, we assume that all the scaling laws remain the same, but that a transformative model will only require 7.5e8 parameters (the amount of information in the human genome) rather than our previous estimate of ~1e15 parameters. This drastically reduces the amount of computation required, though it is still slightly above that of the short-horizon neural net, because the author assumed that the horizon for this path was somewhere between 1 and 32 years.
Second, we can anchor _training compute for a transformative model_ to the _compute used by the human brain over a lifetime_. As you might imagine, this leads to a much smaller estimate: the brain uses ~1e24 FLOP over 32 years of life, which is only 10x the amount used for AlphaStar, and even after adjusting upwards to account for man-made artifacts being worse than those made by evolution, the resulting model predicts a significant probability that we would already have been able to build a transformative model.
Finally, we can anchor _training compute for a transformative model_ to the _compute used by all animal brains over the course of evolution_. The basic assumption here is that our optimization algorithms and architectures are not much better than simply “redoing” natural selection from a very primitive starting point. This leads to an estimate of ~1e41 FLOP to train a transformative model, which is more than the long horizon neural net path (though not hugely more).
**Putting it all together**
So we now have six different paths: the three neural net anchors (short, medium and long horizon), the genome anchor, the lifetime anchor, and the evolution anchor. We can now assign weights to each of these paths, where each weight can be interpreted as the probability that that path is the _cheapest_ way to get a transformative model, as well as a final weight that describes the chance that none of the paths work out.
The long horizon neural net path can be thought of as a conservative “default” view: it could work out simply by training directly on examples of a long horizon task where each data point takes around a subjective year to generate. However, there are several reasons to think that researchers will be able to do better than this. As a result, the author assigns 20% to the short horizon neural net, 30% to the medium horizon neural net, and 15% to the long horizon neural net.
The lifetime anchor would suggest that we either already could get TAI, or are very close, which seems very unlikely given the lack of major economic applications of neural nets so far, and so gets assigned only 5%. The genome path gets 10%, the evolution anchor gets 10%, and the remaining 10% is assigned to none of the paths working out.
This predicts a **median of 2052** for the year in which some actor would be willing and able to train a single transformative model, with the full graphs shown below:
&lt;GRAPHS HERE&gt;
**How does this relate to TAI?**
Note that what we’ve modeled so far is the probability that by year Y we will have enough compute for the final training run of a transformative model. This is not the same thing as the probability of developing TAI. There are several reasons that TAI could be developed _later_ than the given prediction:
1. Compute isn’t the only input required: we also need data, environments, human feedback, etc. While the author expects that these will not be the bottleneck, this is far from a certainty.
2. When thinking about any particular path and making it more concrete, a host of problems tends to show up that will need to be solved and may add extra time. Some examples include robustness, reliability, possible breakdown of the scaling laws, the need to generate lots of different kinds of data, etc.
3. AI research could stall, whether because of regulation, a global catastrophe, an AI winter, or something else.
However, there are also compelling reasons to expect TAI to arrive _earlier_:
1. We may develop TAI through some other cheaper route, such as a &lt;@services model@&gt;(@Reframing Superintelligence: Comprehensive AI Services as General Intelligence@).
2. Our forecasts apply to a “balanced” model that has a similar profile of abilities as a human. In practice, it will likely be easier and cheaper to build an “unbalanced” model that is superhuman in some domains and subhuman in others, that is nonetheless transformative.
3. The curves for several factors assume some maximum after which progress is not possible; in reality it is more likely that progress slows to some lower but non-zero growth rate.
In the near future, it seems likely that it would be harder to find cheaper routes (since there is less time to do the research), so we should probably assume that the probabilities are overestimates, and for similar reasons for later years the probabilities should be treated as underestimates.
For the median of 2052, the author guesses that these considerations roughly cancel out, and so rounds the median for development of TAI to **2050**. A sensitivity analysis concludes that 2040 is the “most aggressive plausible median”, while the “most conservative plausible median” is 2080.</v>
      </c>
      <c r="K547" t="str">
        <f>IFERROR(__xludf.DUMMYFUNCTION("""COMPUTED_VALUE"""),"I really liked this report: it’s extremely thorough and anticipates and responds to a large number of potential reactions. I’ve made my own timelines estimate using the provided spreadsheet, and have adopted the resulting graph (with a few modifications) "&amp;"as my TAI timeline (which ends up with a median of ~2055). This is saying quite a lot: it’s pretty rare that a quantitative model is compelling enough that I’m inclined to only slightly edit its output, as opposed to simply using the quantitative model to"&amp;" inform my intuitions.
Here are the main ways in which my model is different from the one in the report:
**1. Ignoring the genome anchor**
I ignore the genome anchor because I don’t buy the model: even if researchers did create a very parameter-efficie"&amp;"nt model class (which seems unlikely), I would not expect the same scaling laws to apply to that model class. The report mentions that you could also interpret the genome anchor as simply providing a constraint on how many data points are needed to train "&amp;"long-horizon behaviors (since that’s what evolution was optimizing), but I prefer to take this as (fairly weak) evidence that informs what weights to place on short vs. medium vs. long horizons for neural nets.
**2. Placing more weight on short and mediu"&amp;"m horizons relative to long horizons**
I place 30% on short horizons, 40% on medium horizons, and 10% on long horizons. The report already names several reasons why we might expect the long horizon assumption to be too conservative. I agree with all of t"&amp;"hose, and have one more of my own:
If meta-learning turns out to require a huge amount of compute, we can instead directly train on some transformative task with a lower horizon. Even some of the hardest tasks like scientific R&amp;D shouldn’t have a huge ho"&amp;"rizon: even if we assume that it takes human scientists a year to produce the equivalent of a single data point, at 40 hours a week that comes out to a horizon of 2000 subjective hours, or 7e6 seconds. This is near the beginning of the long horizon realm "&amp;"of 1e6-1e9 seconds and seems like a very conservative overestimate to me.
(Note that in practice I’d guess we will train something like a meta-learner, because I suspect the skill of meta-learning will not require such large average effective horizons.)
"&amp;"
**3. Reduced willingness to spend**
My willingness to spend forecasts are somewhat lower: the predictions and reasoning in this report feel closer to upper bounds on how much people might spend rather than predictions of how much they will spend. Assumi"&amp;"ng we reduce the ratio of all-in project costs to final training run costs to 10x, spending $1B on a training run by 2025 would imply all-in project costs of $10B, which is ~40% of Google’s yearly R&amp;D budget of $26B, or 10% of the budget for a 4-year proj"&amp;"ect. Possibly this wouldn’t be classified as R&amp;D, but it would also be _2% of all expenditures over 4 years_. This feels remarkably high to me for something that’s supposed to happen within 5 years; while I wouldn’t rule it out, it wouldn’t be my median p"&amp;"rediction.
**4. Accounting for challenges**
While the report does talk about challenges in e.g. getting the right data and environments by the right time, I think there are a bunch of other challenges as well: for example, you need to ensure that your m"&amp;"odel is aligned, robust, and reliable (at least if you want to deploy it and get economic value from it). I do expect that these challenges will be easier than they are today, partly because more research will have been done, and partly because the models"&amp;" themselves will be more capable.
Another example of a challenge would be PR concerns: it seems very plausible to me that there will be a backlash against transformative AI systems resulting in those systems being deployed later than we’d expect them to "&amp;"be according to this model.
To be more concrete, if we ignore points 1-3 and assume this is my only disagreement, then for the median of 2052, rather than assuming that reasons for optimism and pessimism approximately cancel out to yield 2050 as the medi"&amp;"an for TAI, I’d be inclined to shade upwards to 2055 or 2060 as my median for TAI.
")</f>
        <v>I really liked this report: it’s extremely thorough and anticipates and responds to a large number of potential reactions. I’ve made my own timelines estimate using the provided spreadsheet, and have adopted the resulting graph (with a few modifications) as my TAI timeline (which ends up with a median of ~2055). This is saying quite a lot: it’s pretty rare that a quantitative model is compelling enough that I’m inclined to only slightly edit its output, as opposed to simply using the quantitative model to inform my intuitions.
Here are the main ways in which my model is different from the one in the report:
**1. Ignoring the genome anchor**
I ignore the genome anchor because I don’t buy the model: even if researchers did create a very parameter-efficient model class (which seems unlikely), I would not expect the same scaling laws to apply to that model class. The report mentions that you could also interpret the genome anchor as simply providing a constraint on how many data points are needed to train long-horizon behaviors (since that’s what evolution was optimizing), but I prefer to take this as (fairly weak) evidence that informs what weights to place on short vs. medium vs. long horizons for neural nets.
**2. Placing more weight on short and medium horizons relative to long horizons**
I place 30% on short horizons, 40% on medium horizons, and 10% on long horizons. The report already names several reasons why we might expect the long horizon assumption to be too conservative. I agree with all of those, and have one more of my own:
If meta-learning turns out to require a huge amount of compute, we can instead directly train on some transformative task with a lower horizon. Even some of the hardest tasks like scientific R&amp;D shouldn’t have a huge horizon: even if we assume that it takes human scientists a year to produce the equivalent of a single data point, at 40 hours a week that comes out to a horizon of 2000 subjective hours, or 7e6 seconds. This is near the beginning of the long horizon realm of 1e6-1e9 seconds and seems like a very conservative overestimate to me.
(Note that in practice I’d guess we will train something like a meta-learner, because I suspect the skill of meta-learning will not require such large average effective horizons.)
**3. Reduced willingness to spend**
My willingness to spend forecasts are somewhat lower: the predictions and reasoning in this report feel closer to upper bounds on how much people might spend rather than predictions of how much they will spend. Assuming we reduce the ratio of all-in project costs to final training run costs to 10x, spending $1B on a training run by 2025 would imply all-in project costs of $10B, which is ~40% of Google’s yearly R&amp;D budget of $26B, or 10% of the budget for a 4-year project. Possibly this wouldn’t be classified as R&amp;D, but it would also be _2% of all expenditures over 4 years_. This feels remarkably high to me for something that’s supposed to happen within 5 years; while I wouldn’t rule it out, it wouldn’t be my median prediction.
**4. Accounting for challenges**
While the report does talk about challenges in e.g. getting the right data and environments by the right time, I think there are a bunch of other challenges as well: for example, you need to ensure that your model is aligned, robust, and reliable (at least if you want to deploy it and get economic value from it). I do expect that these challenges will be easier than they are today, partly because more research will have been done, and partly because the models themselves will be more capable.
Another example of a challenge would be PR concerns: it seems very plausible to me that there will be a backlash against transformative AI systems resulting in those systems being deployed later than we’d expect them to be according to this model.
To be more concrete, if we ignore points 1-3 and assume this is my only disagreement, then for the median of 2052, rather than assuming that reasons for optimism and pessimism approximately cancel out to yield 2050 as the median for TAI, I’d be inclined to shade upwards to 2055 or 2060 as my median for TAI.
</v>
      </c>
    </row>
    <row r="548">
      <c r="A548" t="str">
        <f>IFERROR(__xludf.DUMMYFUNCTION("""COMPUTED_VALUE"""),"Forecasting")</f>
        <v>Forecasting</v>
      </c>
      <c r="B548" t="str">
        <f>IFERROR(__xludf.DUMMYFUNCTION("""COMPUTED_VALUE"""),"Highlight")</f>
        <v>Highlight</v>
      </c>
      <c r="C548" s="3" t="str">
        <f>IFERROR(__xludf.DUMMYFUNCTION("""COMPUTED_VALUE"""),"Modeling the Human Trajectory")</f>
        <v>Modeling the Human Trajectory</v>
      </c>
      <c r="D548" t="str">
        <f>IFERROR(__xludf.DUMMYFUNCTION("""COMPUTED_VALUE"""),"David Roodman")</f>
        <v>David Roodman</v>
      </c>
      <c r="E548" t="str">
        <f>IFERROR(__xludf.DUMMYFUNCTION("""COMPUTED_VALUE"""),"Open Philanthropy Blog")</f>
        <v>Open Philanthropy Blog</v>
      </c>
      <c r="F548">
        <f>IFERROR(__xludf.DUMMYFUNCTION("""COMPUTED_VALUE"""),2020.0)</f>
        <v>2020</v>
      </c>
      <c r="H548" s="3" t="str">
        <f>IFERROR(__xludf.DUMMYFUNCTION("""COMPUTED_VALUE"""),"AN #105")</f>
        <v>AN #105</v>
      </c>
      <c r="I548" t="str">
        <f>IFERROR(__xludf.DUMMYFUNCTION("""COMPUTED_VALUE"""),"Nicholas")</f>
        <v>Nicholas</v>
      </c>
      <c r="J548" t="str">
        <f>IFERROR(__xludf.DUMMYFUNCTION("""COMPUTED_VALUE"""),"This post analyzes the human trajectory from 10,000 BCE to the present and considers its implications for the future. The metric used for this is Gross World Product (GWP), the sum total of goods and services produced in the world over the course of a yea"&amp;"r. 
Looking at GWP over this long stretch leads to a few interesting conclusions. First, until 1800, most people lived near subsistence levels. This means that growth in GWP was primarily driven by growth in population. Since then population growth has s"&amp;"lowed and GWP per capita has increased, leading to our vastly improved quality of life today. Second, an exponential function does not fit the data well at all. In an exponential function, the time for GWP to double would be constant. Instead, GWP seems t"&amp;"o be doubling faster, which is better fit by a power law. However, the conclusion of extrapolating this relationship forward is extremely rapid economic growth, approaching infinite GWP as we near the year 2047. 
Next, Roodman creates a stochastic model "&amp;"in order to analyze not just the modal prediction, but also get the full distribution over how likely particular outcomes are. By fitting this to only past data, he analyzes how surprising each period of GWP was. This finds that the industrial revolution "&amp;"and the period after it was above the 90th percentile of the model’s distribution, corresponding to surprisingly fast economic growth. Analogously, the past 30 years have seen anomalously lower growth, around the 25th percentile. This suggests that the mo"&amp;"del's stochasticity does not appropriately capture the real world -- while a good model can certainly be ""surprised"" by high or low growth during one period, it should probably not be _consistently_ surprised in the same direction, as happens here.
In "&amp;"addition to looking at the data empirically, he provides a theoretical model for how this accelerating growth can occur by generalizing a standard economic model. Typically, the economic model assumes technology is a fixed input or has a fixed rate of gro"&amp;"wth and does not allow for production to be reinvested in technological improvements. Once reinvestment is incorporated into the model, then the economic growth rate accelerates similarly to the historical data.")</f>
        <v>This post analyzes the human trajectory from 10,000 BCE to the present and considers its implications for the future. The metric used for this is Gross World Product (GWP), the sum total of goods and services produced in the world over the course of a year. 
Looking at GWP over this long stretch leads to a few interesting conclusions. First, until 1800, most people lived near subsistence levels. This means that growth in GWP was primarily driven by growth in population. Since then population growth has slowed and GWP per capita has increased, leading to our vastly improved quality of life today. Second, an exponential function does not fit the data well at all. In an exponential function, the time for GWP to double would be constant. Instead, GWP seems to be doubling faster, which is better fit by a power law. However, the conclusion of extrapolating this relationship forward is extremely rapid economic growth, approaching infinite GWP as we near the year 2047. 
Next, Roodman creates a stochastic model in order to analyze not just the modal prediction, but also get the full distribution over how likely particular outcomes are. By fitting this to only past data, he analyzes how surprising each period of GWP was. This finds that the industrial revolution and the period after it was above the 90th percentile of the model’s distribution, corresponding to surprisingly fast economic growth. Analogously, the past 30 years have seen anomalously lower growth, around the 25th percentile. This suggests that the model's stochasticity does not appropriately capture the real world -- while a good model can certainly be "surprised" by high or low growth during one period, it should probably not be _consistently_ surprised in the same direction, as happens here.
In addition to looking at the data empirically, he provides a theoretical model for how this accelerating growth can occur by generalizing a standard economic model. Typically, the economic model assumes technology is a fixed input or has a fixed rate of growth and does not allow for production to be reinvested in technological improvements. Once reinvestment is incorporated into the model, then the economic growth rate accelerates similarly to the historical data.</v>
      </c>
      <c r="K548" t="str">
        <f>IFERROR(__xludf.DUMMYFUNCTION("""COMPUTED_VALUE"""),"I found this paper very interesting and was quite surprised by its results. That said, I remain confused about what conclusions I should draw from it. The power law trend does seem to fit historical data very well, but the past 70 years are fit quite well"&amp;" by an [exponential trend](https://ourworldindata.org/grapher/world-gdp-over-the-last-two-millennia?yScale=log&amp;time=1950..). Which one is relevant for predicting the future, if either, is quite unclear to me. 
The theoretical model proposed makes more se"&amp;"nse to me. If technology is responsible for the growth rate, then reinvesting production in technology will cause the growth rate to be faster. I'd be curious to see data on what fraction of GWP gets reinvested in improved technology and how that lines up"&amp;" with the other trends.
**Rohin’s opinion:** I enjoyed this post; it gave me a visceral sense for what hyperbolic models with noise look like (see the blog post for this, the summary doesn’t capture it). Overall, I think my takeaway is that the picture u"&amp;"sed in AI risk of explosive growth is in fact plausible, despite how crazy it initially sounds. Of course, it won’t literally diverge to infinity -- we will eventually hit some sort of limit on growth, even with “just” exponential growth -- but this limit"&amp;" could be quite far beyond what we have achieved so far. See also [this related post](https://www.lesswrong.com/posts/66FKFkWAugS8diydF/modelling-continuous-progress).")</f>
        <v>I found this paper very interesting and was quite surprised by its results. That said, I remain confused about what conclusions I should draw from it. The power law trend does seem to fit historical data very well, but the past 70 years are fit quite well by an [exponential trend](https://ourworldindata.org/grapher/world-gdp-over-the-last-two-millennia?yScale=log&amp;time=1950..). Which one is relevant for predicting the future, if either, is quite unclear to me. 
The theoretical model proposed makes more sense to me. If technology is responsible for the growth rate, then reinvesting production in technology will cause the growth rate to be faster. I'd be curious to see data on what fraction of GWP gets reinvested in improved technology and how that lines up with the other trends.
**Rohin’s opinion:** I enjoyed this post; it gave me a visceral sense for what hyperbolic models with noise look like (see the blog post for this, the summary doesn’t capture it). Overall, I think my takeaway is that the picture used in AI risk of explosive growth is in fact plausible, despite how crazy it initially sounds. Of course, it won’t literally diverge to infinity -- we will eventually hit some sort of limit on growth, even with “just” exponential growth -- but this limit could be quite far beyond what we have achieved so far. See also [this related post](https://www.lesswrong.com/posts/66FKFkWAugS8diydF/modelling-continuous-progress).</v>
      </c>
    </row>
    <row r="549">
      <c r="A549" t="str">
        <f>IFERROR(__xludf.DUMMYFUNCTION("""COMPUTED_VALUE"""),"Forecasting")</f>
        <v>Forecasting</v>
      </c>
      <c r="B549" t="str">
        <f>IFERROR(__xludf.DUMMYFUNCTION("""COMPUTED_VALUE"""),"Highlight")</f>
        <v>Highlight</v>
      </c>
      <c r="C549" s="3" t="str">
        <f>IFERROR(__xludf.DUMMYFUNCTION("""COMPUTED_VALUE"""),"Danny Hernandez on forecasting and the drivers of AI progress")</f>
        <v>Danny Hernandez on forecasting and the drivers of AI progress</v>
      </c>
      <c r="D549" t="str">
        <f>IFERROR(__xludf.DUMMYFUNCTION("""COMPUTED_VALUE"""),"Arden Koehler and Danny Hernandez")</f>
        <v>Arden Koehler and Danny Hernandez</v>
      </c>
      <c r="E549" t="str">
        <f>IFERROR(__xludf.DUMMYFUNCTION("""COMPUTED_VALUE"""),"80000 Hours Podcast")</f>
        <v>80000 Hours Podcast</v>
      </c>
      <c r="F549">
        <f>IFERROR(__xludf.DUMMYFUNCTION("""COMPUTED_VALUE"""),2020.0)</f>
        <v>2020</v>
      </c>
      <c r="H549" s="3" t="str">
        <f>IFERROR(__xludf.DUMMYFUNCTION("""COMPUTED_VALUE"""),"AN #101")</f>
        <v>AN #101</v>
      </c>
      <c r="I549" t="str">
        <f>IFERROR(__xludf.DUMMYFUNCTION("""COMPUTED_VALUE"""),"Rohin")</f>
        <v>Rohin</v>
      </c>
      <c r="J549" t="str">
        <f>IFERROR(__xludf.DUMMYFUNCTION("""COMPUTED_VALUE"""),"This podcast is a great introduction to the practice of forecasting and measurement in AI, and why it is important. I won't summarize everything in the podcast, but here are some of the points made.
Danny talks about the &lt;@AI and Compute@&gt; and &lt;@AI and E"&amp;"fficiency@&gt; work that he did at OpenAI. The former shows that the compute devoted to the largest-scale experiments has increased by a factor of 300,000 from 2012 to 2018, and the latter suggests that algorithms have been able to achieve similar performanc"&amp;"e with 25x less compute over the same time period (later updated to 44x from 2012 to 2019).
One thing I didn’t realize earlier was that the 25x / 44x factor should be thought of as a loose lower bound: in other areas such as language modeling, the factor"&amp;" looks higher. But more importantly, the methodology used doesn’t allow us to model the effects of an algorithm allowing us to do something we couldn’t do before (which we could interpret as something we could do, but with way more compute). Possibly this"&amp;" algorithmic progress should be thought of as a 100x or even 1000x improvement in efficiency. Overall, Danny sees both algorithmic progress and increase in compute as pretty big factors in predicting how AI will go in the future.
Unfortunately, it’s hard"&amp;" to draw strong implications from these measurements for the downstream things we care about -- should we think that AI progress is “slow” or “fast”, or “linear” or “exponential”, based on these results? It’s important to be specific about the units you’r"&amp;"e using when thinking about such a question. Danny thinks the economic impact of AI is an important lens here. It seems to him that neural nets were having very little impact back in (say) 2008, but since then they have been having a lot more impact, e.g."&amp;" by making ~15% of Google searches better (by using a new language model). To his eye, this trend looks exponential.
In any case, Danny thinks that this sort of rigorous measurement and forecasting work is important, because it provides concrete inputs t"&amp;"hat can allow decision makers to perform their job better. This is at least one reason why OpenAI’s communication policy involves blog posts that deliberately target a wide audience: any decision maker can read these posts and get value out of them (unlik"&amp;"e e.g. research papers).
This work is part of the broader work done by the Foresight team at OpenAI (which is hiring for research engineers): other work includes &lt;@Scaling Laws for Neural Language Models@&gt; and &lt;@How AI Training Scales@&gt;.
Danny thinks wo"&amp;"rk in AI hardware is promising and under-explored by the community: it seems like it will be a particularly important field in the future, as it will drive some of the progress in increased compute, and as a result having some influence in the area could "&amp;"be quite helpful. For example, perhaps one could advocate for a &lt;@windfall clause@&gt;(@The Windfall Clause: Distributing the Benefits of AI@) at AI hardware companies.")</f>
        <v>This podcast is a great introduction to the practice of forecasting and measurement in AI, and why it is important. I won't summarize everything in the podcast, but here are some of the points made.
Danny talks about the &lt;@AI and Compute@&gt; and &lt;@AI and Efficiency@&gt; work that he did at OpenAI. The former shows that the compute devoted to the largest-scale experiments has increased by a factor of 300,000 from 2012 to 2018, and the latter suggests that algorithms have been able to achieve similar performance with 25x less compute over the same time period (later updated to 44x from 2012 to 2019).
One thing I didn’t realize earlier was that the 25x / 44x factor should be thought of as a loose lower bound: in other areas such as language modeling, the factor looks higher. But more importantly, the methodology used doesn’t allow us to model the effects of an algorithm allowing us to do something we couldn’t do before (which we could interpret as something we could do, but with way more compute). Possibly this algorithmic progress should be thought of as a 100x or even 1000x improvement in efficiency. Overall, Danny sees both algorithmic progress and increase in compute as pretty big factors in predicting how AI will go in the future.
Unfortunately, it’s hard to draw strong implications from these measurements for the downstream things we care about -- should we think that AI progress is “slow” or “fast”, or “linear” or “exponential”, based on these results? It’s important to be specific about the units you’re using when thinking about such a question. Danny thinks the economic impact of AI is an important lens here. It seems to him that neural nets were having very little impact back in (say) 2008, but since then they have been having a lot more impact, e.g. by making ~15% of Google searches better (by using a new language model). To his eye, this trend looks exponential.
In any case, Danny thinks that this sort of rigorous measurement and forecasting work is important, because it provides concrete inputs that can allow decision makers to perform their job better. This is at least one reason why OpenAI’s communication policy involves blog posts that deliberately target a wide audience: any decision maker can read these posts and get value out of them (unlike e.g. research papers).
This work is part of the broader work done by the Foresight team at OpenAI (which is hiring for research engineers): other work includes &lt;@Scaling Laws for Neural Language Models@&gt; and &lt;@How AI Training Scales@&gt;.
Danny thinks work in AI hardware is promising and under-explored by the community: it seems like it will be a particularly important field in the future, as it will drive some of the progress in increased compute, and as a result having some influence in the area could be quite helpful. For example, perhaps one could advocate for a &lt;@windfall clause@&gt;(@The Windfall Clause: Distributing the Benefits of AI@) at AI hardware companies.</v>
      </c>
      <c r="K549" t="str">
        <f>IFERROR(__xludf.DUMMYFUNCTION("""COMPUTED_VALUE"""),"This measurement and forecasting work seems great; it constrains how we should expect future AI systems to look, and also improves our understanding of the impacts of AI, which probably helps us develop plans for deployment.
I was not very convinced by t"&amp;"he reasoning about economic impact. I would believe that the economic impact of neural nets has grown exponentially, but it seems like we should be analyzing trends in machine learning (ML) overall, not just neural nets, and it seems much less likely to m"&amp;"e that we see an exponential growth in that. Any time you see a new, better version of a previous technology (as with neural nets in relation to ML), you’re going to see an exponential trend as the new technology is adopted; this doesn’t mean that the exp"&amp;"onential will keep going on and lead to transformative impact.")</f>
        <v>This measurement and forecasting work seems great; it constrains how we should expect future AI systems to look, and also improves our understanding of the impacts of AI, which probably helps us develop plans for deployment.
I was not very convinced by the reasoning about economic impact. I would believe that the economic impact of neural nets has grown exponentially, but it seems like we should be analyzing trends in machine learning (ML) overall, not just neural nets, and it seems much less likely to me that we see an exponential growth in that. Any time you see a new, better version of a previous technology (as with neural nets in relation to ML), you’re going to see an exponential trend as the new technology is adopted; this doesn’t mean that the exponential will keep going on and lead to transformative impact.</v>
      </c>
    </row>
    <row r="550">
      <c r="A550" t="str">
        <f>IFERROR(__xludf.DUMMYFUNCTION("""COMPUTED_VALUE"""),"Forecasting")</f>
        <v>Forecasting</v>
      </c>
      <c r="B550" t="str">
        <f>IFERROR(__xludf.DUMMYFUNCTION("""COMPUTED_VALUE"""),"")</f>
        <v/>
      </c>
      <c r="C550" t="str">
        <f>IFERROR(__xludf.DUMMYFUNCTION("""COMPUTED_VALUE"""),"Various trends relevant to AI alignment")</f>
        <v>Various trends relevant to AI alignment</v>
      </c>
      <c r="D550" t="str">
        <f>IFERROR(__xludf.DUMMYFUNCTION("""COMPUTED_VALUE"""),"Asya Bergal and Daniel Kokotajlo")</f>
        <v>Asya Bergal and Daniel Kokotajlo</v>
      </c>
      <c r="E550" t="str">
        <f>IFERROR(__xludf.DUMMYFUNCTION("""COMPUTED_VALUE"""),"AI Impacts")</f>
        <v>AI Impacts</v>
      </c>
      <c r="F550">
        <f>IFERROR(__xludf.DUMMYFUNCTION("""COMPUTED_VALUE"""),2020.0)</f>
        <v>2020</v>
      </c>
      <c r="H550" s="3" t="str">
        <f>IFERROR(__xludf.DUMMYFUNCTION("""COMPUTED_VALUE"""),"AN #97")</f>
        <v>AN #97</v>
      </c>
      <c r="I550" t="str">
        <f>IFERROR(__xludf.DUMMYFUNCTION("""COMPUTED_VALUE"""),"Rohin")</f>
        <v>Rohin</v>
      </c>
      <c r="J550" t="str">
        <f>IFERROR(__xludf.DUMMYFUNCTION("""COMPUTED_VALUE"""),"AI Impacts has published a few analyses of trends relevant to AI alignment (see links below).
Will we see a continuous or discontinuous takeoff? [Takeoff speeds](https://sideways-view.com/2018/02/24/takeoff-speeds/) operationalizes continuous takeoff (th"&amp;"ere called ""slow takeoff"") as: There will be a complete 4 year interval in which world output doubles, before the first 1 year interval in which world output doubles. AI impacts searched for [precedents for economic n-year doubling before 4n-year doubli"&amp;"ng](https://aiimpacts.org/precedents-for-economic-n-year-doubling-before-4n-year-doubling/), and found that this happened between 4,000 and 3,000 BC, and probably also between 10,000 and 4,000 BC. (Note this implies there was a 6000-year doubling before t"&amp;"he 1000-year doubling, even though there wasn't a 4000-year doubling.)
How hard will it be to solve a crisply-stated problem of alignment? One way to get an outside view on the matter is to look at [resolutions of mathematical conjectures over time](http"&amp;"s://aiimpacts.org/resolutions-of-mathematical-conjectures-over-time/). While there is obvious sampling bias in which conjectures are remembered as being important, the results could nonetheless be informative. They find that ""the data is fit closely by a"&amp;"n exponential function with a half-life of 117 years"".
Since AI progress seems to be driven at least partially by &lt;@compute@&gt;(@AI and Compute@), forecasting trends in compute seems important to forecasting AI progress. [DRAM price per gigabyte](https://"&amp;"aiimpacts.org/trends-in-dram-price-per-gigabyte/) has fallen by about an order of magnitude every 5 years from 1957 to 2020, although since 2010, the data suggests more like 14 years for a drop by an order of magnitude. [Geekbench score per CPU price](htt"&amp;"ps://aiimpacts.org/2019-recent-trends-in-geekbench-score-per-cpu-price/) has grown by around 16% a year from 2006-2020, which would yield an order of magnitude over 16 years. This is slower than other [CPU growth trends](https://aiimpacts.org/trends-in-th"&amp;"e-cost-of-computing/), but this could be because Geekbench score is a markedly different metric.")</f>
        <v>AI Impacts has published a few analyses of trends relevant to AI alignment (see links below).
Will we see a continuous or discontinuous takeoff? [Takeoff speeds](https://sideways-view.com/2018/02/24/takeoff-speeds/) operationalizes continuous takeoff (there called "slow takeoff") as: There will be a complete 4 year interval in which world output doubles, before the first 1 year interval in which world output doubles. AI impacts searched for [precedents for economic n-year doubling before 4n-year doubling](https://aiimpacts.org/precedents-for-economic-n-year-doubling-before-4n-year-doubling/), and found that this happened between 4,000 and 3,000 BC, and probably also between 10,000 and 4,000 BC. (Note this implies there was a 6000-year doubling before the 1000-year doubling, even though there wasn't a 4000-year doubling.)
How hard will it be to solve a crisply-stated problem of alignment? One way to get an outside view on the matter is to look at [resolutions of mathematical conjectures over time](https://aiimpacts.org/resolutions-of-mathematical-conjectures-over-time/). While there is obvious sampling bias in which conjectures are remembered as being important, the results could nonetheless be informative. They find that "the data is fit closely by an exponential function with a half-life of 117 years".
Since AI progress seems to be driven at least partially by &lt;@compute@&gt;(@AI and Compute@), forecasting trends in compute seems important to forecasting AI progress. [DRAM price per gigabyte](https://aiimpacts.org/trends-in-dram-price-per-gigabyte/) has fallen by about an order of magnitude every 5 years from 1957 to 2020, although since 2010, the data suggests more like 14 years for a drop by an order of magnitude. [Geekbench score per CPU price](https://aiimpacts.org/2019-recent-trends-in-geekbench-score-per-cpu-price/) has grown by around 16% a year from 2006-2020, which would yield an order of magnitude over 16 years. This is slower than other [CPU growth trends](https://aiimpacts.org/trends-in-the-cost-of-computing/), but this could be because Geekbench score is a markedly different metric.</v>
      </c>
      <c r="K550" t="str">
        <f>IFERROR(__xludf.DUMMYFUNCTION("""COMPUTED_VALUE"""),"I'm surprised that mathematical conjectures take so long to be resolved, I would have expected a smaller half-life than _117 years_. I'm not sure if I should update strongly though -- it's possible that we only remember conjectures that took a long time t"&amp;"o be resolved (though it's somewhat surprising then how well the data fits an exponential).")</f>
        <v>I'm surprised that mathematical conjectures take so long to be resolved, I would have expected a smaller half-life than _117 years_. I'm not sure if I should update strongly though -- it's possible that we only remember conjectures that took a long time to be resolved (though it's somewhat surprising then how well the data fits an exponential).</v>
      </c>
    </row>
    <row r="551">
      <c r="A551" t="str">
        <f>IFERROR(__xludf.DUMMYFUNCTION("""COMPUTED_VALUE"""),"Forecasting")</f>
        <v>Forecasting</v>
      </c>
      <c r="B551" t="str">
        <f>IFERROR(__xludf.DUMMYFUNCTION("""COMPUTED_VALUE"""),"")</f>
        <v/>
      </c>
      <c r="C551" s="3" t="str">
        <f>IFERROR(__xludf.DUMMYFUNCTION("""COMPUTED_VALUE"""),"Openness Norms in AGI Development")</f>
        <v>Openness Norms in AGI Development</v>
      </c>
      <c r="D551" t="str">
        <f>IFERROR(__xludf.DUMMYFUNCTION("""COMPUTED_VALUE"""),"Sublation")</f>
        <v>Sublation</v>
      </c>
      <c r="E551" t="str">
        <f>IFERROR(__xludf.DUMMYFUNCTION("""COMPUTED_VALUE"""),"Alignment Forum")</f>
        <v>Alignment Forum</v>
      </c>
      <c r="F551">
        <f>IFERROR(__xludf.DUMMYFUNCTION("""COMPUTED_VALUE"""),2020.0)</f>
        <v>2020</v>
      </c>
      <c r="H551" s="3" t="str">
        <f>IFERROR(__xludf.DUMMYFUNCTION("""COMPUTED_VALUE"""),"AN #94")</f>
        <v>AN #94</v>
      </c>
      <c r="I551" t="str">
        <f>IFERROR(__xludf.DUMMYFUNCTION("""COMPUTED_VALUE"""),"Rohin")</f>
        <v>Rohin</v>
      </c>
      <c r="J551" t="str">
        <f>IFERROR(__xludf.DUMMYFUNCTION("""COMPUTED_VALUE"""),"This post summarizes two papers that provide models of why scientific research tends to be so open, and then applies it to the development of powerful AI systems. The [first](http://www.strevens.org/research/scistruc/Communicans.pdf) models science as a s"&amp;"eries of discoveries, in which the first academic group to reach a discovery gets all the credit for it. It shows that for a few different models of info-sharing, info-sharing helps everyone reach the discovery sooner, but doesn't change the probabilities"&amp;" for who makes the discovery first (called _race-clinching probabilities_): as a result, sharing all information is a better strategy than sharing none (and is easier to coordinate on than the possibly-better strategy of sharing just some information).
H"&amp;"owever, this theorem doesn't apply when info sharing compresses the discovery probabilities _unequally_ across actors: in this case, the race-clinching probabilities _do_ change, and the group whose probability would go down is instead incentivized to kee"&amp;"p information secret (which then causes everyone else to keep their information secret). This could be good news: it suggests that actors are incentivized to share safety research (which probably doesn't affect race-clinching probabilities) while keeping "&amp;"capabilities research secret (thereby leading to longer timelines).
The [second paper](http://philsci-archive.pitt.edu/13452/1/Heesen%202017%20Communism%20and%20the%20Incentive%20to%20Share%20in%20Science%20preprint.pdf) assumes that scientists are compe"&amp;"ting to complete a k-stage project, and whenever they publish, they get credit for all the stages they completed that were not yet published by anyone else. It also assumes that earlier stages have a higher credit-to-difficulty ratio (where difficulty can"&amp;" be different across scientists). It finds that under this setting scientists are incentivized to publish whenever possible. For AI development, this seems not to be too relevant: we should expect that with powerful AI systems, most of the ""credit"" (pro"&amp;"fit) comes from the last few stages, where it is possible to deploy the AI system to earn money.")</f>
        <v>This post summarizes two papers that provide models of why scientific research tends to be so open, and then applies it to the development of powerful AI systems. The [first](http://www.strevens.org/research/scistruc/Communicans.pdf) models science as a series of discoveries, in which the first academic group to reach a discovery gets all the credit for it. It shows that for a few different models of info-sharing, info-sharing helps everyone reach the discovery sooner, but doesn't change the probabilities for who makes the discovery first (called _race-clinching probabilities_): as a result, sharing all information is a better strategy than sharing none (and is easier to coordinate on than the possibly-better strategy of sharing just some information).
However, this theorem doesn't apply when info sharing compresses the discovery probabilities _unequally_ across actors: in this case, the race-clinching probabilities _do_ change, and the group whose probability would go down is instead incentivized to keep information secret (which then causes everyone else to keep their information secret). This could be good news: it suggests that actors are incentivized to share safety research (which probably doesn't affect race-clinching probabilities) while keeping capabilities research secret (thereby leading to longer timelines).
The [second paper](http://philsci-archive.pitt.edu/13452/1/Heesen%202017%20Communism%20and%20the%20Incentive%20to%20Share%20in%20Science%20preprint.pdf) assumes that scientists are competing to complete a k-stage project, and whenever they publish, they get credit for all the stages they completed that were not yet published by anyone else. It also assumes that earlier stages have a higher credit-to-difficulty ratio (where difficulty can be different across scientists). It finds that under this setting scientists are incentivized to publish whenever possible. For AI development, this seems not to be too relevant: we should expect that with powerful AI systems, most of the "credit" (profit) comes from the last few stages, where it is possible to deploy the AI system to earn money.</v>
      </c>
      <c r="K551" t="str">
        <f>IFERROR(__xludf.DUMMYFUNCTION("""COMPUTED_VALUE"""),"I enjoyed this post a lot; the question of openness in AI research is an important one, that depends both on the scientific community and industry practice. The scientific community is extremely open, and the second paper especially seems to capture well "&amp;"the reason why. In contrast industry is often more secret (plausibly due to &lt;@patents@&gt;(@Who owns artificial intelligence? A preliminary analysis of corporate intellectual property strategies and why they matter@)). To the extent that we would like to cha"&amp;"nge one community in the direction of the other, a good first step is to understand their incentives so that we can try to then change those incentives.")</f>
        <v>I enjoyed this post a lot; the question of openness in AI research is an important one, that depends both on the scientific community and industry practice. The scientific community is extremely open, and the second paper especially seems to capture well the reason why. In contrast industry is often more secret (plausibly due to &lt;@patents@&gt;(@Who owns artificial intelligence? A preliminary analysis of corporate intellectual property strategies and why they matter@)). To the extent that we would like to change one community in the direction of the other, a good first step is to understand their incentives so that we can try to then change those incentives.</v>
      </c>
    </row>
    <row r="552">
      <c r="A552" t="str">
        <f>IFERROR(__xludf.DUMMYFUNCTION("""COMPUTED_VALUE"""),"Forecasting")</f>
        <v>Forecasting</v>
      </c>
      <c r="B552" t="str">
        <f>IFERROR(__xludf.DUMMYFUNCTION("""COMPUTED_VALUE"""),"")</f>
        <v/>
      </c>
      <c r="C552" s="3" t="str">
        <f>IFERROR(__xludf.DUMMYFUNCTION("""COMPUTED_VALUE"""),"2019 trends in GPU price per FLOPS")</f>
        <v>2019 trends in GPU price per FLOPS</v>
      </c>
      <c r="D552" t="str">
        <f>IFERROR(__xludf.DUMMYFUNCTION("""COMPUTED_VALUE"""),"Asya Bergal")</f>
        <v>Asya Bergal</v>
      </c>
      <c r="E552" t="str">
        <f>IFERROR(__xludf.DUMMYFUNCTION("""COMPUTED_VALUE"""),"AI Impacts")</f>
        <v>AI Impacts</v>
      </c>
      <c r="F552">
        <f>IFERROR(__xludf.DUMMYFUNCTION("""COMPUTED_VALUE"""),2020.0)</f>
        <v>2020</v>
      </c>
      <c r="H552" s="3" t="str">
        <f>IFERROR(__xludf.DUMMYFUNCTION("""COMPUTED_VALUE"""),"AN #93")</f>
        <v>AN #93</v>
      </c>
      <c r="I552" t="str">
        <f>IFERROR(__xludf.DUMMYFUNCTION("""COMPUTED_VALUE"""),"Rohin")</f>
        <v>Rohin</v>
      </c>
      <c r="J552" t="str">
        <f>IFERROR(__xludf.DUMMYFUNCTION("""COMPUTED_VALUE"""),"This post analyzes the the trends in cost per FLOP for GPUs. There are a bunch of details in how to do this analysis, but they end up finding that this cost goes down by an order of magnitude over 17 years for single-precision FLOPS (halving time: 5 years"&amp;"), 10 years for half-precision FLOPS (halving time: 3 years), and 5 years for half-precision fused multiply-add FLOPS (halving time: 1.5 years). However, the latter two categories have become more popular in recent years with the rise of deep learning, so"&amp;" their low halving times might be because some of the single-precision hardware was converted to half-precision hardware, rather than fundamental technological improvements.")</f>
        <v>This post analyzes the the trends in cost per FLOP for GPUs. There are a bunch of details in how to do this analysis, but they end up finding that this cost goes down by an order of magnitude over 17 years for single-precision FLOPS (halving time: 5 years), 10 years for half-precision FLOPS (halving time: 3 years), and 5 years for half-precision fused multiply-add FLOPS (halving time: 1.5 years). However, the latter two categories have become more popular in recent years with the rise of deep learning, so their low halving times might be because some of the single-precision hardware was converted to half-precision hardware, rather than fundamental technological improvements.</v>
      </c>
    </row>
    <row r="553">
      <c r="A553" t="str">
        <f>IFERROR(__xludf.DUMMYFUNCTION("""COMPUTED_VALUE"""),"Forecasting")</f>
        <v>Forecasting</v>
      </c>
      <c r="B553" t="str">
        <f>IFERROR(__xludf.DUMMYFUNCTION("""COMPUTED_VALUE"""),"")</f>
        <v/>
      </c>
      <c r="C553" s="3" t="str">
        <f>IFERROR(__xludf.DUMMYFUNCTION("""COMPUTED_VALUE"""),"Distinguishing definitions of takeoff")</f>
        <v>Distinguishing definitions of takeoff</v>
      </c>
      <c r="D553" t="str">
        <f>IFERROR(__xludf.DUMMYFUNCTION("""COMPUTED_VALUE"""),"Matthew Barnett")</f>
        <v>Matthew Barnett</v>
      </c>
      <c r="E553" t="str">
        <f>IFERROR(__xludf.DUMMYFUNCTION("""COMPUTED_VALUE"""),"Alignment Forum")</f>
        <v>Alignment Forum</v>
      </c>
      <c r="F553">
        <f>IFERROR(__xludf.DUMMYFUNCTION("""COMPUTED_VALUE"""),2020.0)</f>
        <v>2020</v>
      </c>
      <c r="H553" s="3" t="str">
        <f>IFERROR(__xludf.DUMMYFUNCTION("""COMPUTED_VALUE"""),"AN #91")</f>
        <v>AN #91</v>
      </c>
      <c r="I553" t="str">
        <f>IFERROR(__xludf.DUMMYFUNCTION("""COMPUTED_VALUE"""),"Rohin")</f>
        <v>Rohin</v>
      </c>
      <c r="J553" t="str">
        <f>IFERROR(__xludf.DUMMYFUNCTION("""COMPUTED_VALUE"""),"This post lists and explains several different ""types"" of AI takeoff that people talk about. Rather than summarize all the definitions (which would only be slightly shorter than the post itself), I'll try to name the main axes that definitions vary on ("&amp;"but as a result this is less of a summary and more of an analysis):
1. _Locality_. It could be the case that a single AI project far outpaces the rest of the world (e.g. via recursive self-improvement), or that there will never be extreme variations amon"&amp;"gst AI projects across all tasks, in which case the ""cognitive effort"" will be distributed across multiple actors. This roughly corresponds to the Yudkowsky-Hanson FOOM debate, and the latter position also seems to be that taken by &lt;@CAIS@&gt;(@Reframing S"&amp;"uperintelligence: Comprehensive AI Services as General Intelligence@).
2. _Wall clock time_. In [Superintelligence](https://www.amazon.com/Superintelligence-Dangers-Strategies-Nick-Bostrom/dp/1501227742), takeoffs are defined based on how long it takes fo"&amp;"r a human-level AI system to become strongly superintelligent, with ""slow"" being decades to centuries, and ""fast"" being minutes to days.
3. _GDP trend extrapolation_. Here, a continuation of an exponential trend would mean there is no takeoff (even if"&amp;" we some day get superintelligent AI), a hyperbolic trend where the doubling time of GDP decreases in a relatively continuous / gradual manner counts as continuous / gradual / slow takeoff, and a curve which shows a discontinuity would be a discontinuous "&amp;"/ hard takeoff.")</f>
        <v>This post lists and explains several different "types" of AI takeoff that people talk about. Rather than summarize all the definitions (which would only be slightly shorter than the post itself), I'll try to name the main axes that definitions vary on (but as a result this is less of a summary and more of an analysis):
1. _Locality_. It could be the case that a single AI project far outpaces the rest of the world (e.g. via recursive self-improvement), or that there will never be extreme variations amongst AI projects across all tasks, in which case the "cognitive effort" will be distributed across multiple actors. This roughly corresponds to the Yudkowsky-Hanson FOOM debate, and the latter position also seems to be that taken by &lt;@CAIS@&gt;(@Reframing Superintelligence: Comprehensive AI Services as General Intelligence@).
2. _Wall clock time_. In [Superintelligence](https://www.amazon.com/Superintelligence-Dangers-Strategies-Nick-Bostrom/dp/1501227742), takeoffs are defined based on how long it takes for a human-level AI system to become strongly superintelligent, with "slow" being decades to centuries, and "fast" being minutes to days.
3. _GDP trend extrapolation_. Here, a continuation of an exponential trend would mean there is no takeoff (even if we some day get superintelligent AI), a hyperbolic trend where the doubling time of GDP decreases in a relatively continuous / gradual manner counts as continuous / gradual / slow takeoff, and a curve which shows a discontinuity would be a discontinuous / hard takeoff.</v>
      </c>
      <c r="K553" t="str">
        <f>IFERROR(__xludf.DUMMYFUNCTION("""COMPUTED_VALUE"""),"I found this post useful for clarifying exactly which axes of takeoff people disagree about, and also for introducing me to some notions of takeoff I hadn't seen before (though I haven't summarized them here).")</f>
        <v>I found this post useful for clarifying exactly which axes of takeoff people disagree about, and also for introducing me to some notions of takeoff I hadn't seen before (though I haven't summarized them here).</v>
      </c>
    </row>
    <row r="554">
      <c r="A554" t="str">
        <f>IFERROR(__xludf.DUMMYFUNCTION("""COMPUTED_VALUE"""),"Forecasting")</f>
        <v>Forecasting</v>
      </c>
      <c r="B554" t="str">
        <f>IFERROR(__xludf.DUMMYFUNCTION("""COMPUTED_VALUE"""),"")</f>
        <v/>
      </c>
      <c r="C554" s="3" t="str">
        <f>IFERROR(__xludf.DUMMYFUNCTION("""COMPUTED_VALUE"""),"Historic trends in technological progress")</f>
        <v>Historic trends in technological progress</v>
      </c>
      <c r="D554" t="str">
        <f>IFERROR(__xludf.DUMMYFUNCTION("""COMPUTED_VALUE"""),"AI Impacts")</f>
        <v>AI Impacts</v>
      </c>
      <c r="E554" t="str">
        <f>IFERROR(__xludf.DUMMYFUNCTION("""COMPUTED_VALUE"""),"AI Impacts")</f>
        <v>AI Impacts</v>
      </c>
      <c r="F554">
        <f>IFERROR(__xludf.DUMMYFUNCTION("""COMPUTED_VALUE"""),2020.0)</f>
        <v>2020</v>
      </c>
      <c r="H554" s="3" t="str">
        <f>IFERROR(__xludf.DUMMYFUNCTION("""COMPUTED_VALUE"""),"AN #90")</f>
        <v>AN #90</v>
      </c>
      <c r="I554" t="str">
        <f>IFERROR(__xludf.DUMMYFUNCTION("""COMPUTED_VALUE"""),"Nicholas")</f>
        <v>Nicholas</v>
      </c>
      <c r="J554" t="str">
        <f>IFERROR(__xludf.DUMMYFUNCTION("""COMPUTED_VALUE"""),"One key question in thinking about AGI deployment and which safety problems to focus on is whether technological progress will be *continuous* or *discontinuous*.  AI Impacts has researched the frequency of discontinuities in a number of case studies, tha"&amp;"t were selected on the possibility of having discontinuities. An example of a discontinuity in flight speed records would be the Fairey Delta 2 flight in 1956 which represented 19 years of progress at the previous trend. On the other hand, penicillin did "&amp;"not create a discontinuity of more than ten years in the number of deaths from syphilis in the US.  This post summarizes a number of those case studies.  As it is already a summary, I will just refer you to the post for more information.")</f>
        <v>One key question in thinking about AGI deployment and which safety problems to focus on is whether technological progress will be *continuous* or *discontinuous*.  AI Impacts has researched the frequency of discontinuities in a number of case studies, that were selected on the possibility of having discontinuities. An example of a discontinuity in flight speed records would be the Fairey Delta 2 flight in 1956 which represented 19 years of progress at the previous trend. On the other hand, penicillin did not create a discontinuity of more than ten years in the number of deaths from syphilis in the US.  This post summarizes a number of those case studies.  As it is already a summary, I will just refer you to the post for more information.</v>
      </c>
      <c r="K554" t="str">
        <f>IFERROR(__xludf.DUMMYFUNCTION("""COMPUTED_VALUE"""),"I’m looking forward to reading AI Impacts’ conclusions after completing these case studies. My impression from reading through these is that discontinuities happen, but rarely, and small discontinuities are more common than larger ones. However, I remain "&amp;"uncertain of a) how relevant each of these examples is to AI progress, and b) if I missed any key ways in which the examples differ from each other. ")</f>
        <v>I’m looking forward to reading AI Impacts’ conclusions after completing these case studies. My impression from reading through these is that discontinuities happen, but rarely, and small discontinuities are more common than larger ones. However, I remain uncertain of a) how relevant each of these examples is to AI progress, and b) if I missed any key ways in which the examples differ from each other. </v>
      </c>
      <c r="M554" s="3" t="str">
        <f>IFERROR(__xludf.DUMMYFUNCTION("""COMPUTED_VALUE"""),"Incomplete case studies of discontinuous progress")</f>
        <v>Incomplete case studies of discontinuous progress</v>
      </c>
    </row>
    <row r="555">
      <c r="A555" t="str">
        <f>IFERROR(__xludf.DUMMYFUNCTION("""COMPUTED_VALUE"""),"Forecasting")</f>
        <v>Forecasting</v>
      </c>
      <c r="B555" t="str">
        <f>IFERROR(__xludf.DUMMYFUNCTION("""COMPUTED_VALUE"""),"")</f>
        <v/>
      </c>
      <c r="C555" s="3" t="str">
        <f>IFERROR(__xludf.DUMMYFUNCTION("""COMPUTED_VALUE"""),"Coordination Surveys: why we should survey to organize responsibilities, not just predictions")</f>
        <v>Coordination Surveys: why we should survey to organize responsibilities, not just predictions</v>
      </c>
      <c r="D555" t="str">
        <f>IFERROR(__xludf.DUMMYFUNCTION("""COMPUTED_VALUE"""),"Andrew Critch")</f>
        <v>Andrew Critch</v>
      </c>
      <c r="E555" t="str">
        <f>IFERROR(__xludf.DUMMYFUNCTION("""COMPUTED_VALUE"""),"LessWrong")</f>
        <v>LessWrong</v>
      </c>
      <c r="F555">
        <f>IFERROR(__xludf.DUMMYFUNCTION("""COMPUTED_VALUE"""),2019.0)</f>
        <v>2019</v>
      </c>
      <c r="H555" s="3" t="str">
        <f>IFERROR(__xludf.DUMMYFUNCTION("""COMPUTED_VALUE"""),"AN #65")</f>
        <v>AN #65</v>
      </c>
      <c r="I555" t="str">
        <f>IFERROR(__xludf.DUMMYFUNCTION("""COMPUTED_VALUE"""),"Rohin")</f>
        <v>Rohin</v>
      </c>
      <c r="J555" t="str">
        <f>IFERROR(__xludf.DUMMYFUNCTION("""COMPUTED_VALUE"""),"This post suggests that when surveying researchers about the future impact of their technology, we should specifically ask them about their beliefs about what actions other people will take, and what they personally are going to do, rather than just predi"&amp;"cting total impact. (For example, we could ask how many people will invest in safety.) Then, by aggregating across survey respondents, we can see whether or not the researchers beliefs about what others will do match the empirical distribution of what res"&amp;"earchers are planning to do. This can help mitigate the effect where everyone thinks that everyone else will deal with a problem, and the effect where everyone tries to solve a problem because they all think no one else is planning to solve it. Critch has"&amp;" offered to provide suggestions on including this methodology in any upcoming surveys; see the post for details.")</f>
        <v>This post suggests that when surveying researchers about the future impact of their technology, we should specifically ask them about their beliefs about what actions other people will take, and what they personally are going to do, rather than just predicting total impact. (For example, we could ask how many people will invest in safety.) Then, by aggregating across survey respondents, we can see whether or not the researchers beliefs about what others will do match the empirical distribution of what researchers are planning to do. This can help mitigate the effect where everyone thinks that everyone else will deal with a problem, and the effect where everyone tries to solve a problem because they all think no one else is planning to solve it. Critch has offered to provide suggestions on including this methodology in any upcoming surveys; see the post for details.</v>
      </c>
      <c r="K555" t="str">
        <f>IFERROR(__xludf.DUMMYFUNCTION("""COMPUTED_VALUE"""),"This is a cool idea, and seems worth doing to me. I especially like that the survey would simply reveal problems by collecting two sources of information from people and checking their consistency with each other: there isn't any particular argument being"&amp;" made; you are simply showing inconsistency in people's own beliefs to them, if and only if such inconsistency exists. In practice, I'm sure there will be complications -- for example, perhaps the set of researchers taking the survey is different from the"&amp;" set of ""others"" whose actions and beliefs they are predicting -- but it still seems worth at least trying out.")</f>
        <v>This is a cool idea, and seems worth doing to me. I especially like that the survey would simply reveal problems by collecting two sources of information from people and checking their consistency with each other: there isn't any particular argument being made; you are simply showing inconsistency in people's own beliefs to them, if and only if such inconsistency exists. In practice, I'm sure there will be complications -- for example, perhaps the set of researchers taking the survey is different from the set of "others" whose actions and beliefs they are predicting -- but it still seems worth at least trying out.</v>
      </c>
    </row>
    <row r="556">
      <c r="A556" t="str">
        <f>IFERROR(__xludf.DUMMYFUNCTION("""COMPUTED_VALUE"""),"Forecasting")</f>
        <v>Forecasting</v>
      </c>
      <c r="B556" t="str">
        <f>IFERROR(__xludf.DUMMYFUNCTION("""COMPUTED_VALUE"""),"")</f>
        <v/>
      </c>
      <c r="C556" s="3" t="str">
        <f>IFERROR(__xludf.DUMMYFUNCTION("""COMPUTED_VALUE"""),"Musings on Cumulative Cultural Evolution and AI")</f>
        <v>Musings on Cumulative Cultural Evolution and AI</v>
      </c>
      <c r="D556" t="str">
        <f>IFERROR(__xludf.DUMMYFUNCTION("""COMPUTED_VALUE"""),"calebo")</f>
        <v>calebo</v>
      </c>
      <c r="E556" t="str">
        <f>IFERROR(__xludf.DUMMYFUNCTION("""COMPUTED_VALUE"""),"LessWrong")</f>
        <v>LessWrong</v>
      </c>
      <c r="F556">
        <f>IFERROR(__xludf.DUMMYFUNCTION("""COMPUTED_VALUE"""),2019.0)</f>
        <v>2019</v>
      </c>
      <c r="H556" s="3" t="str">
        <f>IFERROR(__xludf.DUMMYFUNCTION("""COMPUTED_VALUE"""),"AN #60")</f>
        <v>AN #60</v>
      </c>
      <c r="I556" t="str">
        <f>IFERROR(__xludf.DUMMYFUNCTION("""COMPUTED_VALUE"""),"Rohin")</f>
        <v>Rohin</v>
      </c>
      <c r="J556" t="str">
        <f>IFERROR(__xludf.DUMMYFUNCTION("""COMPUTED_VALUE"""),"A [recent paper](https://journals.plos.org/ploscompbiol/article/file?id=10.1371/journal.pcbi.1006504&amp;type=printable) develops a conceptual model that retrodicts human social learning. They assume that asocial learning allows you adapt to the current envir"&amp;"onment, while social learning allows you to copy the adaptations that other agents have learned. Both can be increased by making larger brains, at the cost of increased resource requirements. What conditions lead to very good social learning?
First, we n"&amp;"eed high transmission fidelity, so that social learning is effective. Second, we need some asocial learning, in order to bootstrap -- mimicking doesn't help if the people you're mimicking haven't learned anything in the first place. Third, to incentivize "&amp;"larger brains, the environment needs to be rich enough that additional knowledge is actually useful. Finally, we need low _reproductive skew_, that is, individuals that are more adapted to the environment should have only a slight advantage over those who"&amp;" are less adapted. (High reproductive skew would select too strongly for high asocial learning.) This predicts pair bonding rather than a polygynous mating structure.
This story cuts against the arguments in [Will AI See Sudden Progress?](https://www.les"&amp;"swrong.com/posts/AJtfNyBsum6ZzWxKR/will-ai-see-sudden-progress) and [Takeoff speeds](https://sideways-view.com/2018/02/24/takeoff-speeds/): it seems like evolution ""stumbled upon"" high asocial and social learning and got a discontinuity in reproductive "&amp;"fitness of species. We should potentially also expect discontinuities in AI development.
We can also forecast the future of AI based on this story. Perhaps we need to be watching for the perfect combination of asocial and social learning techniques for A"&amp;"I, and once these components are in place, AI intelligence will develop very quickly and autonomously.")</f>
        <v>A [recent paper](https://journals.plos.org/ploscompbiol/article/file?id=10.1371/journal.pcbi.1006504&amp;type=printable) develops a conceptual model that retrodicts human social learning. They assume that asocial learning allows you adapt to the current environment, while social learning allows you to copy the adaptations that other agents have learned. Both can be increased by making larger brains, at the cost of increased resource requirements. What conditions lead to very good social learning?
First, we need high transmission fidelity, so that social learning is effective. Second, we need some asocial learning, in order to bootstrap -- mimicking doesn't help if the people you're mimicking haven't learned anything in the first place. Third, to incentivize larger brains, the environment needs to be rich enough that additional knowledge is actually useful. Finally, we need low _reproductive skew_, that is, individuals that are more adapted to the environment should have only a slight advantage over those who are less adapted. (High reproductive skew would select too strongly for high asocial learning.) This predicts pair bonding rather than a polygynous mating structure.
This story cuts against the arguments in [Will AI See Sudden Progress?](https://www.lesswrong.com/posts/AJtfNyBsum6ZzWxKR/will-ai-see-sudden-progress) and [Takeoff speeds](https://sideways-view.com/2018/02/24/takeoff-speeds/): it seems like evolution "stumbled upon" high asocial and social learning and got a discontinuity in reproductive fitness of species. We should potentially also expect discontinuities in AI development.
We can also forecast the future of AI based on this story. Perhaps we need to be watching for the perfect combination of asocial and social learning techniques for AI, and once these components are in place, AI intelligence will develop very quickly and autonomously.</v>
      </c>
      <c r="K556" t="str">
        <f>IFERROR(__xludf.DUMMYFUNCTION("""COMPUTED_VALUE"""),"As the post notes, it is important to remember that this is one of many plausible accounts for human success, but I find it reasonably compelling. It moves me closer to the camp of ""there will likely be discontinuities in AI development"", but not by muc"&amp;"h.
I'm more interested in what predictions about AI development we can make based on this model. I actually don't think that this suggests that AI development will need both social and asocial learning: it seems to me that in this model, the need for soc"&amp;"ial learning arises because of the constraints on brain size and the limited lifetimes. Neither of these constraints apply to AI -- costs grow linearly with ""brain size"" (model capacity, maybe also training time) as opposed to superlinearly for human br"&amp;"ains, and the AI need not age and die. So, with AI I expect that it would be better to optimize just for asocial learning, since you don't need to mimic the transmission across lifetimes that was needed for humans.")</f>
        <v>As the post notes, it is important to remember that this is one of many plausible accounts for human success, but I find it reasonably compelling. It moves me closer to the camp of "there will likely be discontinuities in AI development", but not by much.
I'm more interested in what predictions about AI development we can make based on this model. I actually don't think that this suggests that AI development will need both social and asocial learning: it seems to me that in this model, the need for social learning arises because of the constraints on brain size and the limited lifetimes. Neither of these constraints apply to AI -- costs grow linearly with "brain size" (model capacity, maybe also training time) as opposed to superlinearly for human brains, and the AI need not age and die. So, with AI I expect that it would be better to optimize just for asocial learning, since you don't need to mimic the transmission across lifetimes that was needed for humans.</v>
      </c>
    </row>
    <row r="557">
      <c r="A557" t="str">
        <f>IFERROR(__xludf.DUMMYFUNCTION("""COMPUTED_VALUE"""),"Forecasting")</f>
        <v>Forecasting</v>
      </c>
      <c r="B557" t="str">
        <f>IFERROR(__xludf.DUMMYFUNCTION("""COMPUTED_VALUE"""),"")</f>
        <v/>
      </c>
      <c r="C557" s="3" t="str">
        <f>IFERROR(__xludf.DUMMYFUNCTION("""COMPUTED_VALUE"""),"Signup form for AI Metaculus")</f>
        <v>Signup form for AI Metaculus</v>
      </c>
      <c r="D557" t="str">
        <f>IFERROR(__xludf.DUMMYFUNCTION("""COMPUTED_VALUE"""),"Jacob Lagerros and Ben Goldhaber")</f>
        <v>Jacob Lagerros and Ben Goldhaber</v>
      </c>
      <c r="E557" t="str">
        <f>IFERROR(__xludf.DUMMYFUNCTION("""COMPUTED_VALUE"""),"Google Forms")</f>
        <v>Google Forms</v>
      </c>
      <c r="F557">
        <f>IFERROR(__xludf.DUMMYFUNCTION("""COMPUTED_VALUE"""),2019.0)</f>
        <v>2019</v>
      </c>
      <c r="H557" s="3" t="str">
        <f>IFERROR(__xludf.DUMMYFUNCTION("""COMPUTED_VALUE"""),"AN #49")</f>
        <v>AN #49</v>
      </c>
      <c r="I557" t="str">
        <f>IFERROR(__xludf.DUMMYFUNCTION("""COMPUTED_VALUE"""),"Rohin")</f>
        <v>Rohin</v>
      </c>
      <c r="J557" t="str">
        <f>IFERROR(__xludf.DUMMYFUNCTION("""COMPUTED_VALUE"""),"Recently, forecasting platform Metaculus launched a new instance dedicated specifically to AI in order to get good answers for empirical questions (such as AGI timelines) that can help avoid situations like [info-cascades](https://www.lesswrong.com/posts/"&amp;"2uDBJWCksvzhDzHGf/understanding-information-cascades). While most questions don’t have that many predictions, the current set of beta-users were invited based on forecasting track-record and AI domain-expertise, so the signal of the average forecast shoul"&amp;"d be high.
Some interesting predictions include:
    - By end of 2019, will there be an agent at least as good as AlphaStar using non-controversial, human-like APM restrictions? _[mean: 58%, median: 66%, n = 26]_
    - When will there be a superhuman Sta"&amp;"rcraft II agent with no domain-specific hardcoded knowledge, trained using &lt;=$10,000 of publicly available compute? _[50%: 2021 to 2037, with median 2026, n = 35]_
This forecast is supported by a [Guesstimate model](https://www.getguesstimate.com/models/"&amp;"12709), which estimates current and future sample efficiency of Starcraft II algorithms, based on current performance, algorithmic progress, and the generalization of Moore’s law. For algorithmic progress, they look at the improvement in sample efficiency"&amp;" on Atari, and find a doubling time of roughly a year, via DQN → DDQN → Dueling DDQN → Prioritized DDQN → PPO → Rainbow → IMPALA.
Overall, there are 50+ questions, including on malicious use of AI, publishing norms, conference attendance, MIRI’s research"&amp;" progress, the max compute doubling trend, OpenAI LP, nationalisation of AI labs, whether financial markets expect AGI, and more. You can sign-up to join [here](https://docs.google.com/forms/d/e/1FAIpQLSduBjn3W_MpHHjsKUEhzV6Krkup78ujE5-8bpNJ5HDE7GGnmA/vie"&amp;"wform?usp=sf_link).")</f>
        <v>Recently, forecasting platform Metaculus launched a new instance dedicated specifically to AI in order to get good answers for empirical questions (such as AGI timelines) that can help avoid situations like [info-cascades](https://www.lesswrong.com/posts/2uDBJWCksvzhDzHGf/understanding-information-cascades). While most questions don’t have that many predictions, the current set of beta-users were invited based on forecasting track-record and AI domain-expertise, so the signal of the average forecast should be high.
Some interesting predictions include:
    - By end of 2019, will there be an agent at least as good as AlphaStar using non-controversial, human-like APM restrictions? _[mean: 58%, median: 66%, n = 26]_
    - When will there be a superhuman Starcraft II agent with no domain-specific hardcoded knowledge, trained using &lt;=$10,000 of publicly available compute? _[50%: 2021 to 2037, with median 2026, n = 35]_
This forecast is supported by a [Guesstimate model](https://www.getguesstimate.com/models/12709), which estimates current and future sample efficiency of Starcraft II algorithms, based on current performance, algorithmic progress, and the generalization of Moore’s law. For algorithmic progress, they look at the improvement in sample efficiency on Atari, and find a doubling time of roughly a year, via DQN → DDQN → Dueling DDQN → Prioritized DDQN → PPO → Rainbow → IMPALA.
Overall, there are 50+ questions, including on malicious use of AI, publishing norms, conference attendance, MIRI’s research progress, the max compute doubling trend, OpenAI LP, nationalisation of AI labs, whether financial markets expect AGI, and more. You can sign-up to join [here](https://docs.google.com/forms/d/e/1FAIpQLSduBjn3W_MpHHjsKUEhzV6Krkup78ujE5-8bpNJ5HDE7GGnmA/viewform?usp=sf_link).</v>
      </c>
    </row>
    <row r="558">
      <c r="A558" t="str">
        <f>IFERROR(__xludf.DUMMYFUNCTION("""COMPUTED_VALUE"""),"Forecasting")</f>
        <v>Forecasting</v>
      </c>
      <c r="B558" t="str">
        <f>IFERROR(__xludf.DUMMYFUNCTION("""COMPUTED_VALUE"""),"")</f>
        <v/>
      </c>
      <c r="C558" s="3" t="str">
        <f>IFERROR(__xludf.DUMMYFUNCTION("""COMPUTED_VALUE"""),"Forecasting progress in language models")</f>
        <v>Forecasting progress in language models</v>
      </c>
      <c r="D558" t="str">
        <f>IFERROR(__xludf.DUMMYFUNCTION("""COMPUTED_VALUE"""),"Matthew Barnett")</f>
        <v>Matthew Barnett</v>
      </c>
      <c r="E558" t="str">
        <f>IFERROR(__xludf.DUMMYFUNCTION("""COMPUTED_VALUE"""),"Metaculus")</f>
        <v>Metaculus</v>
      </c>
      <c r="F558">
        <f>IFERROR(__xludf.DUMMYFUNCTION("""COMPUTED_VALUE"""),2021.0)</f>
        <v>2021</v>
      </c>
      <c r="H558" s="3" t="str">
        <f>IFERROR(__xludf.DUMMYFUNCTION("""COMPUTED_VALUE"""),"AN #169")</f>
        <v>AN #169</v>
      </c>
      <c r="I558" t="str">
        <f>IFERROR(__xludf.DUMMYFUNCTION("""COMPUTED_VALUE"""),"Sudhanshu")</f>
        <v>Sudhanshu</v>
      </c>
      <c r="J558" t="str">
        <f>IFERROR(__xludf.DUMMYFUNCTION("""COMPUTED_VALUE"""),"This post aims to forecast when a ""human-level language model"" may be created. To build up to this, the author swiftly covers basic concepts from information theory and natural language processing such as entropy, N-gram models, modern LMs, and perplexi"&amp;"ty. Data for perplexity achieved from recent state-of-the-art models is collected and used to estimate - by linear regression - when we can expect to see future models score below certain entropy levels, approaching the hypothesised entropy for the Englis"&amp;"h language.
These predictions range across the next 15 years, depending on which dataset, method, and entropy level is being solved for; there's an attached [python notebook](https://github.com/MatthewJBarnett/LanguageModelExtrapolation/blob/master/Human"&amp;"-level%20language%20models.ipynb) with these details for curious readers to further investigate. Preemptively disjunctive, the author concludes ""either current trends will break down soon, or human-level language models will likely arrive in the next dec"&amp;"ade or two.""")</f>
        <v>This post aims to forecast when a "human-level language model" may be created. To build up to this, the author swiftly covers basic concepts from information theory and natural language processing such as entropy, N-gram models, modern LMs, and perplexity. Data for perplexity achieved from recent state-of-the-art models is collected and used to estimate - by linear regression - when we can expect to see future models score below certain entropy levels, approaching the hypothesised entropy for the English language.
These predictions range across the next 15 years, depending on which dataset, method, and entropy level is being solved for; there's an attached [python notebook](https://github.com/MatthewJBarnett/LanguageModelExtrapolation/blob/master/Human-level%20language%20models.ipynb) with these details for curious readers to further investigate. Preemptively disjunctive, the author concludes "either current trends will break down soon, or human-level language models will likely arrive in the next decade or two."</v>
      </c>
      <c r="K558" t="str">
        <f>IFERROR(__xludf.DUMMYFUNCTION("""COMPUTED_VALUE"""),"This quick read provides a natural, accessible analysis stemming from recent results, while staying self-aware (and informing readers) of potential improvements. The comments section too includes some interesting debates, e.g. about the Goodhart-ability o"&amp;"f the Perplexity metric.
I personally felt these estimates were broadly in line with my own intuitions. I would go so far as to say that with the confluence of improved generation capabilities across text, speech/audio, video, as well as multimodal consi"&amp;"stency and integration, virtually any kind of content we see ~10 years from now will be algorithmically generated and indistinguishable from the work of human professionals.
**Rohin's opinion:** I would generally adopt forecasts produced by this sort of "&amp;"method as my own, perhaps making them a bit longer as I expect the quickly growing compute trend to slow down. Note however that this is a forecast for human-level language models, not transformative AI; I would expect these to be quite different and woul"&amp;"d predict that transformative AI comes significantly later.")</f>
        <v>This quick read provides a natural, accessible analysis stemming from recent results, while staying self-aware (and informing readers) of potential improvements. The comments section too includes some interesting debates, e.g. about the Goodhart-ability of the Perplexity metric.
I personally felt these estimates were broadly in line with my own intuitions. I would go so far as to say that with the confluence of improved generation capabilities across text, speech/audio, video, as well as multimodal consistency and integration, virtually any kind of content we see ~10 years from now will be algorithmically generated and indistinguishable from the work of human professionals.
**Rohin's opinion:** I would generally adopt forecasts produced by this sort of method as my own, perhaps making them a bit longer as I expect the quickly growing compute trend to slow down. Note however that this is a forecast for human-level language models, not transformative AI; I would expect these to be quite different and would predict that transformative AI comes significantly later.</v>
      </c>
    </row>
    <row r="559">
      <c r="A559" t="str">
        <f>IFERROR(__xludf.DUMMYFUNCTION("""COMPUTED_VALUE"""),"Forecasting")</f>
        <v>Forecasting</v>
      </c>
      <c r="B559" t="str">
        <f>IFERROR(__xludf.DUMMYFUNCTION("""COMPUTED_VALUE"""),"")</f>
        <v/>
      </c>
      <c r="C559" s="3" t="str">
        <f>IFERROR(__xludf.DUMMYFUNCTION("""COMPUTED_VALUE"""),"AXRP Episode 10 - AI’s Future and Impacts")</f>
        <v>AXRP Episode 10 - AI’s Future and Impacts</v>
      </c>
      <c r="D559" t="str">
        <f>IFERROR(__xludf.DUMMYFUNCTION("""COMPUTED_VALUE"""),"Daniel Filan and Katja Grace")</f>
        <v>Daniel Filan and Katja Grace</v>
      </c>
      <c r="E559" t="str">
        <f>IFERROR(__xludf.DUMMYFUNCTION("""COMPUTED_VALUE"""),"AXRP Podcast")</f>
        <v>AXRP Podcast</v>
      </c>
      <c r="F559">
        <f>IFERROR(__xludf.DUMMYFUNCTION("""COMPUTED_VALUE"""),2021.0)</f>
        <v>2021</v>
      </c>
      <c r="H559" s="3" t="str">
        <f>IFERROR(__xludf.DUMMYFUNCTION("""COMPUTED_VALUE"""),"AN #158")</f>
        <v>AN #158</v>
      </c>
      <c r="I559" t="str">
        <f>IFERROR(__xludf.DUMMYFUNCTION("""COMPUTED_VALUE"""),"Rohin")</f>
        <v>Rohin</v>
      </c>
      <c r="J559" t="str">
        <f>IFERROR(__xludf.DUMMYFUNCTION("""COMPUTED_VALUE"""),"This podcast goes over various strands of research from [AI Impacts](https://aiimpacts.org/), including lots of work that I either haven’t covered or have covered only briefly in this newsletter:
**AI Impacts’ methodology.** AI Impacts aims to advance th"&amp;"e state of knowledge about AI and AI risk by recursively decomposing important high-level questions and claims into subquestions and subclaims, until reaching a question that can be relatively easily answered by gathering data. They generally aim to provi"&amp;"de new facts or arguments that people haven’t considered before, rather than arguing about how existing arguments should be interpreted or weighted.
**Timelines.** AI Impacts is perhaps most famous for its [survey of AI experts](https://arxiv.org/abs/170"&amp;"5.08807) on timelines till high-level machine intelligence (HLMI). The author’s main takeaway is that people give very inconsistent answers and there are huge effects based on how you frame the question. For example:
1. If you estimate timelines by askin"&amp;"g questions like “when will there be a 50% chance of HLMI”, you’ll get timelines a decade earlier than if you estimate by asking questions like “what is the chance of HLMI in 2030”.
2. If you ask about when AI will outperform humans at all tasks, you get "&amp;"an estimate of ~2061, but if you ask when all occupations will be automated, you get an estimate of ~2136.
3. People whose undergraduate studies were in Asia estimated ~2046, while those in North America estimated ~2090.
The survey also found that the me"&amp;"dian probability of outcomes approximately as bad as extinction was 5%, which the author found surprisingly high for people working in the field.
**Takeoff speeds.** A common disagreement in the AI alignment community is whether there will be a discontin"&amp;"uous “jump” in capabilities at some point. AI Impacts has three lines of work investigating this topic:
1. Checking how long it typically takes to go from “amateur human” to “expert human”. For example, it took about [3 years](https://aiimpacts.org/time-"&amp;"for-ai-to-cross-the-human-performance-range-in-imagenet-image-classification/) for image classification on ImageNet, [38 years](https://aiimpacts.org/time-for-ai-to-cross-the-human-range-in-english-draughts/) on checkers, [21 years](https://aiimpacts.org/"&amp;"time-for-ai-to-cross-the-human-range-in-starcraft/) for StarCraft, [30 years](https://aiimpacts.org/time-for-ai-to-cross-the-human-performance-range-in-go/) for Go, [30 years](https://aiimpacts.org/time-for-ai-to-cross-the-human-performance-range-in-chess"&amp;"/) for chess, and ~3000 years for clock stability (how well you can measure the passage of time).
2. Checking &lt;@how often particular technologies have undergone discontinuities in the past@&gt;(@Discontinuous progress in history: an update@). A (still uncert"&amp;"ain) takeaway would be that discontinuities are the kind of thing that legitimately happen sometimes, but they don’t happen so frequently that you should expect them, and you should have a pretty low prior on a discontinuity happening at some specific lev"&amp;"el of progress.
3. Detailing [arguments](https://aiimpacts.org/likelihood-of-discontinuous-progress-around-the-development-of-agi/) for and against discontinuous progress in AI.
**Arguments for AI risk, and counterarguments.** The author has also spent s"&amp;"ome time thinking about how strong the arguments for AI risk are, and has focused on a few areas:
1. Will superhuman AI systems actually be able to far outpace humans, such that they could take over the world? In particular, it seems like humans can use "&amp;"non-agentic tools to help keep up.
2. Maybe the AI systems we build won’t have goals, and so the argument from [instrumental subgoals](https://selfawaresystems.files.wordpress.com/2008/01/ai_drives_final.pdf) won’t apply.
3. Even if the AI systems do have"&amp;" goals, they may have human-compatible goals (especially since people will be explicitly trying to do this).
4. The AI systems may not destroy everything: for example, they might instead simply trade with humans, and use their own resources to pursue thei"&amp;"r goals while leaving humans alone.")</f>
        <v>This podcast goes over various strands of research from [AI Impacts](https://aiimpacts.org/), including lots of work that I either haven’t covered or have covered only briefly in this newsletter:
**AI Impacts’ methodology.** AI Impacts aims to advance the state of knowledge about AI and AI risk by recursively decomposing important high-level questions and claims into subquestions and subclaims, until reaching a question that can be relatively easily answered by gathering data. They generally aim to provide new facts or arguments that people haven’t considered before, rather than arguing about how existing arguments should be interpreted or weighted.
**Timelines.** AI Impacts is perhaps most famous for its [survey of AI experts](https://arxiv.org/abs/1705.08807) on timelines till high-level machine intelligence (HLMI). The author’s main takeaway is that people give very inconsistent answers and there are huge effects based on how you frame the question. For example:
1. If you estimate timelines by asking questions like “when will there be a 50% chance of HLMI”, you’ll get timelines a decade earlier than if you estimate by asking questions like “what is the chance of HLMI in 2030”.
2. If you ask about when AI will outperform humans at all tasks, you get an estimate of ~2061, but if you ask when all occupations will be automated, you get an estimate of ~2136.
3. People whose undergraduate studies were in Asia estimated ~2046, while those in North America estimated ~2090.
The survey also found that the median probability of outcomes approximately as bad as extinction was 5%, which the author found surprisingly high for people working in the field.
**Takeoff speeds.** A common disagreement in the AI alignment community is whether there will be a discontinuous “jump” in capabilities at some point. AI Impacts has three lines of work investigating this topic:
1. Checking how long it typically takes to go from “amateur human” to “expert human”. For example, it took about [3 years](https://aiimpacts.org/time-for-ai-to-cross-the-human-performance-range-in-imagenet-image-classification/) for image classification on ImageNet, [38 years](https://aiimpacts.org/time-for-ai-to-cross-the-human-range-in-english-draughts/) on checkers, [21 years](https://aiimpacts.org/time-for-ai-to-cross-the-human-range-in-starcraft/) for StarCraft, [30 years](https://aiimpacts.org/time-for-ai-to-cross-the-human-performance-range-in-go/) for Go, [30 years](https://aiimpacts.org/time-for-ai-to-cross-the-human-performance-range-in-chess/) for chess, and ~3000 years for clock stability (how well you can measure the passage of time).
2. Checking &lt;@how often particular technologies have undergone discontinuities in the past@&gt;(@Discontinuous progress in history: an update@). A (still uncertain) takeaway would be that discontinuities are the kind of thing that legitimately happen sometimes, but they don’t happen so frequently that you should expect them, and you should have a pretty low prior on a discontinuity happening at some specific level of progress.
3. Detailing [arguments](https://aiimpacts.org/likelihood-of-discontinuous-progress-around-the-development-of-agi/) for and against discontinuous progress in AI.
**Arguments for AI risk, and counterarguments.** The author has also spent some time thinking about how strong the arguments for AI risk are, and has focused on a few areas:
1. Will superhuman AI systems actually be able to far outpace humans, such that they could take over the world? In particular, it seems like humans can use non-agentic tools to help keep up.
2. Maybe the AI systems we build won’t have goals, and so the argument from [instrumental subgoals](https://selfawaresystems.files.wordpress.com/2008/01/ai_drives_final.pdf) won’t apply.
3. Even if the AI systems do have goals, they may have human-compatible goals (especially since people will be explicitly trying to do this).
4. The AI systems may not destroy everything: for example, they might instead simply trade with humans, and use their own resources to pursue their goals while leaving humans alone.</v>
      </c>
    </row>
    <row r="560">
      <c r="A560" t="str">
        <f>IFERROR(__xludf.DUMMYFUNCTION("""COMPUTED_VALUE"""),"Forecasting")</f>
        <v>Forecasting</v>
      </c>
      <c r="B560" t="str">
        <f>IFERROR(__xludf.DUMMYFUNCTION("""COMPUTED_VALUE"""),"")</f>
        <v/>
      </c>
      <c r="C560" s="3" t="str">
        <f>IFERROR(__xludf.DUMMYFUNCTION("""COMPUTED_VALUE"""),"AXRP Episode 7.5 - Forecasting Transformative AI from Biological Anchors")</f>
        <v>AXRP Episode 7.5 - Forecasting Transformative AI from Biological Anchors</v>
      </c>
      <c r="D560" t="str">
        <f>IFERROR(__xludf.DUMMYFUNCTION("""COMPUTED_VALUE"""),"Daniel Filan and Ajeya Cotra")</f>
        <v>Daniel Filan and Ajeya Cotra</v>
      </c>
      <c r="E560" t="str">
        <f>IFERROR(__xludf.DUMMYFUNCTION("""COMPUTED_VALUE"""),"AXRP Podcast")</f>
        <v>AXRP Podcast</v>
      </c>
      <c r="F560">
        <f>IFERROR(__xludf.DUMMYFUNCTION("""COMPUTED_VALUE"""),2021.0)</f>
        <v>2021</v>
      </c>
      <c r="H560" s="3" t="str">
        <f>IFERROR(__xludf.DUMMYFUNCTION("""COMPUTED_VALUE"""),"AN #152")</f>
        <v>AN #152</v>
      </c>
      <c r="I560" t="str">
        <f>IFERROR(__xludf.DUMMYFUNCTION("""COMPUTED_VALUE"""),"Rohin")</f>
        <v>Rohin</v>
      </c>
      <c r="J560" t="str">
        <f>IFERROR(__xludf.DUMMYFUNCTION("""COMPUTED_VALUE"""),"This podcast goes over the &lt;@biological anchors framework@&gt;(@Draft report on AI timelines@), as well as [three](https://arxiv.org/abs/1705.08807) &lt;@other@&gt;(@Modeling the Human Trajectory@) &lt;@approaches@&gt;(@Semi-informative priors over AI timelines@) to for"&amp;"ecasting AI timelines and a post on &lt;@aligning narrowly superhuman models@&gt;(@The case for aligning narrowly superhuman models@). Since I’ve summarized these works before, I won’t summarize this podcast; I recommend reading the past summaries instead. This"&amp;" podcast can help contextualize all of the work, adding in details that you wouldn’t naturally see if you just read the reports or my summaries of them.
For example, I learned that there is a distinction between noise and effective horizon length. To the"&amp;" extent that your gradients are noisy, you can simply fix the problem by increasing your batch size (which can be done in parallel). However, the effective horizon length is measuring how many _sequential_ steps you have to take before you get feedback on"&amp;" how well you’re doing. The two are separated in the bio anchors work because the author wanted to impose specific beliefs on the effective horizon length, but was happy to continue extrapolating from current examples for noise.")</f>
        <v>This podcast goes over the &lt;@biological anchors framework@&gt;(@Draft report on AI timelines@), as well as [three](https://arxiv.org/abs/1705.08807) &lt;@other@&gt;(@Modeling the Human Trajectory@) &lt;@approaches@&gt;(@Semi-informative priors over AI timelines@) to forecasting AI timelines and a post on &lt;@aligning narrowly superhuman models@&gt;(@The case for aligning narrowly superhuman models@). Since I’ve summarized these works before, I won’t summarize this podcast; I recommend reading the past summaries instead. This podcast can help contextualize all of the work, adding in details that you wouldn’t naturally see if you just read the reports or my summaries of them.
For example, I learned that there is a distinction between noise and effective horizon length. To the extent that your gradients are noisy, you can simply fix the problem by increasing your batch size (which can be done in parallel). However, the effective horizon length is measuring how many _sequential_ steps you have to take before you get feedback on how well you’re doing. The two are separated in the bio anchors work because the author wanted to impose specific beliefs on the effective horizon length, but was happy to continue extrapolating from current examples for noise.</v>
      </c>
    </row>
    <row r="561">
      <c r="A561" t="str">
        <f>IFERROR(__xludf.DUMMYFUNCTION("""COMPUTED_VALUE"""),"Forecasting")</f>
        <v>Forecasting</v>
      </c>
      <c r="B561" t="str">
        <f>IFERROR(__xludf.DUMMYFUNCTION("""COMPUTED_VALUE"""),"")</f>
        <v/>
      </c>
      <c r="C561" s="3" t="str">
        <f>IFERROR(__xludf.DUMMYFUNCTION("""COMPUTED_VALUE"""),"LogiQA: A Challenge Dataset for Machine Reading Comprehension with Logical Reasoning ")</f>
        <v>LogiQA: A Challenge Dataset for Machine Reading Comprehension with Logical Reasoning </v>
      </c>
      <c r="D561" t="str">
        <f>IFERROR(__xludf.DUMMYFUNCTION("""COMPUTED_VALUE"""),"Jian Liu*, Leyang Cui*, Hanmeng Liu, Dandan Huang, Yile Wang, Yue Zhang")</f>
        <v>Jian Liu*, Leyang Cui*, Hanmeng Liu, Dandan Huang, Yile Wang, Yue Zhang</v>
      </c>
      <c r="E561" t="str">
        <f>IFERROR(__xludf.DUMMYFUNCTION("""COMPUTED_VALUE"""),"IJCAI 2020")</f>
        <v>IJCAI 2020</v>
      </c>
      <c r="F561">
        <f>IFERROR(__xludf.DUMMYFUNCTION("""COMPUTED_VALUE"""),2020.0)</f>
        <v>2020</v>
      </c>
      <c r="H561" s="3" t="str">
        <f>IFERROR(__xludf.DUMMYFUNCTION("""COMPUTED_VALUE"""),"AN #146")</f>
        <v>AN #146</v>
      </c>
      <c r="I561" t="str">
        <f>IFERROR(__xludf.DUMMYFUNCTION("""COMPUTED_VALUE"""),"Dan Hendrycks")</f>
        <v>Dan Hendrycks</v>
      </c>
      <c r="J561" t="str">
        <f>IFERROR(__xludf.DUMMYFUNCTION("""COMPUTED_VALUE"""),"LogiQA is a benchmark that attempts to track models' understanding of logic and reason.
It consists of translated questions from the Civil Servants Examination of China, designed to test civil servant candidates.
The questions often require thought and de"&amp;"liberation. Two examples are as follows,
David knows Mr. Zhang's friend Jack, and Jack knows David's friend Ms. Lin. Everyone of them who knows Jack has a master's degree, and everyone of them who knows Ms. Lin is from Shanghai.
Who is from Shanghai and "&amp;"has a master's degree?
A. David.
B. Jack.
C. Mr. Zhang.
D. Ms. Lin.
Last night, Mark either went to play in the gym or visited his teacher Tony. If Mark drove last night, he didn't go to play in the gym. Mark would go visit his teacher Tony only if he an"&amp;"d his teacher had an appointment. In fact, Mark had no appointment with his teacher Tony in advance.
Which is true based on the above statements?
A. Mark went to the gym with his teacher Tony last night.
B. Mark visited his teacher Tony last night.
C. Mar"&amp;"k didn't drive last night.
D. Mark didn't go to the gym last night.
See Figure 2 of the paper for the answers to these two questions (I don't want to spoil the answers). In the paper, the authors show that RoBERTa models obtain around 36% accuracy, where"&amp;"as human-level accuracy is around 86%.")</f>
        <v>LogiQA is a benchmark that attempts to track models' understanding of logic and reason.
It consists of translated questions from the Civil Servants Examination of China, designed to test civil servant candidates.
The questions often require thought and deliberation. Two examples are as follows,
David knows Mr. Zhang's friend Jack, and Jack knows David's friend Ms. Lin. Everyone of them who knows Jack has a master's degree, and everyone of them who knows Ms. Lin is from Shanghai.
Who is from Shanghai and has a master's degree?
A. David.
B. Jack.
C. Mr. Zhang.
D. Ms. Lin.
Last night, Mark either went to play in the gym or visited his teacher Tony. If Mark drove last night, he didn't go to play in the gym. Mark would go visit his teacher Tony only if he and his teacher had an appointment. In fact, Mark had no appointment with his teacher Tony in advance.
Which is true based on the above statements?
A. Mark went to the gym with his teacher Tony last night.
B. Mark visited his teacher Tony last night.
C. Mark didn't drive last night.
D. Mark didn't go to the gym last night.
See Figure 2 of the paper for the answers to these two questions (I don't want to spoil the answers). In the paper, the authors show that RoBERTa models obtain around 36% accuracy, whereas human-level accuracy is around 86%.</v>
      </c>
      <c r="K561" t="str">
        <f>IFERROR(__xludf.DUMMYFUNCTION("""COMPUTED_VALUE"""),"This is one of the few datasets that poses a challenge to today's Transformers, which makes it noteworthy. Despite its difficulty, accuracy is nontrivial and reliably increasing. In the appendix of a recent work, I and others show that performance on Logi"&amp;"QA is around [50%](https://arxiv.org/pdf/2103.03874.pdf#page=11&amp;zoom=100,90,136) for an 11 billion parameter Transformer model. (Note that 50% is the models OOD generalization accuracy or transfer accuracy. The model was fine-tuned to answer some types of"&amp;" multiple-choice questions, but it did not fine-tune on LogiQA-style questions at all.) Consequently current models are already attaining nontrivial performance. Having done some LogiQA questions myself, I am surprised accuracy is already this high. Moreo"&amp;"ver, LogiQA accuracy is reliably increasing, as accuracy is increasing by about 15% for every order of magnitude increase in model size. If trends continue, a 1 trillion parameter model (10x the size of GPT-3) should be able to ""solve"" LogiQA.
I think "&amp;"LogiQA provides clear evidence that off-the-shelf Transformers are starting to acquire many ""System 2"" reasoning skills and can perform more than just snap judgments.")</f>
        <v>This is one of the few datasets that poses a challenge to today's Transformers, which makes it noteworthy. Despite its difficulty, accuracy is nontrivial and reliably increasing. In the appendix of a recent work, I and others show that performance on LogiQA is around [50%](https://arxiv.org/pdf/2103.03874.pdf#page=11&amp;zoom=100,90,136) for an 11 billion parameter Transformer model. (Note that 50% is the models OOD generalization accuracy or transfer accuracy. The model was fine-tuned to answer some types of multiple-choice questions, but it did not fine-tune on LogiQA-style questions at all.) Consequently current models are already attaining nontrivial performance. Having done some LogiQA questions myself, I am surprised accuracy is already this high. Moreover, LogiQA accuracy is reliably increasing, as accuracy is increasing by about 15% for every order of magnitude increase in model size. If trends continue, a 1 trillion parameter model (10x the size of GPT-3) should be able to "solve" LogiQA.
I think LogiQA provides clear evidence that off-the-shelf Transformers are starting to acquire many "System 2" reasoning skills and can perform more than just snap judgments.</v>
      </c>
    </row>
    <row r="562">
      <c r="A562" t="str">
        <f>IFERROR(__xludf.DUMMYFUNCTION("""COMPUTED_VALUE"""),"Forecasting")</f>
        <v>Forecasting</v>
      </c>
      <c r="B562" t="str">
        <f>IFERROR(__xludf.DUMMYFUNCTION("""COMPUTED_VALUE"""),"")</f>
        <v/>
      </c>
      <c r="C562" s="3" t="str">
        <f>IFERROR(__xludf.DUMMYFUNCTION("""COMPUTED_VALUE"""),"Semi-informative priors over AI timelines")</f>
        <v>Semi-informative priors over AI timelines</v>
      </c>
      <c r="D562" t="str">
        <f>IFERROR(__xludf.DUMMYFUNCTION("""COMPUTED_VALUE"""),"Tom Davidson")</f>
        <v>Tom Davidson</v>
      </c>
      <c r="E562" t="str">
        <f>IFERROR(__xludf.DUMMYFUNCTION("""COMPUTED_VALUE"""),"Open Phil Website")</f>
        <v>Open Phil Website</v>
      </c>
      <c r="F562">
        <f>IFERROR(__xludf.DUMMYFUNCTION("""COMPUTED_VALUE"""),2021.0)</f>
        <v>2021</v>
      </c>
      <c r="H562" s="3" t="str">
        <f>IFERROR(__xludf.DUMMYFUNCTION("""COMPUTED_VALUE"""),"AN #145")</f>
        <v>AN #145</v>
      </c>
      <c r="I562" t="str">
        <f>IFERROR(__xludf.DUMMYFUNCTION("""COMPUTED_VALUE"""),"Rohin")</f>
        <v>Rohin</v>
      </c>
      <c r="J562" t="str">
        <f>IFERROR(__xludf.DUMMYFUNCTION("""COMPUTED_VALUE"""),"This report aims to analyze outside view evidence for AI timelines. In this setting, “outside view” roughly means that we take into account when AI research started, and how its inputs (data, compute, researcher time) have changed over time, but nothing e"&amp;"lse. The report considers four potential reference classes from which an outside view can be formed.
For each reference class, we’re going to use it to estimate how hard we would have thought AGI would be before we had tried to build AGI at all, and then"&amp;" we’re going to update that probability based on the observation that we’ve tried for some amount of calendar time / researcher time / compute, and haven’t yet gotten AGI. The report uses a simple generalization of Laplace’s Rule to actually synthesize it"&amp;" all together; I’m not going to go into that here.
I found the reference classes most interesting and will summarize them here. Note that the author says that the main contribution is in the framework, and that the individual reference classes are much l"&amp;"ess well done (there are several suggestions on other reference classes to investigate in the future). With that caveat, in order of the weight assigned to each, the four references classes are:
1. **STEM goal:** AGI is a highly ambitious but feasible te"&amp;"chnology that a serious STEM field is explicitly trying to develop. Looking at other such examples, the author suggests putting between 5% and 50% on developing AGI in 50 years.
2. **Transformative technology:** AGI is a technological development that wou"&amp;"ld have a transformative effect on the nature of work and society. While these have been incredibly rare, we might expect that their probability increases with more technological development, making it more likely to occur now. Based on this, the author f"&amp;"avors an upper bound of 1% per year on AGI.
3. **Futurism goal:** AGI is a high-impact technology that a serious STEM field is trying to build in 2020. There are a lot of such technologies, but we probably shouldn’t expect too many high-impact technologie"&amp;"s to work out. The author suggests this should put it at below 1% per year.
4. **Math conjecture:** AGI is kinda sorta like a notable math conjecture. AI Impacts [investigated](https://aiimpacts.org/resolutions-of-mathematical-conjectures-over-time/) ([AN"&amp;" #97](https://mailchi.mp/a2b5efbcd3a7/an-97-are-there-historical-examples-of-large-robust-discontinuities)) the rate at which notable math conjectures are resolved, and their results imply 1/170 chance per year of a conjecture being resolved.
Aggregating"&amp;" these all together, the author favors assigning 0.1% - 1% per year at the beginning of AI research in 1956, with a point estimate of 0.3%. After updating on the fact that we don’t yet have AGI, the framework gives 1.5% - 9% for AGI by 2036 and 7% - 33% f"&amp;"or AGI by 2100.
We can also run the same analysis where you get a new “chance” to develop AGI every time you increase the researcher pool by a constant fraction. (This is almost like having a log uniform prior on how many researcher hours are needed to g"&amp;"et AGI.) Since there have been a few large booms in AI, this gives somewhat higher probabilities than the previous method, getting to 2% - 15% for AGI by 2036. Doing the same thing for compute gets 2% - 22% for AGI by 2036.
A weighted aggregation of all "&amp;"of the methods together (with weights set by intuition) gives 1% - 18% for AGI by 2036, and 5% - 35% for AGI by 2100.")</f>
        <v>This report aims to analyze outside view evidence for AI timelines. In this setting, “outside view” roughly means that we take into account when AI research started, and how its inputs (data, compute, researcher time) have changed over time, but nothing else. The report considers four potential reference classes from which an outside view can be formed.
For each reference class, we’re going to use it to estimate how hard we would have thought AGI would be before we had tried to build AGI at all, and then we’re going to update that probability based on the observation that we’ve tried for some amount of calendar time / researcher time / compute, and haven’t yet gotten AGI. The report uses a simple generalization of Laplace’s Rule to actually synthesize it all together; I’m not going to go into that here.
I found the reference classes most interesting and will summarize them here. Note that the author says that the main contribution is in the framework, and that the individual reference classes are much less well done (there are several suggestions on other reference classes to investigate in the future). With that caveat, in order of the weight assigned to each, the four references classes are:
1. **STEM goal:** AGI is a highly ambitious but feasible technology that a serious STEM field is explicitly trying to develop. Looking at other such examples, the author suggests putting between 5% and 50% on developing AGI in 50 years.
2. **Transformative technology:** AGI is a technological development that would have a transformative effect on the nature of work and society. While these have been incredibly rare, we might expect that their probability increases with more technological development, making it more likely to occur now. Based on this, the author favors an upper bound of 1% per year on AGI.
3. **Futurism goal:** AGI is a high-impact technology that a serious STEM field is trying to build in 2020. There are a lot of such technologies, but we probably shouldn’t expect too many high-impact technologies to work out. The author suggests this should put it at below 1% per year.
4. **Math conjecture:** AGI is kinda sorta like a notable math conjecture. AI Impacts [investigated](https://aiimpacts.org/resolutions-of-mathematical-conjectures-over-time/) ([AN #97](https://mailchi.mp/a2b5efbcd3a7/an-97-are-there-historical-examples-of-large-robust-discontinuities)) the rate at which notable math conjectures are resolved, and their results imply 1/170 chance per year of a conjecture being resolved.
Aggregating these all together, the author favors assigning 0.1% - 1% per year at the beginning of AI research in 1956, with a point estimate of 0.3%. After updating on the fact that we don’t yet have AGI, the framework gives 1.5% - 9% for AGI by 2036 and 7% - 33% for AGI by 2100.
We can also run the same analysis where you get a new “chance” to develop AGI every time you increase the researcher pool by a constant fraction. (This is almost like having a log uniform prior on how many researcher hours are needed to get AGI.) Since there have been a few large booms in AI, this gives somewhat higher probabilities than the previous method, getting to 2% - 15% for AGI by 2036. Doing the same thing for compute gets 2% - 22% for AGI by 2036.
A weighted aggregation of all of the methods together (with weights set by intuition) gives 1% - 18% for AGI by 2036, and 5% - 35% for AGI by 2100.</v>
      </c>
      <c r="K562" t="str">
        <f>IFERROR(__xludf.DUMMYFUNCTION("""COMPUTED_VALUE"""),"This seems like a good quantification of what the outside view suggests for AI timelines. Unfortunately, I have never really spent much time figuring out how best to combine outside view and inside view evidence, because research generally requires you to"&amp;" think about a detailed, gearsy, inside-view model, and so outside views feel pretty irrelevant to me. (They’re obviously relevant to Open Phil, who have to make funding decisions based on AI timelines, and so really do benefit from having the better esti"&amp;"mates of timelines.) So I will probably continue to act based on the &lt;@bio anchors framework@&gt;(@Draft report on AI timelines@).
This is also why I haven’t highlighted this particular piece, despite the content being excellent. I generally highlight thing"&amp;"s that would be valuable for technical alignment researchers to read; my guess is that timelines are actually _not_ that important for researchers to have good beliefs about (though inside-view models that predict timelines are important).
Some feedback "&amp;"on the report takes issue with the use of Laplace’s Rule because it models each “attempt” to make AGI as independent, which is obviously false. I’m not too worried about this; while the model might be obviously wrong, I doubt that a more sophisticated mod"&amp;"el would give very different results; most of the “oomph” is coming from the reference classes.")</f>
        <v>This seems like a good quantification of what the outside view suggests for AI timelines. Unfortunately, I have never really spent much time figuring out how best to combine outside view and inside view evidence, because research generally requires you to think about a detailed, gearsy, inside-view model, and so outside views feel pretty irrelevant to me. (They’re obviously relevant to Open Phil, who have to make funding decisions based on AI timelines, and so really do benefit from having the better estimates of timelines.) So I will probably continue to act based on the &lt;@bio anchors framework@&gt;(@Draft report on AI timelines@).
This is also why I haven’t highlighted this particular piece, despite the content being excellent. I generally highlight things that would be valuable for technical alignment researchers to read; my guess is that timelines are actually _not_ that important for researchers to have good beliefs about (though inside-view models that predict timelines are important).
Some feedback on the report takes issue with the use of Laplace’s Rule because it models each “attempt” to make AGI as independent, which is obviously false. I’m not too worried about this; while the model might be obviously wrong, I doubt that a more sophisticated model would give very different results; most of the “oomph” is coming from the reference classes.</v>
      </c>
    </row>
    <row r="563">
      <c r="A563" t="str">
        <f>IFERROR(__xludf.DUMMYFUNCTION("""COMPUTED_VALUE"""),"Forecasting")</f>
        <v>Forecasting</v>
      </c>
      <c r="B563" t="str">
        <f>IFERROR(__xludf.DUMMYFUNCTION("""COMPUTED_VALUE"""),"")</f>
        <v/>
      </c>
      <c r="C563" s="3" t="str">
        <f>IFERROR(__xludf.DUMMYFUNCTION("""COMPUTED_VALUE"""),"Measuring Mathematical Problem Solving With the MATH Dataset")</f>
        <v>Measuring Mathematical Problem Solving With the MATH Dataset</v>
      </c>
      <c r="D563" t="str">
        <f>IFERROR(__xludf.DUMMYFUNCTION("""COMPUTED_VALUE"""),"Dan Hendrycks, Collin Burns, Saurav Kadavath, Akul Arora, Steven Basart, Eric Tang, Dawn Song, Jacob Steinhardt")</f>
        <v>Dan Hendrycks, Collin Burns, Saurav Kadavath, Akul Arora, Steven Basart, Eric Tang, Dawn Song, Jacob Steinhardt</v>
      </c>
      <c r="E563" t="str">
        <f>IFERROR(__xludf.DUMMYFUNCTION("""COMPUTED_VALUE"""),"arXiv")</f>
        <v>arXiv</v>
      </c>
      <c r="F563">
        <f>IFERROR(__xludf.DUMMYFUNCTION("""COMPUTED_VALUE"""),2021.0)</f>
        <v>2021</v>
      </c>
      <c r="H563" s="3" t="str">
        <f>IFERROR(__xludf.DUMMYFUNCTION("""COMPUTED_VALUE"""),"AN #144")</f>
        <v>AN #144</v>
      </c>
      <c r="I563" t="str">
        <f>IFERROR(__xludf.DUMMYFUNCTION("""COMPUTED_VALUE"""),"Rohin")</f>
        <v>Rohin</v>
      </c>
      <c r="J563" t="str">
        <f>IFERROR(__xludf.DUMMYFUNCTION("""COMPUTED_VALUE"""),"We’ve seen &lt;@GPT-3@&gt;(@Language Models are Few-Shot Learners@) perform well on lots of downstream tasks. What about challenging high school math problems that require intuition to solve? The authors create the MATH dataset and demonstrate that this is in f"&amp;"act challenging for models: models currently get around 5-7%, even when pretraining on a dataset of math-relevant text and finetuning on the MATH training dataset. Note that the models have to get the answer exactly right: there is no partial credit.
Not"&amp;" only are current models not very good at the task, but also they scale poorly -- while there isn’t much data to extrapolate from yet, a simple extrapolation suggests that models would need 10^35 parameters to achieve just 40% accuracy. (This is in contra"&amp;"st to easier tasks, which &lt;@might be solved with some more scaling@&gt;(@Extrapolating GPT-N performance@).) In contrast, in a simple study with university students, performance ranged between 40% and 90%, with the best human only making minor arithmetic err"&amp;"ors. This suggests we’ll need additional algorithmic improvements for better performance.
The authors also consider allowing language models to have “scratch space” to work on the problem: the models are prompted to generate a solution where they explain"&amp;" their work. They find that this actually _decreases_ accuracy, presumably because the poor generations at the beginning end up confusing the model.")</f>
        <v>We’ve seen &lt;@GPT-3@&gt;(@Language Models are Few-Shot Learners@) perform well on lots of downstream tasks. What about challenging high school math problems that require intuition to solve? The authors create the MATH dataset and demonstrate that this is in fact challenging for models: models currently get around 5-7%, even when pretraining on a dataset of math-relevant text and finetuning on the MATH training dataset. Note that the models have to get the answer exactly right: there is no partial credit.
Not only are current models not very good at the task, but also they scale poorly -- while there isn’t much data to extrapolate from yet, a simple extrapolation suggests that models would need 10^35 parameters to achieve just 40% accuracy. (This is in contrast to easier tasks, which &lt;@might be solved with some more scaling@&gt;(@Extrapolating GPT-N performance@).) In contrast, in a simple study with university students, performance ranged between 40% and 90%, with the best human only making minor arithmetic errors. This suggests we’ll need additional algorithmic improvements for better performance.
The authors also consider allowing language models to have “scratch space” to work on the problem: the models are prompted to generate a solution where they explain their work. They find that this actually _decreases_ accuracy, presumably because the poor generations at the beginning end up confusing the model.</v>
      </c>
      <c r="K563" t="str">
        <f>IFERROR(__xludf.DUMMYFUNCTION("""COMPUTED_VALUE"""),"While reading this paper, I kept stopping to do the math problems because, well, I’m just easily distracted by math problems. But it did demonstrate one thing -- when the model gets it right, it can be really impressively right (at least in this one presu"&amp;"mably cherry picked example). In one example from the paper (search for “ab5”), the ground-truth solution is horribly hacky, my housemate and I each separately got significantly more elegant solutions, but the model-generated solution was more elegant tha"&amp;"n either of our solutions. It’s a good example of how AI capabilities can be really lopsided -- no human would generate this good of an explanation if they were getting 6% accuracy overall.")</f>
        <v>While reading this paper, I kept stopping to do the math problems because, well, I’m just easily distracted by math problems. But it did demonstrate one thing -- when the model gets it right, it can be really impressively right (at least in this one presumably cherry picked example). In one example from the paper (search for “ab5”), the ground-truth solution is horribly hacky, my housemate and I each separately got significantly more elegant solutions, but the model-generated solution was more elegant than either of our solutions. It’s a good example of how AI capabilities can be really lopsided -- no human would generate this good of an explanation if they were getting 6% accuracy overall.</v>
      </c>
    </row>
    <row r="564">
      <c r="A564" t="str">
        <f>IFERROR(__xludf.DUMMYFUNCTION("""COMPUTED_VALUE"""),"Forecasting")</f>
        <v>Forecasting</v>
      </c>
      <c r="B564" t="str">
        <f>IFERROR(__xludf.DUMMYFUNCTION("""COMPUTED_VALUE"""),"")</f>
        <v/>
      </c>
      <c r="C564" s="3" t="str">
        <f>IFERROR(__xludf.DUMMYFUNCTION("""COMPUTED_VALUE"""),"How does bee learning compare with machine learning?")</f>
        <v>How does bee learning compare with machine learning?</v>
      </c>
      <c r="D564" t="str">
        <f>IFERROR(__xludf.DUMMYFUNCTION("""COMPUTED_VALUE"""),"Guilhermo Costa")</f>
        <v>Guilhermo Costa</v>
      </c>
      <c r="E564" t="str">
        <f>IFERROR(__xludf.DUMMYFUNCTION("""COMPUTED_VALUE"""),"Alignment Forum")</f>
        <v>Alignment Forum</v>
      </c>
      <c r="F564">
        <f>IFERROR(__xludf.DUMMYFUNCTION("""COMPUTED_VALUE"""),2021.0)</f>
        <v>2021</v>
      </c>
      <c r="H564" s="3" t="str">
        <f>IFERROR(__xludf.DUMMYFUNCTION("""COMPUTED_VALUE"""),"AN #141")</f>
        <v>AN #141</v>
      </c>
      <c r="I564" t="str">
        <f>IFERROR(__xludf.DUMMYFUNCTION("""COMPUTED_VALUE"""),"Rohin")</f>
        <v>Rohin</v>
      </c>
      <c r="J564" t="str">
        <f>IFERROR(__xludf.DUMMYFUNCTION("""COMPUTED_VALUE"""),"The &lt;@biological anchors approach@&gt;(@Draft report on AI timelines@) to forecasting AI timelines estimates the compute needed for transformative AI based on the compute used by animals. One important parameter of the framework is needed to “bridge” between"&amp;" the two: if we find that an animal can do a specific task using X amount of compute, then what should we estimate as the amount of compute needed for an ML model to do the same task? This post aims to better estimate this parameter, by comparing few-shot"&amp;" image classification in bees to the same task in ML models. I won’t go through the details here, but the upshot is that (after various approximations and judgment calls) ML models can reach the same performance as bees on few-shot image classification us"&amp;"ing 1,000 times less compute.
If we plug this parameter into the biological anchors framework (without changing any of the other parameters), the median year for transformative AI according to the model changes from 2050 to 2035, though the author advise"&amp;"s only updating to (say) 2045 since the results of the investigation are so uncertain. The author also sees this as generally validating the biological anchors approach to forecasting timelines.")</f>
        <v>The &lt;@biological anchors approach@&gt;(@Draft report on AI timelines@) to forecasting AI timelines estimates the compute needed for transformative AI based on the compute used by animals. One important parameter of the framework is needed to “bridge” between the two: if we find that an animal can do a specific task using X amount of compute, then what should we estimate as the amount of compute needed for an ML model to do the same task? This post aims to better estimate this parameter, by comparing few-shot image classification in bees to the same task in ML models. I won’t go through the details here, but the upshot is that (after various approximations and judgment calls) ML models can reach the same performance as bees on few-shot image classification using 1,000 times less compute.
If we plug this parameter into the biological anchors framework (without changing any of the other parameters), the median year for transformative AI according to the model changes from 2050 to 2035, though the author advises only updating to (say) 2045 since the results of the investigation are so uncertain. The author also sees this as generally validating the biological anchors approach to forecasting timelines.</v>
      </c>
      <c r="K564" t="str">
        <f>IFERROR(__xludf.DUMMYFUNCTION("""COMPUTED_VALUE"""),"I really liked this post: the problem is important, the approach to tackle it makes sense, and most importantly it’s very easy to follow the reasoning. I don’t think that directly substituting in the 1,000 number into the timelines calculation is the righ"&amp;"t approach; I think there are a few reasons (explained [here](https://www.alignmentforum.org/posts/yW3Tct2iyBMzYhTw7/how-does-bee-learning-compare-with-machine-learning?commentId=rcJuytMfdQNMb82rR), some of which were mentioned in the post) to think that "&amp;"the comparison was biased in favor of the ML models. I would instead wildly guess that this comparison suggests that a transformative model would use 20x less compute than a human, which still shortens timelines, probably to 2045 or so. (This is before in"&amp;"corporating uncertainty about the conclusions of the report as a whole.)")</f>
        <v>I really liked this post: the problem is important, the approach to tackle it makes sense, and most importantly it’s very easy to follow the reasoning. I don’t think that directly substituting in the 1,000 number into the timelines calculation is the right approach; I think there are a few reasons (explained [here](https://www.alignmentforum.org/posts/yW3Tct2iyBMzYhTw7/how-does-bee-learning-compare-with-machine-learning?commentId=rcJuytMfdQNMb82rR), some of which were mentioned in the post) to think that the comparison was biased in favor of the ML models. I would instead wildly guess that this comparison suggests that a transformative model would use 20x less compute than a human, which still shortens timelines, probably to 2045 or so. (This is before incorporating uncertainty about the conclusions of the report as a whole.)</v>
      </c>
    </row>
    <row r="565">
      <c r="A565" t="str">
        <f>IFERROR(__xludf.DUMMYFUNCTION("""COMPUTED_VALUE"""),"Forecasting")</f>
        <v>Forecasting</v>
      </c>
      <c r="B565" t="str">
        <f>IFERROR(__xludf.DUMMYFUNCTION("""COMPUTED_VALUE"""),"")</f>
        <v/>
      </c>
      <c r="C565" s="3" t="str">
        <f>IFERROR(__xludf.DUMMYFUNCTION("""COMPUTED_VALUE"""),"Measuring Progress in Deep Reinforcement Learning Sample Efficiency")</f>
        <v>Measuring Progress in Deep Reinforcement Learning Sample Efficiency</v>
      </c>
      <c r="D565" t="str">
        <f>IFERROR(__xludf.DUMMYFUNCTION("""COMPUTED_VALUE"""),"Anonymous")</f>
        <v>Anonymous</v>
      </c>
      <c r="E565" t="str">
        <f>IFERROR(__xludf.DUMMYFUNCTION("""COMPUTED_VALUE"""),"OpenReview")</f>
        <v>OpenReview</v>
      </c>
      <c r="F565">
        <f>IFERROR(__xludf.DUMMYFUNCTION("""COMPUTED_VALUE"""),2020.0)</f>
        <v>2020</v>
      </c>
      <c r="G565" t="str">
        <f>IFERROR(__xludf.DUMMYFUNCTION("""COMPUTED_VALUE"""),"Carl Shulman")</f>
        <v>Carl Shulman</v>
      </c>
      <c r="H565" s="3" t="str">
        <f>IFERROR(__xludf.DUMMYFUNCTION("""COMPUTED_VALUE"""),"AN #125")</f>
        <v>AN #125</v>
      </c>
      <c r="I565" t="str">
        <f>IFERROR(__xludf.DUMMYFUNCTION("""COMPUTED_VALUE"""),"Asya")</f>
        <v>Asya</v>
      </c>
      <c r="J565" t="str">
        <f>IFERROR(__xludf.DUMMYFUNCTION("""COMPUTED_VALUE"""),"This paper measures historic increases in sample efficiency by looking at the number of samples needed to reach some fixed performance level on Atari games and virtual continuous control tasks. The authors find exponential progress in sample efficiency, w"&amp;"ith estimated doubling times of 10 to 18 months on Atari, 5 to 24 months on state-based continuous control, and 4 to 9 months on pixel-based continuous control, depending on the specific task and performance level. They find that these gains were mainly d"&amp;"riven by improvements in off-policy and model-based deep RL learning approaches, as well as the use of auxiliary learning objectives to speed up representation learning, and not by model size improvements. The authors stress that their study is limited in"&amp;" studying only the published training curves for only three tasks, not accounting for the extent to which hyperparameter tuning may have been responsible for historic gains.")</f>
        <v>This paper measures historic increases in sample efficiency by looking at the number of samples needed to reach some fixed performance level on Atari games and virtual continuous control tasks. The authors find exponential progress in sample efficiency, with estimated doubling times of 10 to 18 months on Atari, 5 to 24 months on state-based continuous control, and 4 to 9 months on pixel-based continuous control, depending on the specific task and performance level. They find that these gains were mainly driven by improvements in off-policy and model-based deep RL learning approaches, as well as the use of auxiliary learning objectives to speed up representation learning, and not by model size improvements. The authors stress that their study is limited in studying only the published training curves for only three tasks, not accounting for the extent to which hyperparameter tuning may have been responsible for historic gains.</v>
      </c>
      <c r="K565" t="str">
        <f>IFERROR(__xludf.DUMMYFUNCTION("""COMPUTED_VALUE"""),"Following in the footsteps of &lt;@AI and Efficiency@&gt;(@AI and Efficiency@), here we have a paper showing exponential gains in sample efficiency in particular. I'm really glad someone did this analysis-- I think I'm surprised by how fast progress is, though "&amp;"as the paper notes it's unclear exactly how to relate historic improvements on fixed task performance to a sense of overall improvement in continuous control (though several of the main contributors listed in the appendix seem fairly general). I also real"&amp;"ly appreciate how thorough the full paper is in listing limitations to this work.
Since these papers are coming up in the same newsletter, I'll note the contrast between the data-unlimited domains explored in the scaling laws paper and the severely data-"&amp;"limited domain of real-world robotics emphasized in this paper. In robotics, it seems we are definitely still constrained by algorithmic progress that lets us train on fewer samples (or do better &lt;@transfer from simulations@&gt;(@Let's Discuss OpenAI's Rubik"&amp;"'s Cube Result@)). Of course, maybe progress in data-unlimited domains will ultimately result in AIs that make algorithmic progress in data-limited domains faster than humans ever could.")</f>
        <v>Following in the footsteps of &lt;@AI and Efficiency@&gt;(@AI and Efficiency@), here we have a paper showing exponential gains in sample efficiency in particular. I'm really glad someone did this analysis-- I think I'm surprised by how fast progress is, though as the paper notes it's unclear exactly how to relate historic improvements on fixed task performance to a sense of overall improvement in continuous control (though several of the main contributors listed in the appendix seem fairly general). I also really appreciate how thorough the full paper is in listing limitations to this work.
Since these papers are coming up in the same newsletter, I'll note the contrast between the data-unlimited domains explored in the scaling laws paper and the severely data-limited domain of real-world robotics emphasized in this paper. In robotics, it seems we are definitely still constrained by algorithmic progress that lets us train on fewer samples (or do better &lt;@transfer from simulations@&gt;(@Let's Discuss OpenAI's Rubik's Cube Result@)). Of course, maybe progress in data-unlimited domains will ultimately result in AIs that make algorithmic progress in data-limited domains faster than humans ever could.</v>
      </c>
    </row>
    <row r="566">
      <c r="A566" t="str">
        <f>IFERROR(__xludf.DUMMYFUNCTION("""COMPUTED_VALUE"""),"Forecasting")</f>
        <v>Forecasting</v>
      </c>
      <c r="B566" t="str">
        <f>IFERROR(__xludf.DUMMYFUNCTION("""COMPUTED_VALUE"""),"")</f>
        <v/>
      </c>
      <c r="C566" s="3" t="str">
        <f>IFERROR(__xludf.DUMMYFUNCTION("""COMPUTED_VALUE"""),"Measuring Massive Multitask Language Understanding")</f>
        <v>Measuring Massive Multitask Language Understanding</v>
      </c>
      <c r="D566" t="str">
        <f>IFERROR(__xludf.DUMMYFUNCTION("""COMPUTED_VALUE"""),"Dan Hendrycks, Collin Burns, Steven Basart, Andy Zou, Mantas Mazeika, Dawn Song, Jacob Steinhardt")</f>
        <v>Dan Hendrycks, Collin Burns, Steven Basart, Andy Zou, Mantas Mazeika, Dawn Song, Jacob Steinhardt</v>
      </c>
      <c r="E566" t="str">
        <f>IFERROR(__xludf.DUMMYFUNCTION("""COMPUTED_VALUE"""),"arXiv")</f>
        <v>arXiv</v>
      </c>
      <c r="F566">
        <f>IFERROR(__xludf.DUMMYFUNCTION("""COMPUTED_VALUE"""),2020.0)</f>
        <v>2020</v>
      </c>
      <c r="H566" s="3" t="str">
        <f>IFERROR(__xludf.DUMMYFUNCTION("""COMPUTED_VALUE"""),"AN #119")</f>
        <v>AN #119</v>
      </c>
      <c r="I566" t="str">
        <f>IFERROR(__xludf.DUMMYFUNCTION("""COMPUTED_VALUE"""),"Rohin")</f>
        <v>Rohin</v>
      </c>
      <c r="J566" t="str">
        <f>IFERROR(__xludf.DUMMYFUNCTION("""COMPUTED_VALUE"""),"With the advent of large language models, there has been a shift to evaluating these models based on the knowledge they have acquired, i.e. evaluating their “common sense”. However, with &lt;@GPT-3@&gt;(@Language Models are Few-Shot Learners@) models have reach"&amp;"ed approximately human performance even on these benchmarks. What should be next?
We’ve &lt;@previously seen@&gt;(@Aligning AI With Shared Human Values@) a benchmark that evaluates models based on their knowledge of ethics. This benchmark (with many of the sam"&amp;"e authors) goes further by testing models with multiple choice questions on a variety of subjects that humans need to learn. These are not easy: their 57 subjects include advanced topics like Professional Medicine, College Mathematics, and International L"&amp;"aw.
All but the largest of the GPT-3 models do about as well as random chance (25%). However, the largest 175 billion parameter model does significantly better, reaching an average score of 43.9%. This performance is very lopsided: on US Foreign Policy i"&amp;"t gets almost 70%, while on College Chemistry and Moral Scenarios it gets about 25% (i.e. still random chance). The authors note that GPT-3 tends to do worse on subjects that require calculations and thus speculate that it is harder for GPT-3 to acquire p"&amp;"rocedural knowledge compared to declarative knowledge. The authors also find that GPT-3 is very uncalibrated about its answers in the zero-shot setting, and becomes more calibrated (though still not very good) in the few-shot setting.
It isn’t _necessary"&amp;"_ to have huge models in order to do better than chance: in fact, you can do better with a smaller model that is finetuned for question answering. In particular, the UnifiedQA system has an order of magnitude fewer parameters than GPT-3, but outperforms i"&amp;"t with a score of 48.9% accuracy. This system was trained on other question answering datasets (but notably was not trained on the questions in this dataset, as this dataset is meant for evaluation rather than training). A small UnifiedQA model with only "&amp;"60 million parameters (over 3 orders of magnitude smaller than GPT-3) can still do better than chance, achieving 29.3% on the dataset.")</f>
        <v>With the advent of large language models, there has been a shift to evaluating these models based on the knowledge they have acquired, i.e. evaluating their “common sense”. However, with &lt;@GPT-3@&gt;(@Language Models are Few-Shot Learners@) models have reached approximately human performance even on these benchmarks. What should be next?
We’ve &lt;@previously seen@&gt;(@Aligning AI With Shared Human Values@) a benchmark that evaluates models based on their knowledge of ethics. This benchmark (with many of the same authors) goes further by testing models with multiple choice questions on a variety of subjects that humans need to learn. These are not easy: their 57 subjects include advanced topics like Professional Medicine, College Mathematics, and International Law.
All but the largest of the GPT-3 models do about as well as random chance (25%). However, the largest 175 billion parameter model does significantly better, reaching an average score of 43.9%. This performance is very lopsided: on US Foreign Policy it gets almost 70%, while on College Chemistry and Moral Scenarios it gets about 25% (i.e. still random chance). The authors note that GPT-3 tends to do worse on subjects that require calculations and thus speculate that it is harder for GPT-3 to acquire procedural knowledge compared to declarative knowledge. The authors also find that GPT-3 is very uncalibrated about its answers in the zero-shot setting, and becomes more calibrated (though still not very good) in the few-shot setting.
It isn’t _necessary_ to have huge models in order to do better than chance: in fact, you can do better with a smaller model that is finetuned for question answering. In particular, the UnifiedQA system has an order of magnitude fewer parameters than GPT-3, but outperforms it with a score of 48.9% accuracy. This system was trained on other question answering datasets (but notably was not trained on the questions in this dataset, as this dataset is meant for evaluation rather than training). A small UnifiedQA model with only 60 million parameters (over 3 orders of magnitude smaller than GPT-3) can still do better than chance, achieving 29.3% on the dataset.</v>
      </c>
      <c r="K566" t="str">
        <f>IFERROR(__xludf.DUMMYFUNCTION("""COMPUTED_VALUE"""),"The examples of the questions are pretty interesting, and show that this really is a hard challenge: while experts in each subject would probably get very high scores, if we tested me on all of these subjects I don't think I would do very well. I like thi"&amp;"s method of evaluation because it gets a bit closer to what we care about: whether our models can capture enough domain knowledge that they can then be used widely for automation. Depending on your beliefs about how AI will progress, there might be too mu"&amp;"ch of a focus on this generality -- maybe our models only need to understand “general reasoning” and then we can finetune them for specific domains.")</f>
        <v>The examples of the questions are pretty interesting, and show that this really is a hard challenge: while experts in each subject would probably get very high scores, if we tested me on all of these subjects I don't think I would do very well. I like this method of evaluation because it gets a bit closer to what we care about: whether our models can capture enough domain knowledge that they can then be used widely for automation. Depending on your beliefs about how AI will progress, there might be too much of a focus on this generality -- maybe our models only need to understand “general reasoning” and then we can finetune them for specific domains.</v>
      </c>
      <c r="M566" s="3" t="str">
        <f>IFERROR(__xludf.DUMMYFUNCTION("""COMPUTED_VALUE"""),"Import AI summary")</f>
        <v>Import AI summary</v>
      </c>
    </row>
    <row r="567">
      <c r="A567" t="str">
        <f>IFERROR(__xludf.DUMMYFUNCTION("""COMPUTED_VALUE"""),"Forecasting")</f>
        <v>Forecasting</v>
      </c>
      <c r="B567" t="str">
        <f>IFERROR(__xludf.DUMMYFUNCTION("""COMPUTED_VALUE"""),"")</f>
        <v/>
      </c>
      <c r="C567" s="3" t="str">
        <f>IFERROR(__xludf.DUMMYFUNCTION("""COMPUTED_VALUE"""),"How Much Computational Power It Takes to Match the Human Brain")</f>
        <v>How Much Computational Power It Takes to Match the Human Brain</v>
      </c>
      <c r="D567" t="str">
        <f>IFERROR(__xludf.DUMMYFUNCTION("""COMPUTED_VALUE"""),"Joseph Carlsmith")</f>
        <v>Joseph Carlsmith</v>
      </c>
      <c r="E567" t="str">
        <f>IFERROR(__xludf.DUMMYFUNCTION("""COMPUTED_VALUE"""),"Open Philanthropy Website")</f>
        <v>Open Philanthropy Website</v>
      </c>
      <c r="F567">
        <f>IFERROR(__xludf.DUMMYFUNCTION("""COMPUTED_VALUE"""),2020.0)</f>
        <v>2020</v>
      </c>
      <c r="H567" s="3" t="str">
        <f>IFERROR(__xludf.DUMMYFUNCTION("""COMPUTED_VALUE"""),"AN #118")</f>
        <v>AN #118</v>
      </c>
      <c r="I567" t="str">
        <f>IFERROR(__xludf.DUMMYFUNCTION("""COMPUTED_VALUE"""),"Asya")</f>
        <v>Asya</v>
      </c>
      <c r="J567" t="str">
        <f>IFERROR(__xludf.DUMMYFUNCTION("""COMPUTED_VALUE"""),"In this blog post, Joseph Carlsmith gives a summary of his longer report estimating the number of floating point operations per second (FLOP/s) which would be _sufficient_ to perform any cognitive task that the human brain can perform. He considers four d"&amp;"ifferent methods of estimation.
Using *the mechanistic method*, he estimates the FLOP/s required to model the brain’s low-level mechanisms at a level of detail adequate to replicate human task-performance. He does this by estimating that ~1e13 - 1e17 FLO"&amp;"P/s is enough to replicate what he calls “standard neuron signaling” — neurons signaling to each other via using electrical impulses (at chemical synapses) — and learning in the brain, and arguing that including the brain’s other signaling processes would"&amp;" not meaningfully increase these numbers. He also suggests that various considerations point weakly to the adequacy of smaller budgets.
Using *the functional method*, he identifies a portion of the brain whose function we can approximate with computers, "&amp;"and then scales up to FLOP/s estimates for the entire brain. One way to do this is by scaling up models of the human retina: Hans Moravec's estimates for the FLOP/s of the human retina imply 1e12 - 1e15 FLOP/s for the entire brain, while recent deep neura"&amp;"l networks that predict retina cell firing patterns imply 1e16 - 1e20 FLOP/s.
Another way to use the functional method is to assume that current image classification networks with known FLOP/s requirements do some fraction of the computation of the human"&amp;" visual cortex, adjusting for the increase in FLOP/s necessary to reach robust human-level classification performance. Assuming somewhat arbitrarily that 0.3% to 10% of what the visual cortex does is image classification, and that the EfficientNet-B2 imag"&amp;"e classifier would require a 10x to 1000x increase in frequency to reach fully human-level image classification, he gets 1e13 - 3e17 implied FLOP/s to run the entire brain. Joseph holds the estimates from this method very lightly, though he thinks that th"&amp;"ey weakly suggest that the 1e13 - 1e17 FLOP/s estimates from the mechanistic method are not radically too low.
Using *the limit method*, Joseph uses the brain’s energy budget, together with physical limits set by Landauer’s principle, which specifies the"&amp;" minimum energy cost of erasing bits, to upper-bound required FLOP/s to ~7e21. He notes that this relies on arguments about how many bits the brain erases per FLOP, which he and various experts agree is very likely to be &gt; 1 based on arguments about algor"&amp;"ithmic bit erasures and the brain's energy dissipation.
Lastly, Joseph briefly describes *the communication method*, which uses the communication bandwidth in the brain as evidence about its computational capacity. Joseph thinks this method faces a numbe"&amp;"r of issues, but some extremely preliminary estimates suggest 1e14 FLOP/s based on comparing the brain to a V100 GPU, and 1e16 - 3e17 FLOP/s based on estimating the communication capabilities of brains in traversed edges per second (TEPS), a metric normal"&amp;"ly used for computers, and then converting to FLOP/s using the TEPS to FLOP/s ratio in supercomputers. 
Overall, Joseph thinks it is more likely than not that 1e15 FLOP/s is enough to perform tasks as well as the human brain (given the right software, wh"&amp;"ich may be very hard to create). And he thinks it's unlikely (&lt;10%) that more than 1e21 FLOP/s is required. For reference, an NVIDIA V100 GPU performs up to 1e14 FLOP/s (although FLOP/s is not the only metric which differentiates two computational systems"&amp;".)")</f>
        <v>In this blog post, Joseph Carlsmith gives a summary of his longer report estimating the number of floating point operations per second (FLOP/s) which would be _sufficient_ to perform any cognitive task that the human brain can perform. He considers four different methods of estimation.
Using *the mechanistic method*, he estimates the FLOP/s required to model the brain’s low-level mechanisms at a level of detail adequate to replicate human task-performance. He does this by estimating that ~1e13 - 1e17 FLOP/s is enough to replicate what he calls “standard neuron signaling” — neurons signaling to each other via using electrical impulses (at chemical synapses) — and learning in the brain, and arguing that including the brain’s other signaling processes would not meaningfully increase these numbers. He also suggests that various considerations point weakly to the adequacy of smaller budgets.
Using *the functional method*, he identifies a portion of the brain whose function we can approximate with computers, and then scales up to FLOP/s estimates for the entire brain. One way to do this is by scaling up models of the human retina: Hans Moravec's estimates for the FLOP/s of the human retina imply 1e12 - 1e15 FLOP/s for the entire brain, while recent deep neural networks that predict retina cell firing patterns imply 1e16 - 1e20 FLOP/s.
Another way to use the functional method is to assume that current image classification networks with known FLOP/s requirements do some fraction of the computation of the human visual cortex, adjusting for the increase in FLOP/s necessary to reach robust human-level classification performance. Assuming somewhat arbitrarily that 0.3% to 10% of what the visual cortex does is image classification, and that the EfficientNet-B2 image classifier would require a 10x to 1000x increase in frequency to reach fully human-level image classification, he gets 1e13 - 3e17 implied FLOP/s to run the entire brain. Joseph holds the estimates from this method very lightly, though he thinks that they weakly suggest that the 1e13 - 1e17 FLOP/s estimates from the mechanistic method are not radically too low.
Using *the limit method*, Joseph uses the brain’s energy budget, together with physical limits set by Landauer’s principle, which specifies the minimum energy cost of erasing bits, to upper-bound required FLOP/s to ~7e21. He notes that this relies on arguments about how many bits the brain erases per FLOP, which he and various experts agree is very likely to be &gt; 1 based on arguments about algorithmic bit erasures and the brain's energy dissipation.
Lastly, Joseph briefly describes *the communication method*, which uses the communication bandwidth in the brain as evidence about its computational capacity. Joseph thinks this method faces a number of issues, but some extremely preliminary estimates suggest 1e14 FLOP/s based on comparing the brain to a V100 GPU, and 1e16 - 3e17 FLOP/s based on estimating the communication capabilities of brains in traversed edges per second (TEPS), a metric normally used for computers, and then converting to FLOP/s using the TEPS to FLOP/s ratio in supercomputers. 
Overall, Joseph thinks it is more likely than not that 1e15 FLOP/s is enough to perform tasks as well as the human brain (given the right software, which may be very hard to create). And he thinks it's unlikely (&lt;10%) that more than 1e21 FLOP/s is required. For reference, an NVIDIA V100 GPU performs up to 1e14 FLOP/s (although FLOP/s is not the only metric which differentiates two computational systems.)</v>
      </c>
      <c r="K567" t="str">
        <f>IFERROR(__xludf.DUMMYFUNCTION("""COMPUTED_VALUE"""),"I really liked this post, although I haven't gotten a chance to get through the entire full-length report. I found the reasoning extremely legible and transparent, and there's no place where I disagree with Joseph's estimates or conclusions. See also [Imp"&amp;"ort AI's summary](https://jack-clark.net/2020/09/14/import-ai-214-nvidias-40bn-arm-deal-a-new-57-subject-nlp-test-ai-for-plant-disease-detection/).")</f>
        <v>I really liked this post, although I haven't gotten a chance to get through the entire full-length report. I found the reasoning extremely legible and transparent, and there's no place where I disagree with Joseph's estimates or conclusions. See also [Import AI's summary](https://jack-clark.net/2020/09/14/import-ai-214-nvidias-40bn-arm-deal-a-new-57-subject-nlp-test-ai-for-plant-disease-detection/).</v>
      </c>
      <c r="M567" s="3" t="str">
        <f>IFERROR(__xludf.DUMMYFUNCTION("""COMPUTED_VALUE"""),"Full Report: How Much Computational Power Does It Take to Match the Human Brain?")</f>
        <v>Full Report: How Much Computational Power Does It Take to Match the Human Brain?</v>
      </c>
    </row>
    <row r="568">
      <c r="A568" t="str">
        <f>IFERROR(__xludf.DUMMYFUNCTION("""COMPUTED_VALUE"""),"Forecasting")</f>
        <v>Forecasting</v>
      </c>
      <c r="B568" t="str">
        <f>IFERROR(__xludf.DUMMYFUNCTION("""COMPUTED_VALUE"""),"")</f>
        <v/>
      </c>
      <c r="C568" s="3" t="str">
        <f>IFERROR(__xludf.DUMMYFUNCTION("""COMPUTED_VALUE"""),"Does Economic History Point Toward a Singularity?")</f>
        <v>Does Economic History Point Toward a Singularity?</v>
      </c>
      <c r="D568" t="str">
        <f>IFERROR(__xludf.DUMMYFUNCTION("""COMPUTED_VALUE"""),"Ben Garfinkel")</f>
        <v>Ben Garfinkel</v>
      </c>
      <c r="E568" t="str">
        <f>IFERROR(__xludf.DUMMYFUNCTION("""COMPUTED_VALUE"""),"EA Forum")</f>
        <v>EA Forum</v>
      </c>
      <c r="F568">
        <f>IFERROR(__xludf.DUMMYFUNCTION("""COMPUTED_VALUE"""),2020.0)</f>
        <v>2020</v>
      </c>
      <c r="H568" s="3" t="str">
        <f>IFERROR(__xludf.DUMMYFUNCTION("""COMPUTED_VALUE"""),"AN #116")</f>
        <v>AN #116</v>
      </c>
      <c r="I568" t="str">
        <f>IFERROR(__xludf.DUMMYFUNCTION("""COMPUTED_VALUE"""),"Rohin")</f>
        <v>Rohin</v>
      </c>
      <c r="J568" t="str">
        <f>IFERROR(__xludf.DUMMYFUNCTION("""COMPUTED_VALUE"""),"One important question for the long-term future is whether we can expect accelerating growth in total GDP in the near future (see e.g. this &lt;@recent report@&gt;(@Modeling the Human Trajectory@)). For AI alignment in particular, the answer to this question co"&amp;"uld have a significant impact on AI timelines: if some arguments suggested that it would be very unlikely for us to have accelerating growth soon, we should probably be more skeptical that we will develop transformative AI soon.
So far, the case for acce"&amp;"lerating growth relies on one main argument that the author calls the _Hyperbolic Growth Hypothesis_ (HGH). This hypothesis posits that the growth _rate_ rises in tandem with the population size (intuitively, a higher population means more ideas for techn"&amp;"ological progress which means higher growth rates). This document explores the _empirical_ support for this hypothesis.
I’ll skip the messy empirical details and jump straight to the conclusion: while the author agrees that growth rates of total GDP (rat"&amp;"her than GDP per capita) have been increasing since the Industrial Revolution up till a few decades ago, he does not see much support for the HGH prior to the modern era. The data seems very noisy and hard to interpret, and even when using this noisy data"&amp;" it seems that models with constant growth rates fit the pre-modern era better than hyperbolic models. Thus, we should be uncertain between the HGH and the hypothesis that the industrial revolution triggered a one-off transition to increasing growth rates"&amp;" that have now stabilized.")</f>
        <v>One important question for the long-term future is whether we can expect accelerating growth in total GDP in the near future (see e.g. this &lt;@recent report@&gt;(@Modeling the Human Trajectory@)). For AI alignment in particular, the answer to this question could have a significant impact on AI timelines: if some arguments suggested that it would be very unlikely for us to have accelerating growth soon, we should probably be more skeptical that we will develop transformative AI soon.
So far, the case for accelerating growth relies on one main argument that the author calls the _Hyperbolic Growth Hypothesis_ (HGH). This hypothesis posits that the growth _rate_ rises in tandem with the population size (intuitively, a higher population means more ideas for technological progress which means higher growth rates). This document explores the _empirical_ support for this hypothesis.
I’ll skip the messy empirical details and jump straight to the conclusion: while the author agrees that growth rates of total GDP (rather than GDP per capita) have been increasing since the Industrial Revolution up till a few decades ago, he does not see much support for the HGH prior to the modern era. The data seems very noisy and hard to interpret, and even when using this noisy data it seems that models with constant growth rates fit the pre-modern era better than hyperbolic models. Thus, we should be uncertain between the HGH and the hypothesis that the industrial revolution triggered a one-off transition to increasing growth rates that have now stabilized.</v>
      </c>
      <c r="K568" t="str">
        <f>IFERROR(__xludf.DUMMYFUNCTION("""COMPUTED_VALUE"""),"I’m glad to know that the empirical support for the HGH seems mostly limited to the modern era, and may be weakly disconfirmed by data from the pre-modern era. I’m not entirely sure how I should update -- it seems that both hypotheses would be consistent "&amp;"with future accelerating growth, though HGH predicts it more strongly. It also seems plausible to me that we should still assign more credence to HGH because of its theoretical support and relative simplicity -- it doesn’t seem like there is strong eviden"&amp;"ce suggesting that HGH is false, just that the empirical evidence for it is weaker than we might have thought. See also [Paul Christiano’s response](https://forum.effectivealtruism.org/posts/CWFn9qAKsRibpCGq8/does-economic-history-point-toward-a-singulari"&amp;"ty?commentId=j9BymthAthZQ6dnGp).")</f>
        <v>I’m glad to know that the empirical support for the HGH seems mostly limited to the modern era, and may be weakly disconfirmed by data from the pre-modern era. I’m not entirely sure how I should update -- it seems that both hypotheses would be consistent with future accelerating growth, though HGH predicts it more strongly. It also seems plausible to me that we should still assign more credence to HGH because of its theoretical support and relative simplicity -- it doesn’t seem like there is strong evidence suggesting that HGH is false, just that the empirical evidence for it is weaker than we might have thought. See also [Paul Christiano’s response](https://forum.effectivealtruism.org/posts/CWFn9qAKsRibpCGq8/does-economic-history-point-toward-a-singularity?commentId=j9BymthAthZQ6dnGp).</v>
      </c>
    </row>
    <row r="569">
      <c r="A569" t="str">
        <f>IFERROR(__xludf.DUMMYFUNCTION("""COMPUTED_VALUE"""),"Forecasting")</f>
        <v>Forecasting</v>
      </c>
      <c r="B569" t="str">
        <f>IFERROR(__xludf.DUMMYFUNCTION("""COMPUTED_VALUE"""),"")</f>
        <v/>
      </c>
      <c r="C569" s="3" t="str">
        <f>IFERROR(__xludf.DUMMYFUNCTION("""COMPUTED_VALUE"""),"Forecasting Thread: AI Timelines")</f>
        <v>Forecasting Thread: AI Timelines</v>
      </c>
      <c r="D569" t="str">
        <f>IFERROR(__xludf.DUMMYFUNCTION("""COMPUTED_VALUE"""),"Amanda Ngo, Daniel Kokotajlo, Ben Pace")</f>
        <v>Amanda Ngo, Daniel Kokotajlo, Ben Pace</v>
      </c>
      <c r="E569" t="str">
        <f>IFERROR(__xludf.DUMMYFUNCTION("""COMPUTED_VALUE"""),"Alignment Forum")</f>
        <v>Alignment Forum</v>
      </c>
      <c r="F569">
        <f>IFERROR(__xludf.DUMMYFUNCTION("""COMPUTED_VALUE"""),2020.0)</f>
        <v>2020</v>
      </c>
      <c r="H569" s="3" t="str">
        <f>IFERROR(__xludf.DUMMYFUNCTION("""COMPUTED_VALUE"""),"AN #115")</f>
        <v>AN #115</v>
      </c>
      <c r="I569" t="str">
        <f>IFERROR(__xludf.DUMMYFUNCTION("""COMPUTED_VALUE"""),"Rohin")</f>
        <v>Rohin</v>
      </c>
      <c r="J569" t="str">
        <f>IFERROR(__xludf.DUMMYFUNCTION("""COMPUTED_VALUE"""),"This post collects forecasts of timelines until human-level AGI. One of the authors reflects on lessons learned [here](https://www.lesswrong.com/posts/6LJjzTo5xEBui8PqE/reflections-on-ai-timelines-forecasting-thread).")</f>
        <v>This post collects forecasts of timelines until human-level AGI. One of the authors reflects on lessons learned [here](https://www.lesswrong.com/posts/6LJjzTo5xEBui8PqE/reflections-on-ai-timelines-forecasting-thread).</v>
      </c>
    </row>
    <row r="570">
      <c r="A570" t="str">
        <f>IFERROR(__xludf.DUMMYFUNCTION("""COMPUTED_VALUE"""),"Forecasting")</f>
        <v>Forecasting</v>
      </c>
      <c r="B570" t="str">
        <f>IFERROR(__xludf.DUMMYFUNCTION("""COMPUTED_VALUE"""),"")</f>
        <v/>
      </c>
      <c r="C570" s="3" t="str">
        <f>IFERROR(__xludf.DUMMYFUNCTION("""COMPUTED_VALUE"""),"Forecasting AI Progress: A Research Agenda")</f>
        <v>Forecasting AI Progress: A Research Agenda</v>
      </c>
      <c r="D570" t="str">
        <f>IFERROR(__xludf.DUMMYFUNCTION("""COMPUTED_VALUE"""),"Ross Gruetzemacher, Florian Dorner, Niko Bernaola-Alvarez, Charlie Giattino, David Manheim")</f>
        <v>Ross Gruetzemacher, Florian Dorner, Niko Bernaola-Alvarez, Charlie Giattino, David Manheim</v>
      </c>
      <c r="E570" t="str">
        <f>IFERROR(__xludf.DUMMYFUNCTION("""COMPUTED_VALUE"""),"arXiv")</f>
        <v>arXiv</v>
      </c>
      <c r="F570">
        <f>IFERROR(__xludf.DUMMYFUNCTION("""COMPUTED_VALUE"""),2020.0)</f>
        <v>2020</v>
      </c>
      <c r="H570" s="3" t="str">
        <f>IFERROR(__xludf.DUMMYFUNCTION("""COMPUTED_VALUE"""),"AN #113")</f>
        <v>AN #113</v>
      </c>
      <c r="I570" t="str">
        <f>IFERROR(__xludf.DUMMYFUNCTION("""COMPUTED_VALUE"""),"Nicholas")</f>
        <v>Nicholas</v>
      </c>
      <c r="J570" t="str">
        <f>IFERROR(__xludf.DUMMYFUNCTION("""COMPUTED_VALUE"""),"This paper develops a research agenda using the Delphi Process. The Delphi process consists of 4 steps:
1.  Ask experts a series of open-ended questions to identify interesting research questions and methods.
2.  Authors summarize and aggregate results an"&amp;"d send back to experts.
3.  The experts comment on and discuss the results.
4.  The experts score the research questions and methods on importance and feasibility.
This process yields a large list of questions and methods. A few that I am personally in"&amp;"terested in are:
-   What are the most useful indicators (e.g. compute, talent, economic impact) of AI progress?
-   How effective is long-term technological forecasting and how can we best validate near- and mid-term forecasts?
-   How do we utilize fore"&amp;"casts to inform decision makers and develop interventions?
-   What are the most likely scenarios for the development of TAI?
There is already an existing body of work on many of these questions, so their strongest recommendation for future work is for li"&amp;"terature reviews.")</f>
        <v>This paper develops a research agenda using the Delphi Process. The Delphi process consists of 4 steps:
1.  Ask experts a series of open-ended questions to identify interesting research questions and methods.
2.  Authors summarize and aggregate results and send back to experts.
3.  The experts comment on and discuss the results.
4.  The experts score the research questions and methods on importance and feasibility.
This process yields a large list of questions and methods. A few that I am personally interested in are:
-   What are the most useful indicators (e.g. compute, talent, economic impact) of AI progress?
-   How effective is long-term technological forecasting and how can we best validate near- and mid-term forecasts?
-   How do we utilize forecasts to inform decision makers and develop interventions?
-   What are the most likely scenarios for the development of TAI?
There is already an existing body of work on many of these questions, so their strongest recommendation for future work is for literature reviews.</v>
      </c>
      <c r="K570" t="str">
        <f>IFERROR(__xludf.DUMMYFUNCTION("""COMPUTED_VALUE"""),"I highly recommend this paper as a starting point for anyone who wants to get started on AI forecasting research. Identifying an interesting research question is typically one of the parts of the research process where expert feedback and mentorship helps"&amp;" the most, and the expert suggestions aggregated here seem quite valuable for that.
I also agree with the recommendation for literature reviews. In order for AI safety research to have its desired impact, it eventually needs to be communicated to decisio"&amp;"n makers, including researchers, company executives, and government leaders. Literature reviews are a valuable academic method for doing this, but I am also excited by more creative ways to communicate these research topics like this newsletter or [these]"&amp;"(https://www.youtube.com/channel/UCLB7AzTwc6VFZrBsO2ucBMg) videos.")</f>
        <v>I highly recommend this paper as a starting point for anyone who wants to get started on AI forecasting research. Identifying an interesting research question is typically one of the parts of the research process where expert feedback and mentorship helps the most, and the expert suggestions aggregated here seem quite valuable for that.
I also agree with the recommendation for literature reviews. In order for AI safety research to have its desired impact, it eventually needs to be communicated to decision makers, including researchers, company executives, and government leaders. Literature reviews are a valuable academic method for doing this, but I am also excited by more creative ways to communicate these research topics like this newsletter or [these](https://www.youtube.com/channel/UCLB7AzTwc6VFZrBsO2ucBMg) videos.</v>
      </c>
    </row>
    <row r="571">
      <c r="A571" t="str">
        <f>IFERROR(__xludf.DUMMYFUNCTION("""COMPUTED_VALUE"""),"Forecasting")</f>
        <v>Forecasting</v>
      </c>
      <c r="B571" t="str">
        <f>IFERROR(__xludf.DUMMYFUNCTION("""COMPUTED_VALUE"""),"")</f>
        <v/>
      </c>
      <c r="C571" s="3" t="str">
        <f>IFERROR(__xludf.DUMMYFUNCTION("""COMPUTED_VALUE"""),"Amplified forecasting: What will Buck's informed prediction of compute used in the largest ML training run before 2030 be?")</f>
        <v>Amplified forecasting: What will Buck's informed prediction of compute used in the largest ML training run before 2030 be?</v>
      </c>
      <c r="D571" t="str">
        <f>IFERROR(__xludf.DUMMYFUNCTION("""COMPUTED_VALUE"""),"Ought")</f>
        <v>Ought</v>
      </c>
      <c r="E571" t="str">
        <f>IFERROR(__xludf.DUMMYFUNCTION("""COMPUTED_VALUE"""),"Metaculus")</f>
        <v>Metaculus</v>
      </c>
      <c r="F571">
        <f>IFERROR(__xludf.DUMMYFUNCTION("""COMPUTED_VALUE"""),2020.0)</f>
        <v>2020</v>
      </c>
      <c r="H571" s="3" t="str">
        <f>IFERROR(__xludf.DUMMYFUNCTION("""COMPUTED_VALUE"""),"AN #111")</f>
        <v>AN #111</v>
      </c>
      <c r="I571" t="str">
        <f>IFERROR(__xludf.DUMMYFUNCTION("""COMPUTED_VALUE"""),"Rohin")</f>
        <v>Rohin</v>
      </c>
      <c r="J571" t="str">
        <f>IFERROR(__xludf.DUMMYFUNCTION("""COMPUTED_VALUE"""),"[Ought](https://ought.org/) has recently run experiments on how to amplify expert reasoning, to produce better answers than a time-limited expert could produce themselves. This experiment centers on the question of how much compute will be used in the lar"&amp;"gest ML training run before 2030. Rather than predict the actual answer, participants provided evidence and predicted what Buck’s posterior would be after reading through the comments and evidence.
Buck’s quick [prior](https://elicit.ought.org/builder/aF"&amp;"ElCFp8E) was an extrapolation of the trend identified in &lt;@AI and Compute@&gt;, and suggested a median of around 10^13 petaflop/s-days. Commenters pointed out that the existing trend relied on a huge growth rate in the amount of money spent on compute, that "&amp;"seemed to lead to implausible amounts of money by 2030 (a point previously made &lt;@here@&gt;(@Interpreting AI Compute Trends@)). Buck’s updated [posterior](https://elicit.ought.org/builder/2yV4pA-Wc) has a median of around 10^9 petaflop/s-days, with a mode of"&amp;" around 10^8 petaflop/s-days (estimated to be 3,600 times larger than AlphaStar).")</f>
        <v>[Ought](https://ought.org/) has recently run experiments on how to amplify expert reasoning, to produce better answers than a time-limited expert could produce themselves. This experiment centers on the question of how much compute will be used in the largest ML training run before 2030. Rather than predict the actual answer, participants provided evidence and predicted what Buck’s posterior would be after reading through the comments and evidence.
Buck’s quick [prior](https://elicit.ought.org/builder/aFElCFp8E) was an extrapolation of the trend identified in &lt;@AI and Compute@&gt;, and suggested a median of around 10^13 petaflop/s-days. Commenters pointed out that the existing trend relied on a huge growth rate in the amount of money spent on compute, that seemed to lead to implausible amounts of money by 2030 (a point previously made &lt;@here@&gt;(@Interpreting AI Compute Trends@)). Buck’s updated [posterior](https://elicit.ought.org/builder/2yV4pA-Wc) has a median of around 10^9 petaflop/s-days, with a mode of around 10^8 petaflop/s-days (estimated to be 3,600 times larger than AlphaStar).</v>
      </c>
      <c r="K571" t="str">
        <f>IFERROR(__xludf.DUMMYFUNCTION("""COMPUTED_VALUE"""),"The updated posterior seems roughly right to me -- looking at the reasoning of the prize-winning comment, it seems like a $1 trillion training run in 2030 would be about 10^11 petaflop/s-days, which seems like the far end of the spectrum. The posterior as"&amp;"signs about 20% to it being even larger than this, which seems too high to me, but the numbers above do assume a “business-as-usual” world, and if you assign a significant probability to getting AGI before 2030, then you probably should have a non-trivial"&amp;" probability assigned to extreme outcomes.")</f>
        <v>The updated posterior seems roughly right to me -- looking at the reasoning of the prize-winning comment, it seems like a $1 trillion training run in 2030 would be about 10^11 petaflop/s-days, which seems like the far end of the spectrum. The posterior assigns about 20% to it being even larger than this, which seems too high to me, but the numbers above do assume a “business-as-usual” world, and if you assign a significant probability to getting AGI before 2030, then you probably should have a non-trivial probability assigned to extreme outcomes.</v>
      </c>
    </row>
    <row r="572">
      <c r="A572" t="str">
        <f>IFERROR(__xludf.DUMMYFUNCTION("""COMPUTED_VALUE"""),"Forecasting")</f>
        <v>Forecasting</v>
      </c>
      <c r="B572" t="str">
        <f>IFERROR(__xludf.DUMMYFUNCTION("""COMPUTED_VALUE"""),"")</f>
        <v/>
      </c>
      <c r="C572" s="3" t="str">
        <f>IFERROR(__xludf.DUMMYFUNCTION("""COMPUTED_VALUE"""),"Competition: Amplify Rohin’s Prediction on AGI researchers &amp; Safety Concerns")</f>
        <v>Competition: Amplify Rohin’s Prediction on AGI researchers &amp; Safety Concerns</v>
      </c>
      <c r="D572" t="str">
        <f>IFERROR(__xludf.DUMMYFUNCTION("""COMPUTED_VALUE"""),"Andreas Stuhlmüller")</f>
        <v>Andreas Stuhlmüller</v>
      </c>
      <c r="E572" t="str">
        <f>IFERROR(__xludf.DUMMYFUNCTION("""COMPUTED_VALUE"""),"Alignment Forum")</f>
        <v>Alignment Forum</v>
      </c>
      <c r="F572">
        <f>IFERROR(__xludf.DUMMYFUNCTION("""COMPUTED_VALUE"""),2020.0)</f>
        <v>2020</v>
      </c>
      <c r="H572" s="3" t="str">
        <f>IFERROR(__xludf.DUMMYFUNCTION("""COMPUTED_VALUE"""),"AN #111")</f>
        <v>AN #111</v>
      </c>
      <c r="I572" t="str">
        <f>IFERROR(__xludf.DUMMYFUNCTION("""COMPUTED_VALUE"""),"Rohin")</f>
        <v>Rohin</v>
      </c>
      <c r="J572" t="str">
        <f>IFERROR(__xludf.DUMMYFUNCTION("""COMPUTED_VALUE"""),"Ought ran a second competition to amplify my forecast on a question of my choosing. I ended up asking “When will a majority of top AGI researchers agree with safety concerns?”, specified in more detail in the post. Notably, I require the researchers to un"&amp;"derstand the concerns that I think the AI safety community has converged on, as opposed to simply saying that they are concerned about safety. I chose the question because it seems like any plan to mitigate AI risk probably requires consensus amongst at l"&amp;"east AI researchers that AI risk is a real concern. (More details in [this comment](https://www.alignmentforum.org/posts/Azqmzp5JoXJihMcr4/competition-amplify-rohin-s-prediction-on-agi-researchers?commentId=AQvjXqk9KwCoh8Y6X).)
My model is that this will"&amp;" be caused primarily by compelling demonstrations of risk (e.g. warning shots), and these will be easier to do as AI systems become more capable. So it depends a lot on models of progress; I used a median of 20 years until “human-level reasoning”. Given t"&amp;"hat we’ll probably get compelling demonstrations before then, but also it can take time for consensus to build, I also estimated a median of around 20 years for consensus on safety concerns, and then made a vaguely lognormal [prior](https://elicit.ought.o"&amp;"rg/builder/YYPXqX_eC) with that median. (I also estimated a 25% chance that it never happens, e.g. due to a global catastrophe that prevents more AI research, or because we build an AGI and see it isn’t risky, etc.)
Most of the commenters were more optim"&amp;"istic than I was, thinking that we might already have consensus (given that I restricted it to AGI researchers), which led to several small updates towards optimism. One commenter pointed out that in practice, concern about AI risk tends to be concentrate"&amp;"d amongst RL researchers, which are a tiny fraction of all AI researchers, and probably a tiny fraction of AGI researchers as well (given that natural language processing and representation learning seem likely to be relevant to AGI). This led to a single"&amp;" medium-sized update towards pessimism. Overall these washed out, and my [posterior](https://elicit.ought.org/builder/rBxYYzM-f) was a bit more optimistic than my prior, and was higher entropy (i.e. more uncertain).")</f>
        <v>Ought ran a second competition to amplify my forecast on a question of my choosing. I ended up asking “When will a majority of top AGI researchers agree with safety concerns?”, specified in more detail in the post. Notably, I require the researchers to understand the concerns that I think the AI safety community has converged on, as opposed to simply saying that they are concerned about safety. I chose the question because it seems like any plan to mitigate AI risk probably requires consensus amongst at least AI researchers that AI risk is a real concern. (More details in [this comment](https://www.alignmentforum.org/posts/Azqmzp5JoXJihMcr4/competition-amplify-rohin-s-prediction-on-agi-researchers?commentId=AQvjXqk9KwCoh8Y6X).)
My model is that this will be caused primarily by compelling demonstrations of risk (e.g. warning shots), and these will be easier to do as AI systems become more capable. So it depends a lot on models of progress; I used a median of 20 years until “human-level reasoning”. Given that we’ll probably get compelling demonstrations before then, but also it can take time for consensus to build, I also estimated a median of around 20 years for consensus on safety concerns, and then made a vaguely lognormal [prior](https://elicit.ought.org/builder/YYPXqX_eC) with that median. (I also estimated a 25% chance that it never happens, e.g. due to a global catastrophe that prevents more AI research, or because we build an AGI and see it isn’t risky, etc.)
Most of the commenters were more optimistic than I was, thinking that we might already have consensus (given that I restricted it to AGI researchers), which led to several small updates towards optimism. One commenter pointed out that in practice, concern about AI risk tends to be concentrated amongst RL researchers, which are a tiny fraction of all AI researchers, and probably a tiny fraction of AGI researchers as well (given that natural language processing and representation learning seem likely to be relevant to AGI). This led to a single medium-sized update towards pessimism. Overall these washed out, and my [posterior](https://elicit.ought.org/builder/rBxYYzM-f) was a bit more optimistic than my prior, and was higher entropy (i.e. more uncertain).</v>
      </c>
    </row>
    <row r="573">
      <c r="A573" t="str">
        <f>IFERROR(__xludf.DUMMYFUNCTION("""COMPUTED_VALUE"""),"Forecasting")</f>
        <v>Forecasting</v>
      </c>
      <c r="B573" t="str">
        <f>IFERROR(__xludf.DUMMYFUNCTION("""COMPUTED_VALUE"""),"")</f>
        <v/>
      </c>
      <c r="C573" s="3" t="str">
        <f>IFERROR(__xludf.DUMMYFUNCTION("""COMPUTED_VALUE"""),"Alignment As A Bottleneck To Usefulness Of GPT-3")</f>
        <v>Alignment As A Bottleneck To Usefulness Of GPT-3</v>
      </c>
      <c r="D573" t="str">
        <f>IFERROR(__xludf.DUMMYFUNCTION("""COMPUTED_VALUE"""),"John Wentworth")</f>
        <v>John Wentworth</v>
      </c>
      <c r="E573" t="str">
        <f>IFERROR(__xludf.DUMMYFUNCTION("""COMPUTED_VALUE"""),"Alignment Forum")</f>
        <v>Alignment Forum</v>
      </c>
      <c r="F573">
        <f>IFERROR(__xludf.DUMMYFUNCTION("""COMPUTED_VALUE"""),2020.0)</f>
        <v>2020</v>
      </c>
      <c r="H573" s="3" t="str">
        <f>IFERROR(__xludf.DUMMYFUNCTION("""COMPUTED_VALUE"""),"AN #110")</f>
        <v>AN #110</v>
      </c>
      <c r="I573" t="str">
        <f>IFERROR(__xludf.DUMMYFUNCTION("""COMPUTED_VALUE"""),"Rohin")</f>
        <v>Rohin</v>
      </c>
      <c r="J573" t="str">
        <f>IFERROR(__xludf.DUMMYFUNCTION("""COMPUTED_VALUE"""),"Currently, [many people](https://twitter.com/xuenay/status/1283312640199196673) are trying to figure out how to prompt GPT-3 into doing what they want -- in other words, how to align GPT-3 with their desires. GPT-3 may be capable of the task, but that doe"&amp;"sn’t mean it will do it ([potential example](https://www.lesswrong.com/posts/H9knnv8BWGKj6dZim/usd1000-bounty-for-openai-to-show-whether-gpt3-was)). This suggests that alignment will soon be a bottleneck on our ability to get value from large language mod"&amp;"els.
Certainly GPT-3 isn’t perfectly capable yet. The author thinks that in the immediate future the major bottleneck will still be its capability, but we have a clear story for how to improve its capabilities: just scale up the model and data even more."&amp;" Alignment on the other hand is much harder: we don’t know how to &lt;@translate@&gt;(@Alignment as Translation@) the tasks we want into a format that will cause GPT-3 to “try” to accomplish that task.
As a result, in the future we might expect a lot more work"&amp;" to go into prompt design (or whatever becomes the next way to direct language models at specific tasks). In addition, once GPT is better than humans (at least in some domains), alignment in those domains will be particularly difficult, as it is unclear h"&amp;"ow you would get a system trained to mimic humans &lt;@to do better than humans@&gt;(@The easy goal inference problem is still hard@).")</f>
        <v>Currently, [many people](https://twitter.com/xuenay/status/1283312640199196673) are trying to figure out how to prompt GPT-3 into doing what they want -- in other words, how to align GPT-3 with their desires. GPT-3 may be capable of the task, but that doesn’t mean it will do it ([potential example](https://www.lesswrong.com/posts/H9knnv8BWGKj6dZim/usd1000-bounty-for-openai-to-show-whether-gpt3-was)). This suggests that alignment will soon be a bottleneck on our ability to get value from large language models.
Certainly GPT-3 isn’t perfectly capable yet. The author thinks that in the immediate future the major bottleneck will still be its capability, but we have a clear story for how to improve its capabilities: just scale up the model and data even more. Alignment on the other hand is much harder: we don’t know how to &lt;@translate@&gt;(@Alignment as Translation@) the tasks we want into a format that will cause GPT-3 to “try” to accomplish that task.
As a result, in the future we might expect a lot more work to go into prompt design (or whatever becomes the next way to direct language models at specific tasks). In addition, once GPT is better than humans (at least in some domains), alignment in those domains will be particularly difficult, as it is unclear how you would get a system trained to mimic humans &lt;@to do better than humans@&gt;(@The easy goal inference problem is still hard@).</v>
      </c>
      <c r="K573" t="str">
        <f>IFERROR(__xludf.DUMMYFUNCTION("""COMPUTED_VALUE"""),"The general point of this post seems clearly correct and worth pointing out. I’m looking forward to the work we’ll see in the future figuring out how to apply these broad and general methods to real tasks in a reliable way.")</f>
        <v>The general point of this post seems clearly correct and worth pointing out. I’m looking forward to the work we’ll see in the future figuring out how to apply these broad and general methods to real tasks in a reliable way.</v>
      </c>
    </row>
    <row r="574">
      <c r="A574" t="str">
        <f>IFERROR(__xludf.DUMMYFUNCTION("""COMPUTED_VALUE"""),"Forecasting")</f>
        <v>Forecasting</v>
      </c>
      <c r="B574" t="str">
        <f>IFERROR(__xludf.DUMMYFUNCTION("""COMPUTED_VALUE"""),"")</f>
        <v/>
      </c>
      <c r="C574" s="3" t="str">
        <f>IFERROR(__xludf.DUMMYFUNCTION("""COMPUTED_VALUE"""),"Environments as a bottleneck in AGI development")</f>
        <v>Environments as a bottleneck in AGI development</v>
      </c>
      <c r="D574" t="str">
        <f>IFERROR(__xludf.DUMMYFUNCTION("""COMPUTED_VALUE"""),"Richard Ngo")</f>
        <v>Richard Ngo</v>
      </c>
      <c r="E574" t="str">
        <f>IFERROR(__xludf.DUMMYFUNCTION("""COMPUTED_VALUE"""),"Alignment Forum")</f>
        <v>Alignment Forum</v>
      </c>
      <c r="F574">
        <f>IFERROR(__xludf.DUMMYFUNCTION("""COMPUTED_VALUE"""),2020.0)</f>
        <v>2020</v>
      </c>
      <c r="H574" s="3" t="str">
        <f>IFERROR(__xludf.DUMMYFUNCTION("""COMPUTED_VALUE"""),"AN #109")</f>
        <v>AN #109</v>
      </c>
      <c r="I574" t="str">
        <f>IFERROR(__xludf.DUMMYFUNCTION("""COMPUTED_VALUE"""),"Rohin")</f>
        <v>Rohin</v>
      </c>
      <c r="J574" t="str">
        <f>IFERROR(__xludf.DUMMYFUNCTION("""COMPUTED_VALUE"""),"Models built using deep learning are a function of the learning algorithm, the architecture, and the task / environment / dataset. While a lot of effort is spent on analyzing learning algorithms and architectures, not much is spent on the environment. Thi"&amp;"s post asks how important it is to design a good environment in order to build AGI.
It considers two possibilities: the “easy paths hypothesis"" that many environments would incentivize AGI, and the “hard paths hypothesis” that such environments are rare"&amp;". (Note that “hard paths” can be true even if an AGI would be optimal for most environments: if AGI would be optimal, but there is no path in the loss landscape to AGI that is steeper than other paths in the loss landscape, then we probably wouldn’t find "&amp;"AGI in that environment.)
The main argument for “hard paths” is to look at the history of AI research, where we often trained agents on tasks that were “hallmarks of intelligence” (like chess) and then found that the resulting systems were narrowly good "&amp;"at the particular task, but were not generally intelligent. You might think that it can’t be too hard, since our environment led to the creation of general intelligence (us), but this is subject to anthropic bias: only worlds with general intelligence wou"&amp;"ld ask whether environments incentivize general intelligence, so they will always observe that their environment is an example that incentivizes general intelligence. It can serve as a proof of existence, but not as an indicator that it is particularly li"&amp;"kely.")</f>
        <v>Models built using deep learning are a function of the learning algorithm, the architecture, and the task / environment / dataset. While a lot of effort is spent on analyzing learning algorithms and architectures, not much is spent on the environment. This post asks how important it is to design a good environment in order to build AGI.
It considers two possibilities: the “easy paths hypothesis" that many environments would incentivize AGI, and the “hard paths hypothesis” that such environments are rare. (Note that “hard paths” can be true even if an AGI would be optimal for most environments: if AGI would be optimal, but there is no path in the loss landscape to AGI that is steeper than other paths in the loss landscape, then we probably wouldn’t find AGI in that environment.)
The main argument for “hard paths” is to look at the history of AI research, where we often trained agents on tasks that were “hallmarks of intelligence” (like chess) and then found that the resulting systems were narrowly good at the particular task, but were not generally intelligent. You might think that it can’t be too hard, since our environment led to the creation of general intelligence (us), but this is subject to anthropic bias: only worlds with general intelligence would ask whether environments incentivize general intelligence, so they will always observe that their environment is an example that incentivizes general intelligence. It can serve as a proof of existence, but not as an indicator that it is particularly likely.</v>
      </c>
      <c r="K574" t="str">
        <f>IFERROR(__xludf.DUMMYFUNCTION("""COMPUTED_VALUE"""),"I think this is an important question for AI timelines, and the plausibility of “hard paths” is one of the central reasons that my timelines are longer than others who work on deep learning-based AGI. However, &lt;@GPT-3@&gt;(@Language Models are Few-Shot Learn"&amp;"ers@) demonstrates quite a lot of generality, so recently I’ve started putting more weight on “actually, designing the environment won’t be too hard”, which has correspondingly shortened my timelines.")</f>
        <v>I think this is an important question for AI timelines, and the plausibility of “hard paths” is one of the central reasons that my timelines are longer than others who work on deep learning-based AGI. However, &lt;@GPT-3@&gt;(@Language Models are Few-Shot Learners@) demonstrates quite a lot of generality, so recently I’ve started putting more weight on “actually, designing the environment won’t be too hard”, which has correspondingly shortened my timelines.</v>
      </c>
    </row>
    <row r="575">
      <c r="A575" t="str">
        <f>IFERROR(__xludf.DUMMYFUNCTION("""COMPUTED_VALUE"""),"Forecasting")</f>
        <v>Forecasting</v>
      </c>
      <c r="B575" t="str">
        <f>IFERROR(__xludf.DUMMYFUNCTION("""COMPUTED_VALUE"""),"")</f>
        <v/>
      </c>
      <c r="C575" s="3" t="str">
        <f>IFERROR(__xludf.DUMMYFUNCTION("""COMPUTED_VALUE"""),"Reasons you might think human level AI soon is unlikely")</f>
        <v>Reasons you might think human level AI soon is unlikely</v>
      </c>
      <c r="D575" t="str">
        <f>IFERROR(__xludf.DUMMYFUNCTION("""COMPUTED_VALUE"""),"Asya Bergal")</f>
        <v>Asya Bergal</v>
      </c>
      <c r="E575" t="str">
        <f>IFERROR(__xludf.DUMMYFUNCTION("""COMPUTED_VALUE"""),"EAGxVirtual")</f>
        <v>EAGxVirtual</v>
      </c>
      <c r="F575">
        <f>IFERROR(__xludf.DUMMYFUNCTION("""COMPUTED_VALUE"""),2020.0)</f>
        <v>2020</v>
      </c>
      <c r="H575" s="3" t="str">
        <f>IFERROR(__xludf.DUMMYFUNCTION("""COMPUTED_VALUE"""),"AN #105")</f>
        <v>AN #105</v>
      </c>
      <c r="I575" t="str">
        <f>IFERROR(__xludf.DUMMYFUNCTION("""COMPUTED_VALUE"""),"Rohin")</f>
        <v>Rohin</v>
      </c>
      <c r="J575" t="str">
        <f>IFERROR(__xludf.DUMMYFUNCTION("""COMPUTED_VALUE"""),"There is a lot of disagreement about AI timelines, that can be quite decision-relevant. In particular, if we were convinced that there was a &lt; 5% chance of AGI in the next 20 years, that could change the field’s overall strategy significantly: for example"&amp;", we might focus more on movement building, less on empirical research, and more on MIRI’s agent foundations research. This talk doesn't decisively answer this question, but discusses three different sources of evidence one might have for this position: t"&amp;"he results of expert surveys, trends in compute, and arguments that current methods are insufficient for AGI.
Expert surveys usually suggest a significantly higher than 5% chance of AGI in 20 years, but this is quite sensitive to the specific framing of "&amp;"the question, and so it’s not clear how informative this is. If we instead ask experts what percentage of their field has been solved during their tenure and extrapolate to 100%, the extrapolations for junior researchers tend to be optimistic (decades), w"&amp;"hereas those of senior researchers are pessimistic (centuries).
Meanwhile, the &lt;@amount spent on compute@&gt;(@AI and Compute@) has been increasing rapidly. At the estimated trend, it would hit $200 billion in 2022, which is within reach of large government"&amp;"s, but would presumably have to slow down at that point, potentially causing overall AI progress to slow. Better price performance (how many flops you can buy per dollar) might compensate for this, but hasn't been growing at comparable rates historically."&amp;"
Another argument is that most of our effort is now going into deep learning, and methods that depend primarily on deep learning are insufficient for AGI, e.g. because they can’t use human priors, or can’t do causal reasoning, etc. Asya doesn’t try to ev"&amp;"aluate these arguments, and so doesn’t have a specific takeaway.")</f>
        <v>There is a lot of disagreement about AI timelines, that can be quite decision-relevant. In particular, if we were convinced that there was a &lt; 5% chance of AGI in the next 20 years, that could change the field’s overall strategy significantly: for example, we might focus more on movement building, less on empirical research, and more on MIRI’s agent foundations research. This talk doesn't decisively answer this question, but discusses three different sources of evidence one might have for this position: the results of expert surveys, trends in compute, and arguments that current methods are insufficient for AGI.
Expert surveys usually suggest a significantly higher than 5% chance of AGI in 20 years, but this is quite sensitive to the specific framing of the question, and so it’s not clear how informative this is. If we instead ask experts what percentage of their field has been solved during their tenure and extrapolate to 100%, the extrapolations for junior researchers tend to be optimistic (decades), whereas those of senior researchers are pessimistic (centuries).
Meanwhile, the &lt;@amount spent on compute@&gt;(@AI and Compute@) has been increasing rapidly. At the estimated trend, it would hit $200 billion in 2022, which is within reach of large governments, but would presumably have to slow down at that point, potentially causing overall AI progress to slow. Better price performance (how many flops you can buy per dollar) might compensate for this, but hasn't been growing at comparable rates historically.
Another argument is that most of our effort is now going into deep learning, and methods that depend primarily on deep learning are insufficient for AGI, e.g. because they can’t use human priors, or can’t do causal reasoning, etc. Asya doesn’t try to evaluate these arguments, and so doesn’t have a specific takeaway.</v>
      </c>
      <c r="K575" t="str">
        <f>IFERROR(__xludf.DUMMYFUNCTION("""COMPUTED_VALUE"""),"While there is a lot of uncertainty over timelines, I don’t think under 5% chance of AGI in the next 20 years is very plausible. Claims of the form “neural nets are fundamentally incapable of X” are almost always false: recurrent neural nets are Turing-co"&amp;"mplete, and so can encode arbitrary computation. Thus, the real question is whether we can _find_ the parameterization that would correspond to e.g. causal reasoning.
I’m quite sympathetic to the claim that this would be very hard to do: neural nets find"&amp;" the simplest way of doing the task, which usually does not involve general reasoning. Nonetheless, it seems like by having more and more complex and diverse tasks, you can get closer to general reasoning, with &lt;@GPT-3@&gt;(@Language Models are Few-Shot Lear"&amp;"ners@) being the latest example in this trend. Of course, even then it may be hard to reach AGI due to limits on compute. I’m not claiming that we already have general reasoning, nor that we necessarily will get it soon: just that it seems like we can’t r"&amp;"ule out the possibility that general reasoning does happen soon, at least not without a relatively sophisticated analysis of how much compute we can expect in the future and some lower bound on how much we would need for AGI-via-diversity-of-tasks.")</f>
        <v>While there is a lot of uncertainty over timelines, I don’t think under 5% chance of AGI in the next 20 years is very plausible. Claims of the form “neural nets are fundamentally incapable of X” are almost always false: recurrent neural nets are Turing-complete, and so can encode arbitrary computation. Thus, the real question is whether we can _find_ the parameterization that would correspond to e.g. causal reasoning.
I’m quite sympathetic to the claim that this would be very hard to do: neural nets find the simplest way of doing the task, which usually does not involve general reasoning. Nonetheless, it seems like by having more and more complex and diverse tasks, you can get closer to general reasoning, with &lt;@GPT-3@&gt;(@Language Models are Few-Shot Learners@) being the latest example in this trend. Of course, even then it may be hard to reach AGI due to limits on compute. I’m not claiming that we already have general reasoning, nor that we necessarily will get it soon: just that it seems like we can’t rule out the possibility that general reasoning does happen soon, at least not without a relatively sophisticated analysis of how much compute we can expect in the future and some lower bound on how much we would need for AGI-via-diversity-of-tasks.</v>
      </c>
    </row>
    <row r="576">
      <c r="A576" t="str">
        <f>IFERROR(__xludf.DUMMYFUNCTION("""COMPUTED_VALUE"""),"Forecasting")</f>
        <v>Forecasting</v>
      </c>
      <c r="B576" t="str">
        <f>IFERROR(__xludf.DUMMYFUNCTION("""COMPUTED_VALUE"""),"")</f>
        <v/>
      </c>
      <c r="C576" s="3" t="str">
        <f>IFERROR(__xludf.DUMMYFUNCTION("""COMPUTED_VALUE"""),"FLI Podcast: On Superforecasting")</f>
        <v>FLI Podcast: On Superforecasting</v>
      </c>
      <c r="D576" t="str">
        <f>IFERROR(__xludf.DUMMYFUNCTION("""COMPUTED_VALUE"""),"Lucas Perry and Robert de Neufville")</f>
        <v>Lucas Perry and Robert de Neufville</v>
      </c>
      <c r="E576" t="str">
        <f>IFERROR(__xludf.DUMMYFUNCTION("""COMPUTED_VALUE"""),"FLI Website")</f>
        <v>FLI Website</v>
      </c>
      <c r="F576">
        <f>IFERROR(__xludf.DUMMYFUNCTION("""COMPUTED_VALUE"""),2020.0)</f>
        <v>2020</v>
      </c>
      <c r="H576" s="3" t="str">
        <f>IFERROR(__xludf.DUMMYFUNCTION("""COMPUTED_VALUE"""),"AN #98")</f>
        <v>AN #98</v>
      </c>
    </row>
    <row r="577">
      <c r="A577" t="str">
        <f>IFERROR(__xludf.DUMMYFUNCTION("""COMPUTED_VALUE"""),"Forecasting")</f>
        <v>Forecasting</v>
      </c>
      <c r="B577" t="str">
        <f>IFERROR(__xludf.DUMMYFUNCTION("""COMPUTED_VALUE"""),"")</f>
        <v/>
      </c>
      <c r="C577" s="3" t="str">
        <f>IFERROR(__xludf.DUMMYFUNCTION("""COMPUTED_VALUE"""),"Surveys on fractional progress towards HLAI")</f>
        <v>Surveys on fractional progress towards HLAI</v>
      </c>
      <c r="D577" t="str">
        <f>IFERROR(__xludf.DUMMYFUNCTION("""COMPUTED_VALUE"""),"Asya Bergal")</f>
        <v>Asya Bergal</v>
      </c>
      <c r="E577" t="str">
        <f>IFERROR(__xludf.DUMMYFUNCTION("""COMPUTED_VALUE"""),"AI Impacts")</f>
        <v>AI Impacts</v>
      </c>
      <c r="F577">
        <f>IFERROR(__xludf.DUMMYFUNCTION("""COMPUTED_VALUE"""),2020.0)</f>
        <v>2020</v>
      </c>
      <c r="H577" s="3" t="str">
        <f>IFERROR(__xludf.DUMMYFUNCTION("""COMPUTED_VALUE"""),"AN #97")</f>
        <v>AN #97</v>
      </c>
      <c r="I577" t="str">
        <f>IFERROR(__xludf.DUMMYFUNCTION("""COMPUTED_VALUE"""),"Rohin")</f>
        <v>Rohin</v>
      </c>
      <c r="J577" t="str">
        <f>IFERROR(__xludf.DUMMYFUNCTION("""COMPUTED_VALUE"""),"One way to predict AGI timelines is to ask experts to estimate what fraction of progress has been made over a fixed number of years, then to extrapolate to the full 100% of progress. Doing this with the [2016 expert survey](https://aiimpacts.org/2016-expe"&amp;"rt-survey-on-progress-in-ai/) yields an estimate of 2056 (36 years from now), while doing this with Robin Hanson's informal ~15-expert survey gives 2392 (372 years from now). Part of the reason for the discrepancy is that Hanson only asked experts who had"&amp;" been in their field for at least 20 years; restricting to just these respondents in the 2016 survey yields an estimate of 2162 (142 years from now).")</f>
        <v>One way to predict AGI timelines is to ask experts to estimate what fraction of progress has been made over a fixed number of years, then to extrapolate to the full 100% of progress. Doing this with the [2016 expert survey](https://aiimpacts.org/2016-expert-survey-on-progress-in-ai/) yields an estimate of 2056 (36 years from now), while doing this with Robin Hanson's informal ~15-expert survey gives 2392 (372 years from now). Part of the reason for the discrepancy is that Hanson only asked experts who had been in their field for at least 20 years; restricting to just these respondents in the 2016 survey yields an estimate of 2162 (142 years from now).</v>
      </c>
    </row>
    <row r="578">
      <c r="A578" t="str">
        <f>IFERROR(__xludf.DUMMYFUNCTION("""COMPUTED_VALUE"""),"Forecasting")</f>
        <v>Forecasting</v>
      </c>
      <c r="B578" t="str">
        <f>IFERROR(__xludf.DUMMYFUNCTION("""COMPUTED_VALUE"""),"")</f>
        <v/>
      </c>
      <c r="C578" s="3" t="str">
        <f>IFERROR(__xludf.DUMMYFUNCTION("""COMPUTED_VALUE"""),"Atari early")</f>
        <v>Atari early</v>
      </c>
      <c r="D578" t="str">
        <f>IFERROR(__xludf.DUMMYFUNCTION("""COMPUTED_VALUE"""),"Katja Grace")</f>
        <v>Katja Grace</v>
      </c>
      <c r="E578" t="str">
        <f>IFERROR(__xludf.DUMMYFUNCTION("""COMPUTED_VALUE"""),"Alignment Forum")</f>
        <v>Alignment Forum</v>
      </c>
      <c r="F578">
        <f>IFERROR(__xludf.DUMMYFUNCTION("""COMPUTED_VALUE"""),2020.0)</f>
        <v>2020</v>
      </c>
      <c r="H578" s="3" t="str">
        <f>IFERROR(__xludf.DUMMYFUNCTION("""COMPUTED_VALUE"""),"AN #95")</f>
        <v>AN #95</v>
      </c>
      <c r="I578" t="str">
        <f>IFERROR(__xludf.DUMMYFUNCTION("""COMPUTED_VALUE"""),"Rohin")</f>
        <v>Rohin</v>
      </c>
      <c r="J578" t="str">
        <f>IFERROR(__xludf.DUMMYFUNCTION("""COMPUTED_VALUE"""),"With DeepMind's Agent57 (summarized below), it seems that it is feasible to outperform professional game testers on all Atari games using no game-specific knowledge. Interestingly, in a 2016 survey, the median response put a small chance (10%) on this bei"&amp;"ng feasible by 2021, and a medium chance (50%) of being feasible by 2026.")</f>
        <v>With DeepMind's Agent57 (summarized below), it seems that it is feasible to outperform professional game testers on all Atari games using no game-specific knowledge. Interestingly, in a 2016 survey, the median response put a small chance (10%) on this being feasible by 2021, and a medium chance (50%) of being feasible by 2026.</v>
      </c>
    </row>
    <row r="579">
      <c r="A579" t="str">
        <f>IFERROR(__xludf.DUMMYFUNCTION("""COMPUTED_VALUE"""),"Forecasting")</f>
        <v>Forecasting</v>
      </c>
      <c r="B579" t="str">
        <f>IFERROR(__xludf.DUMMYFUNCTION("""COMPUTED_VALUE"""),"")</f>
        <v/>
      </c>
      <c r="C579" s="3" t="str">
        <f>IFERROR(__xludf.DUMMYFUNCTION("""COMPUTED_VALUE"""),"Walsh 2017 Survey")</f>
        <v>Walsh 2017 Survey</v>
      </c>
      <c r="D579" t="str">
        <f>IFERROR(__xludf.DUMMYFUNCTION("""COMPUTED_VALUE"""),"Charlie Giattino")</f>
        <v>Charlie Giattino</v>
      </c>
      <c r="E579" t="str">
        <f>IFERROR(__xludf.DUMMYFUNCTION("""COMPUTED_VALUE"""),"AI Impacts")</f>
        <v>AI Impacts</v>
      </c>
      <c r="F579">
        <f>IFERROR(__xludf.DUMMYFUNCTION("""COMPUTED_VALUE"""),2019.0)</f>
        <v>2019</v>
      </c>
      <c r="H579" s="3" t="str">
        <f>IFERROR(__xludf.DUMMYFUNCTION("""COMPUTED_VALUE"""),"AN #79")</f>
        <v>AN #79</v>
      </c>
      <c r="I579" t="str">
        <f>IFERROR(__xludf.DUMMYFUNCTION("""COMPUTED_VALUE"""),"Rohin")</f>
        <v>Rohin</v>
      </c>
      <c r="J579" t="str">
        <f>IFERROR(__xludf.DUMMYFUNCTION("""COMPUTED_VALUE"""),"In this survey, AI experts, robotics experts, and the public estimated a 50% chance of high-level machine intelligence (HLMI) by 2061, 2065, and 2039 respectively. The post presents other similar data from the survey.")</f>
        <v>In this survey, AI experts, robotics experts, and the public estimated a 50% chance of high-level machine intelligence (HLMI) by 2061, 2065, and 2039 respectively. The post presents other similar data from the survey.</v>
      </c>
      <c r="K579" t="str">
        <f>IFERROR(__xludf.DUMMYFUNCTION("""COMPUTED_VALUE"""),"While I expected that the public would expect HLMI sooner than AI experts, I was surprised that AI and robotics experts agreed so closely -- I would have thought that robotics experts would have longer timelines.")</f>
        <v>While I expected that the public would expect HLMI sooner than AI experts, I was surprised that AI and robotics experts agreed so closely -- I would have thought that robotics experts would have longer timelines.</v>
      </c>
    </row>
    <row r="580">
      <c r="A580" t="str">
        <f>IFERROR(__xludf.DUMMYFUNCTION("""COMPUTED_VALUE"""),"Forecasting")</f>
        <v>Forecasting</v>
      </c>
      <c r="B580" t="str">
        <f>IFERROR(__xludf.DUMMYFUNCTION("""COMPUTED_VALUE"""),"")</f>
        <v/>
      </c>
      <c r="C580" s="3" t="str">
        <f>IFERROR(__xludf.DUMMYFUNCTION("""COMPUTED_VALUE"""),"AlphaStar: Impressive for RL progress, not for AGI progress")</f>
        <v>AlphaStar: Impressive for RL progress, not for AGI progress</v>
      </c>
      <c r="D580" t="str">
        <f>IFERROR(__xludf.DUMMYFUNCTION("""COMPUTED_VALUE"""),"orthonormal")</f>
        <v>orthonormal</v>
      </c>
      <c r="E580" t="str">
        <f>IFERROR(__xludf.DUMMYFUNCTION("""COMPUTED_VALUE"""),"LessWrong")</f>
        <v>LessWrong</v>
      </c>
      <c r="F580">
        <f>IFERROR(__xludf.DUMMYFUNCTION("""COMPUTED_VALUE"""),2019.0)</f>
        <v>2019</v>
      </c>
      <c r="H580" s="3" t="str">
        <f>IFERROR(__xludf.DUMMYFUNCTION("""COMPUTED_VALUE"""),"AN #73")</f>
        <v>AN #73</v>
      </c>
      <c r="I580" t="str">
        <f>IFERROR(__xludf.DUMMYFUNCTION("""COMPUTED_VALUE"""),"Nicholas")</f>
        <v>Nicholas</v>
      </c>
      <c r="J580" t="str">
        <f>IFERROR(__xludf.DUMMYFUNCTION("""COMPUTED_VALUE"""),"This post argues that while it is impressive that AlphaStar can build up concepts complex enough to win at StarCraft, it is not actually developing reactive strategies. Rather than scouting what the opponent is doing and developing a new strategy based on"&amp;" that, AlphaStar just executes one of a predetermined set of strategies. This is because AlphaStar does not use causal reasoning, and that keeps it from beating any of the top players.")</f>
        <v>This post argues that while it is impressive that AlphaStar can build up concepts complex enough to win at StarCraft, it is not actually developing reactive strategies. Rather than scouting what the opponent is doing and developing a new strategy based on that, AlphaStar just executes one of a predetermined set of strategies. This is because AlphaStar does not use causal reasoning, and that keeps it from beating any of the top players.</v>
      </c>
      <c r="K580" t="str">
        <f>IFERROR(__xludf.DUMMYFUNCTION("""COMPUTED_VALUE"""),"While I haven’t watched enough of the games to have a strong opinion on whether AlphaStar is empirically reacting to its opponents' strategies, I agree with Paul Christiano’s [comment](https://www.lesswrong.com/posts/SvhzEQkwFGNTy6CsN/alphastar-impressive"&amp;"-for-rl-progress-not-for-agi-progress#kRpwqPPjcGEbEhXHA) that in principle causal reasoning is just one type of computation that should be learnable.
This discussion also highlights the need for interpretability tools for deep RL so that we can have more"&amp;" informed discussions on exactly how and why strategies are decided on.")</f>
        <v>While I haven’t watched enough of the games to have a strong opinion on whether AlphaStar is empirically reacting to its opponents' strategies, I agree with Paul Christiano’s [comment](https://www.lesswrong.com/posts/SvhzEQkwFGNTy6CsN/alphastar-impressive-for-rl-progress-not-for-agi-progress#kRpwqPPjcGEbEhXHA) that in principle causal reasoning is just one type of computation that should be learnable.
This discussion also highlights the need for interpretability tools for deep RL so that we can have more informed discussions on exactly how and why strategies are decided on.</v>
      </c>
    </row>
    <row r="581">
      <c r="A581" t="str">
        <f>IFERROR(__xludf.DUMMYFUNCTION("""COMPUTED_VALUE"""),"Forecasting")</f>
        <v>Forecasting</v>
      </c>
      <c r="B581" t="str">
        <f>IFERROR(__xludf.DUMMYFUNCTION("""COMPUTED_VALUE"""),"")</f>
        <v/>
      </c>
      <c r="C581" s="3" t="str">
        <f>IFERROR(__xludf.DUMMYFUNCTION("""COMPUTED_VALUE"""),"Addendum to AI and Compute")</f>
        <v>Addendum to AI and Compute</v>
      </c>
      <c r="D581" t="str">
        <f>IFERROR(__xludf.DUMMYFUNCTION("""COMPUTED_VALUE"""),"Girish Sastry, Jack Clark, Greg Brockman, Ilya Sutskever")</f>
        <v>Girish Sastry, Jack Clark, Greg Brockman, Ilya Sutskever</v>
      </c>
      <c r="E581" t="str">
        <f>IFERROR(__xludf.DUMMYFUNCTION("""COMPUTED_VALUE"""),"OpenAI Blog")</f>
        <v>OpenAI Blog</v>
      </c>
      <c r="F581">
        <f>IFERROR(__xludf.DUMMYFUNCTION("""COMPUTED_VALUE"""),2019.0)</f>
        <v>2019</v>
      </c>
      <c r="H581" s="3" t="str">
        <f>IFERROR(__xludf.DUMMYFUNCTION("""COMPUTED_VALUE"""),"AN #73")</f>
        <v>AN #73</v>
      </c>
      <c r="I581" t="str">
        <f>IFERROR(__xludf.DUMMYFUNCTION("""COMPUTED_VALUE"""),"Rohin")</f>
        <v>Rohin</v>
      </c>
      <c r="J581" t="str">
        <f>IFERROR(__xludf.DUMMYFUNCTION("""COMPUTED_VALUE"""),"Last year, OpenAI &lt;@wrote@&gt;(@AI and Compute@) that since 2012, the amount of compute used in the largest-scale experiments has been doubling every 3.5 months. This addendum to that post analyzes data from 1959-2012, and finds that during that period the t"&amp;"rend was a 2-year doubling time, approximately in line with Moore's Law, and not demonstrating any impact of previous ""AI winters"".")</f>
        <v>Last year, OpenAI &lt;@wrote@&gt;(@AI and Compute@) that since 2012, the amount of compute used in the largest-scale experiments has been doubling every 3.5 months. This addendum to that post analyzes data from 1959-2012, and finds that during that period the trend was a 2-year doubling time, approximately in line with Moore's Law, and not demonstrating any impact of previous "AI winters".</v>
      </c>
      <c r="K581" t="str">
        <f>IFERROR(__xludf.DUMMYFUNCTION("""COMPUTED_VALUE"""),"Note that the post is measuring compute used to _train_ models, which was less important in past AI research (e.g. it doesn't include Deep Blue), so it's not too surprising that we don't see the impact of AI winters.")</f>
        <v>Note that the post is measuring compute used to _train_ models, which was less important in past AI research (e.g. it doesn't include Deep Blue), so it's not too surprising that we don't see the impact of AI winters.</v>
      </c>
    </row>
    <row r="582">
      <c r="A582" t="str">
        <f>IFERROR(__xludf.DUMMYFUNCTION("""COMPUTED_VALUE"""),"Forecasting")</f>
        <v>Forecasting</v>
      </c>
      <c r="B582" t="str">
        <f>IFERROR(__xludf.DUMMYFUNCTION("""COMPUTED_VALUE"""),"")</f>
        <v/>
      </c>
      <c r="C582" s="3" t="str">
        <f>IFERROR(__xludf.DUMMYFUNCTION("""COMPUTED_VALUE"""),"Two explanations for variation in human abilities")</f>
        <v>Two explanations for variation in human abilities</v>
      </c>
      <c r="D582" t="str">
        <f>IFERROR(__xludf.DUMMYFUNCTION("""COMPUTED_VALUE"""),"Matthew Barnett")</f>
        <v>Matthew Barnett</v>
      </c>
      <c r="E582" t="str">
        <f>IFERROR(__xludf.DUMMYFUNCTION("""COMPUTED_VALUE"""),"LessWrong")</f>
        <v>LessWrong</v>
      </c>
      <c r="F582">
        <f>IFERROR(__xludf.DUMMYFUNCTION("""COMPUTED_VALUE"""),2019.0)</f>
        <v>2019</v>
      </c>
      <c r="H582" s="3" t="str">
        <f>IFERROR(__xludf.DUMMYFUNCTION("""COMPUTED_VALUE"""),"AN #72")</f>
        <v>AN #72</v>
      </c>
      <c r="I582" t="str">
        <f>IFERROR(__xludf.DUMMYFUNCTION("""COMPUTED_VALUE"""),"Flo")</f>
        <v>Flo</v>
      </c>
      <c r="J582" t="str">
        <f>IFERROR(__xludf.DUMMYFUNCTION("""COMPUTED_VALUE"""),"How quickly might AI exceed human capabilities? One piece of evidence is the variation of intelligence within humans: if there isn’t much variation, we might expect AI not to stay at human level intelligence for long. It has been argued that variation in "&amp;"human cognitive abilities is small compared to such variation for arbitrary agents. However, the variation of human ability in games like chess seems to be quite pronounced, and it took chess computers more than forty years to transition from beginner lev"&amp;"el to beating the best humans. The blog post presents two arguments to reconcile these perspectives:
First, **similar minds could have large variation in learning ability**: If we break a random part of a complex machine, it might perform worse or stop w"&amp;"orking altogether, even if the broken machine is very similar to the unbroken one. Variation in human learning ability might be mostly explainable by lots of small ""broken parts"" like harmful mutations. 
Second, **small variation in learning ability** "&amp;"can be consistent with **large variation in competence**, if the latter is explained by variation in another factor like practice time. For example, a chess match is not very useful to determine who's smarter, if one of the players has played a lot more g"&amp;"ames than the other. This perspective also reframes AlphaGo's superhumanity: the version that beat Lee Sedol had played around 2000 times as many games as him.")</f>
        <v>How quickly might AI exceed human capabilities? One piece of evidence is the variation of intelligence within humans: if there isn’t much variation, we might expect AI not to stay at human level intelligence for long. It has been argued that variation in human cognitive abilities is small compared to such variation for arbitrary agents. However, the variation of human ability in games like chess seems to be quite pronounced, and it took chess computers more than forty years to transition from beginner level to beating the best humans. The blog post presents two arguments to reconcile these perspectives:
First, **similar minds could have large variation in learning ability**: If we break a random part of a complex machine, it might perform worse or stop working altogether, even if the broken machine is very similar to the unbroken one. Variation in human learning ability might be mostly explainable by lots of small "broken parts" like harmful mutations. 
Second, **small variation in learning ability** can be consistent with **large variation in competence**, if the latter is explained by variation in another factor like practice time. For example, a chess match is not very useful to determine who's smarter, if one of the players has played a lot more games than the other. This perspective also reframes AlphaGo's superhumanity: the version that beat Lee Sedol had played around 2000 times as many games as him.</v>
      </c>
      <c r="K582" t="str">
        <f>IFERROR(__xludf.DUMMYFUNCTION("""COMPUTED_VALUE"""),"I liked this post and am glad it highlighted the distinction between learning ability and competence that seems to often be ignored in debates about AI progress. I would be excited to see some further exploration of the ""broken parts"" model and its impl"&amp;"ication about differing variances in cognitive abilities between humans and arbitrary intelligences.")</f>
        <v>I liked this post and am glad it highlighted the distinction between learning ability and competence that seems to often be ignored in debates about AI progress. I would be excited to see some further exploration of the "broken parts" model and its implication about differing variances in cognitive abilities between humans and arbitrary intelligences.</v>
      </c>
    </row>
    <row r="583">
      <c r="A583" t="str">
        <f>IFERROR(__xludf.DUMMYFUNCTION("""COMPUTED_VALUE"""),"Forecasting")</f>
        <v>Forecasting</v>
      </c>
      <c r="B583" t="str">
        <f>IFERROR(__xludf.DUMMYFUNCTION("""COMPUTED_VALUE"""),"")</f>
        <v/>
      </c>
      <c r="C583" s="3" t="str">
        <f>IFERROR(__xludf.DUMMYFUNCTION("""COMPUTED_VALUE"""),"The AI Timelines Scam")</f>
        <v>The AI Timelines Scam</v>
      </c>
      <c r="D583" t="str">
        <f>IFERROR(__xludf.DUMMYFUNCTION("""COMPUTED_VALUE"""),"Jessica Taylor")</f>
        <v>Jessica Taylor</v>
      </c>
      <c r="E583" t="str">
        <f>IFERROR(__xludf.DUMMYFUNCTION("""COMPUTED_VALUE"""),"Author's Website")</f>
        <v>Author's Website</v>
      </c>
      <c r="F583">
        <f>IFERROR(__xludf.DUMMYFUNCTION("""COMPUTED_VALUE"""),2019.0)</f>
        <v>2019</v>
      </c>
      <c r="H583" s="3" t="str">
        <f>IFERROR(__xludf.DUMMYFUNCTION("""COMPUTED_VALUE"""),"AN #60")</f>
        <v>AN #60</v>
      </c>
      <c r="I583" t="str">
        <f>IFERROR(__xludf.DUMMYFUNCTION("""COMPUTED_VALUE"""),"Rohin")</f>
        <v>Rohin</v>
      </c>
      <c r="J583" t="str">
        <f>IFERROR(__xludf.DUMMYFUNCTION("""COMPUTED_VALUE"""),"This post argues that AI researchers and AI organizations have an incentive to predict that AGI will come soon, since that leads to more funding, and so we should expect timeline estimates to be systematically too short. Besides the conceptual argument, w"&amp;"e can also see this in the field's response to critics: both historically and now, criticism is often met with counterarguments based on ""style"" rather than engaging with the technical meat of the criticism.")</f>
        <v>This post argues that AI researchers and AI organizations have an incentive to predict that AGI will come soon, since that leads to more funding, and so we should expect timeline estimates to be systematically too short. Besides the conceptual argument, we can also see this in the field's response to critics: both historically and now, criticism is often met with counterarguments based on "style" rather than engaging with the technical meat of the criticism.</v>
      </c>
      <c r="K583" t="str">
        <f>IFERROR(__xludf.DUMMYFUNCTION("""COMPUTED_VALUE"""),"I agree with the conceptual argument, and I think it does hold in practice, quite strongly. I don't really agree that the field's response to critics implies that they are biased towards short timelines -- see [these](https://www.lesswrong.com/posts/KnQs5"&amp;"5tjxWopCzKsk/the-ai-timelines-scam#LjaBHuCcnfqjBcqJa) [comments](https://www.lesswrong.com/posts/KnQs55tjxWopCzKsk/the-ai-timelines-scam#JaPQwejnFP95Q8nWk). Nonetheless, I'm going to do exactly what this post critiques, and say that I put significant prob"&amp;"ability on short timelines, but not explain my reasons (because they're complicated and I don't think I can convey them, and certainly can't convey them in a small number of words).")</f>
        <v>I agree with the conceptual argument, and I think it does hold in practice, quite strongly. I don't really agree that the field's response to critics implies that they are biased towards short timelines -- see [these](https://www.lesswrong.com/posts/KnQs55tjxWopCzKsk/the-ai-timelines-scam#LjaBHuCcnfqjBcqJa) [comments](https://www.lesswrong.com/posts/KnQs55tjxWopCzKsk/the-ai-timelines-scam#JaPQwejnFP95Q8nWk). Nonetheless, I'm going to do exactly what this post critiques, and say that I put significant probability on short timelines, but not explain my reasons (because they're complicated and I don't think I can convey them, and certainly can't convey them in a small number of words).</v>
      </c>
    </row>
    <row r="584">
      <c r="A584" t="str">
        <f>IFERROR(__xludf.DUMMYFUNCTION("""COMPUTED_VALUE"""),"Forecasting")</f>
        <v>Forecasting</v>
      </c>
      <c r="B584" t="str">
        <f>IFERROR(__xludf.DUMMYFUNCTION("""COMPUTED_VALUE"""),"")</f>
        <v/>
      </c>
      <c r="C584" s="3" t="str">
        <f>IFERROR(__xludf.DUMMYFUNCTION("""COMPUTED_VALUE"""),"AI conference attendance")</f>
        <v>AI conference attendance</v>
      </c>
      <c r="D584" t="str">
        <f>IFERROR(__xludf.DUMMYFUNCTION("""COMPUTED_VALUE"""),"Katja Grace")</f>
        <v>Katja Grace</v>
      </c>
      <c r="E584" t="str">
        <f>IFERROR(__xludf.DUMMYFUNCTION("""COMPUTED_VALUE"""),"AI Impacts")</f>
        <v>AI Impacts</v>
      </c>
      <c r="F584">
        <f>IFERROR(__xludf.DUMMYFUNCTION("""COMPUTED_VALUE"""),2019.0)</f>
        <v>2019</v>
      </c>
      <c r="H584" s="3" t="str">
        <f>IFERROR(__xludf.DUMMYFUNCTION("""COMPUTED_VALUE"""),"AN #49")</f>
        <v>AN #49</v>
      </c>
      <c r="I584" t="str">
        <f>IFERROR(__xludf.DUMMYFUNCTION("""COMPUTED_VALUE"""),"Rohin")</f>
        <v>Rohin</v>
      </c>
      <c r="J584" t="str">
        <f>IFERROR(__xludf.DUMMYFUNCTION("""COMPUTED_VALUE"""),"This post presents data on attendance numbers at AI conferences. The main result: ""total large conference participation has grown by a factor 3.76 between 2011 and 2019, which is equivalent to a factor of 1.21 per year during that period"". Looking at th"&amp;"e graph, it seems to me that the exponential growth started in 2013, which would mean a slightly higher factor of around 1.3 per year. This would also make sense given that the current boom is often attributed to the publication of AlexNet in 2012.")</f>
        <v>This post presents data on attendance numbers at AI conferences. The main result: "total large conference participation has grown by a factor 3.76 between 2011 and 2019, which is equivalent to a factor of 1.21 per year during that period". Looking at the graph, it seems to me that the exponential growth started in 2013, which would mean a slightly higher factor of around 1.3 per year. This would also make sense given that the current boom is often attributed to the publication of AlexNet in 2012.</v>
      </c>
    </row>
    <row r="585">
      <c r="A585" t="str">
        <f>IFERROR(__xludf.DUMMYFUNCTION("""COMPUTED_VALUE"""),"Forecasting")</f>
        <v>Forecasting</v>
      </c>
      <c r="B585" t="str">
        <f>IFERROR(__xludf.DUMMYFUNCTION("""COMPUTED_VALUE"""),"")</f>
        <v/>
      </c>
      <c r="C585" s="3" t="str">
        <f>IFERROR(__xludf.DUMMYFUNCTION("""COMPUTED_VALUE"""),"Primates vs birds: Is one brain architecture better than the other?")</f>
        <v>Primates vs birds: Is one brain architecture better than the other?</v>
      </c>
      <c r="D585" t="str">
        <f>IFERROR(__xludf.DUMMYFUNCTION("""COMPUTED_VALUE"""),"Tegan McCaslin")</f>
        <v>Tegan McCaslin</v>
      </c>
      <c r="E585" t="str">
        <f>IFERROR(__xludf.DUMMYFUNCTION("""COMPUTED_VALUE"""),"AI Impacts")</f>
        <v>AI Impacts</v>
      </c>
      <c r="F585">
        <f>IFERROR(__xludf.DUMMYFUNCTION("""COMPUTED_VALUE"""),2019.0)</f>
        <v>2019</v>
      </c>
      <c r="H585" s="3" t="str">
        <f>IFERROR(__xludf.DUMMYFUNCTION("""COMPUTED_VALUE"""),"AN #48")</f>
        <v>AN #48</v>
      </c>
      <c r="I585" t="str">
        <f>IFERROR(__xludf.DUMMYFUNCTION("""COMPUTED_VALUE"""),"Rohin")</f>
        <v>Rohin</v>
      </c>
      <c r="J585" t="str">
        <f>IFERROR(__xludf.DUMMYFUNCTION("""COMPUTED_VALUE"""),"Progress in AI can be driven by both larger models as well as architectural improvements (given sufficient data and compute), but which of these is more important? One source of evidence comes from animals: different species that are closely related will "&amp;"have similar neural architectures, but potentially quite different brain sizes. This post compares intelligence across birds and primates: while primates (and mammals more generally) have a neocortex (often used to explain human intelligence), birds have "&amp;"a different, independently-evolved type of cortex. Using a survey over non-expert participants about how intelligent different bird and primate behavior is, it finds that there is not much difference in intelligence ratings between birds and primates, but"&amp;" that species with larger brains are rated as more intelligent than those with smaller brains. This only suggests that there are at least two neural architectures that work -- it could still be a hard problem to find them in the vast space of possible arc"&amp;"hitectures. Still, it is some evidence that at least in the case of evolution, you get more intelligence through more neurons, and architectural improvements are relatively less important.")</f>
        <v>Progress in AI can be driven by both larger models as well as architectural improvements (given sufficient data and compute), but which of these is more important? One source of evidence comes from animals: different species that are closely related will have similar neural architectures, but potentially quite different brain sizes. This post compares intelligence across birds and primates: while primates (and mammals more generally) have a neocortex (often used to explain human intelligence), birds have a different, independently-evolved type of cortex. Using a survey over non-expert participants about how intelligent different bird and primate behavior is, it finds that there is not much difference in intelligence ratings between birds and primates, but that species with larger brains are rated as more intelligent than those with smaller brains. This only suggests that there are at least two neural architectures that work -- it could still be a hard problem to find them in the vast space of possible architectures. Still, it is some evidence that at least in the case of evolution, you get more intelligence through more neurons, and architectural improvements are relatively less important.</v>
      </c>
      <c r="K585" t="str">
        <f>IFERROR(__xludf.DUMMYFUNCTION("""COMPUTED_VALUE"""),"Upon reading the experimental setup I didn't really know which way the answer was going to turn out, so I'm quite happy about now having another data point with which to understand learning dynamics. Of course, it's not clear how data about evolution will"&amp;" generalize to AI systems. For example, architectural improvements probably require some hard-to-find insight which make them hard to find via random search (imagine how hard it would be to invent CNNs by randomly trying stuff), while scaling up model siz"&amp;"e is easy, and so we might expect AI researchers to be differentially better at finding architectural improvements relative to scaling up model size (as compared to evolution).")</f>
        <v>Upon reading the experimental setup I didn't really know which way the answer was going to turn out, so I'm quite happy about now having another data point with which to understand learning dynamics. Of course, it's not clear how data about evolution will generalize to AI systems. For example, architectural improvements probably require some hard-to-find insight which make them hard to find via random search (imagine how hard it would be to invent CNNs by randomly trying stuff), while scaling up model size is easy, and so we might expect AI researchers to be differentially better at finding architectural improvements relative to scaling up model size (as compared to evolution).</v>
      </c>
      <c r="M585" s="3" t="str">
        <f>IFERROR(__xludf.DUMMYFUNCTION("""COMPUTED_VALUE"""),"Investigation into the relationship between neuron count and intelligence across differing cortical architectures")</f>
        <v>Investigation into the relationship between neuron count and intelligence across differing cortical architectures</v>
      </c>
    </row>
    <row r="586">
      <c r="A586" t="str">
        <f>IFERROR(__xludf.DUMMYFUNCTION("""COMPUTED_VALUE"""),"Forecasting")</f>
        <v>Forecasting</v>
      </c>
      <c r="B586" t="str">
        <f>IFERROR(__xludf.DUMMYFUNCTION("""COMPUTED_VALUE"""),"")</f>
        <v/>
      </c>
      <c r="C586" s="3" t="str">
        <f>IFERROR(__xludf.DUMMYFUNCTION("""COMPUTED_VALUE"""),"Evidence on good forecasting practices from the Good Judgment Project")</f>
        <v>Evidence on good forecasting practices from the Good Judgment Project</v>
      </c>
      <c r="D586" t="str">
        <f>IFERROR(__xludf.DUMMYFUNCTION("""COMPUTED_VALUE"""),"Daniel Kokotajlo")</f>
        <v>Daniel Kokotajlo</v>
      </c>
      <c r="E586" t="str">
        <f>IFERROR(__xludf.DUMMYFUNCTION("""COMPUTED_VALUE"""),"AI Impacts")</f>
        <v>AI Impacts</v>
      </c>
      <c r="F586">
        <f>IFERROR(__xludf.DUMMYFUNCTION("""COMPUTED_VALUE"""),2019.0)</f>
        <v>2019</v>
      </c>
      <c r="H586" s="3" t="str">
        <f>IFERROR(__xludf.DUMMYFUNCTION("""COMPUTED_VALUE"""),"AN #46")</f>
        <v>AN #46</v>
      </c>
      <c r="I586" t="str">
        <f>IFERROR(__xludf.DUMMYFUNCTION("""COMPUTED_VALUE"""),"Richard")</f>
        <v>Richard</v>
      </c>
      <c r="J586" t="str">
        <f>IFERROR(__xludf.DUMMYFUNCTION("""COMPUTED_VALUE"""),"This post lists some of the key traits which are associated with successful forecasting, based on work from the Good Judgement Project (who won IARPA's forecasting tournament by a wide margin). The top 5: past performance in the same broad domain; making "&amp;"more predictions on the same question; deliberation time; collaboration on teams; and intelligence.  The authors also summarise various other ideas from the Superforecasting book.")</f>
        <v>This post lists some of the key traits which are associated with successful forecasting, based on work from the Good Judgement Project (who won IARPA's forecasting tournament by a wide margin). The top 5: past performance in the same broad domain; making more predictions on the same question; deliberation time; collaboration on teams; and intelligence.  The authors also summarise various other ideas from the Superforecasting book.</v>
      </c>
      <c r="M586" s="3" t="str">
        <f>IFERROR(__xludf.DUMMYFUNCTION("""COMPUTED_VALUE"""),"Accompanying blog post")</f>
        <v>Accompanying blog post</v>
      </c>
    </row>
    <row r="587">
      <c r="A587" t="str">
        <f>IFERROR(__xludf.DUMMYFUNCTION("""COMPUTED_VALUE"""),"Forecasting")</f>
        <v>Forecasting</v>
      </c>
      <c r="B587" t="str">
        <f>IFERROR(__xludf.DUMMYFUNCTION("""COMPUTED_VALUE"""),"")</f>
        <v/>
      </c>
      <c r="C587" s="3" t="str">
        <f>IFERROR(__xludf.DUMMYFUNCTION("""COMPUTED_VALUE"""),"Forecasting Transformative AI: An Expert Survey")</f>
        <v>Forecasting Transformative AI: An Expert Survey</v>
      </c>
      <c r="D587" t="str">
        <f>IFERROR(__xludf.DUMMYFUNCTION("""COMPUTED_VALUE"""),"Ross Gruetzemacher, David Paradice, Kang Bok Lee")</f>
        <v>Ross Gruetzemacher, David Paradice, Kang Bok Lee</v>
      </c>
      <c r="E587" t="str">
        <f>IFERROR(__xludf.DUMMYFUNCTION("""COMPUTED_VALUE"""),"arXiv")</f>
        <v>arXiv</v>
      </c>
      <c r="F587">
        <f>IFERROR(__xludf.DUMMYFUNCTION("""COMPUTED_VALUE"""),2019.0)</f>
        <v>2019</v>
      </c>
      <c r="H587" s="3" t="str">
        <f>IFERROR(__xludf.DUMMYFUNCTION("""COMPUTED_VALUE"""),"AN #43")</f>
        <v>AN #43</v>
      </c>
    </row>
    <row r="588">
      <c r="A588" t="str">
        <f>IFERROR(__xludf.DUMMYFUNCTION("""COMPUTED_VALUE"""),"Forecasting")</f>
        <v>Forecasting</v>
      </c>
      <c r="B588" t="str">
        <f>IFERROR(__xludf.DUMMYFUNCTION("""COMPUTED_VALUE"""),"")</f>
        <v/>
      </c>
      <c r="C588" s="3" t="str">
        <f>IFERROR(__xludf.DUMMYFUNCTION("""COMPUTED_VALUE"""),"Reasons compute may not drive AI capabilities growth")</f>
        <v>Reasons compute may not drive AI capabilities growth</v>
      </c>
      <c r="D588" t="str">
        <f>IFERROR(__xludf.DUMMYFUNCTION("""COMPUTED_VALUE"""),"Kythe")</f>
        <v>Kythe</v>
      </c>
      <c r="E588" t="str">
        <f>IFERROR(__xludf.DUMMYFUNCTION("""COMPUTED_VALUE"""),"Alignment Forum")</f>
        <v>Alignment Forum</v>
      </c>
      <c r="F588">
        <f>IFERROR(__xludf.DUMMYFUNCTION("""COMPUTED_VALUE"""),2018.0)</f>
        <v>2018</v>
      </c>
      <c r="H588" s="3" t="str">
        <f>IFERROR(__xludf.DUMMYFUNCTION("""COMPUTED_VALUE"""),"AN #38")</f>
        <v>AN #38</v>
      </c>
      <c r="I588" t="str">
        <f>IFERROR(__xludf.DUMMYFUNCTION("""COMPUTED_VALUE"""),"Rohin")</f>
        <v>Rohin</v>
      </c>
      <c r="J588" t="str">
        <f>IFERROR(__xludf.DUMMYFUNCTION("""COMPUTED_VALUE"""),"A common narrative (for example, [at OpenAI](https://blog.openai.com/ai-and-compute/)) is that AI progress will be driven by improvements in compute, but there are a few reasons we may not expect this to be the case. First, there are many known techniques"&amp;" to train faster that only require some engineering effort, that researchers often don't use. Second, researchers still use grid searches to optimize hyperparameters rather than [more efficient methods](https://www.automl.org/blog_bohb/). These two points"&amp;" suggest that researchers spend compute in order to avoid engineering effort, and so compute must not be the bottleneck.
In addition, the trends that have previously powered increasing levels of compute may be slowing down. For example, we had one-time g"&amp;"ains by moving to GPUs and then to custom accelerators like TPUs, which probably will not happen again. In addition, many RL experiments require simulations on CPUs, and CPU improvements appear to be slowing down. GPU memory is often a bottleneck as well,"&amp;" though this could start increasing now that there is demand for larger memories, or we could get faster hardware interconnects that allow you to split models across multiple chips.")</f>
        <v>A common narrative (for example, [at OpenAI](https://blog.openai.com/ai-and-compute/)) is that AI progress will be driven by improvements in compute, but there are a few reasons we may not expect this to be the case. First, there are many known techniques to train faster that only require some engineering effort, that researchers often don't use. Second, researchers still use grid searches to optimize hyperparameters rather than [more efficient methods](https://www.automl.org/blog_bohb/). These two points suggest that researchers spend compute in order to avoid engineering effort, and so compute must not be the bottleneck.
In addition, the trends that have previously powered increasing levels of compute may be slowing down. For example, we had one-time gains by moving to GPUs and then to custom accelerators like TPUs, which probably will not happen again. In addition, many RL experiments require simulations on CPUs, and CPU improvements appear to be slowing down. GPU memory is often a bottleneck as well, though this could start increasing now that there is demand for larger memories, or we could get faster hardware interconnects that allow you to split models across multiple chips.</v>
      </c>
      <c r="K588" t="str">
        <f>IFERROR(__xludf.DUMMYFUNCTION("""COMPUTED_VALUE"""),"I think the evidence in the first part suggesting an abundance of compute is mostly explained by the fact that academics expect that we need ideas and algorithmic breakthroughs rather than simply scaling up existing algorithms, so you should update on tha"&amp;"t fact rather than this evidence which is a downstream effect. If we _condition_ on AGI requiring new ideas or algorithms, I think it is uncontroversial that we do not require huge amounts of compute to test out these new ideas.
The ""we are bottlenecked"&amp;" on compute"" argument should be taken as a statement about how to advance the state of the art in big unsolved problems in a sufficiently general way (that is, without encoding too much domain knowledge). Note that ImageNet is basically solved, so it doe"&amp;"s not fall in this category. At this point, it is a ""small"" problem and it's reasonable to say that it has an overabundance of compute, since it [requires](https://blog.openai.com/ai-and-compute/) _four orders of magnitude_ less compute than AlphaGo (an"&amp;"d probably Dota). For the unsolved general problems, I do expect that researchers do use efficient training tricks where they can find them, and they probably optimize hyperparameters in some smarter way. For example, AlphaGo's hyperparameters were [train"&amp;"ed via Bayesian optimization](https://arxiv.org/abs/1812.06855).
More details in [this comment](https://www.alignmentforum.org/posts/hSw4MNTc3gAwZWdx9/reasons-compute-may-not-drive-ai-capabilities-growth#AqaL4wutwNbocyR2u). I don't know much about trends"&amp;" in hardware so I won't comment on the second part.")</f>
        <v>I think the evidence in the first part suggesting an abundance of compute is mostly explained by the fact that academics expect that we need ideas and algorithmic breakthroughs rather than simply scaling up existing algorithms, so you should update on that fact rather than this evidence which is a downstream effect. If we _condition_ on AGI requiring new ideas or algorithms, I think it is uncontroversial that we do not require huge amounts of compute to test out these new ideas.
The "we are bottlenecked on compute" argument should be taken as a statement about how to advance the state of the art in big unsolved problems in a sufficiently general way (that is, without encoding too much domain knowledge). Note that ImageNet is basically solved, so it does not fall in this category. At this point, it is a "small" problem and it's reasonable to say that it has an overabundance of compute, since it [requires](https://blog.openai.com/ai-and-compute/) _four orders of magnitude_ less compute than AlphaGo (and probably Dota). For the unsolved general problems, I do expect that researchers do use efficient training tricks where they can find them, and they probably optimize hyperparameters in some smarter way. For example, AlphaGo's hyperparameters were [trained via Bayesian optimization](https://arxiv.org/abs/1812.06855).
More details in [this comment](https://www.alignmentforum.org/posts/hSw4MNTc3gAwZWdx9/reasons-compute-may-not-drive-ai-capabilities-growth#AqaL4wutwNbocyR2u). I don't know much about trends in hardware so I won't comment on the second part.</v>
      </c>
    </row>
    <row r="589">
      <c r="A589" t="str">
        <f>IFERROR(__xludf.DUMMYFUNCTION("""COMPUTED_VALUE"""),"Forecasting")</f>
        <v>Forecasting</v>
      </c>
      <c r="B589" t="str">
        <f>IFERROR(__xludf.DUMMYFUNCTION("""COMPUTED_VALUE"""),"")</f>
        <v/>
      </c>
      <c r="C589" s="3" t="str">
        <f>IFERROR(__xludf.DUMMYFUNCTION("""COMPUTED_VALUE"""),"Time for AI to cross the human performance range in diabetic retinopathy")</f>
        <v>Time for AI to cross the human performance range in diabetic retinopathy</v>
      </c>
      <c r="D589" t="str">
        <f>IFERROR(__xludf.DUMMYFUNCTION("""COMPUTED_VALUE"""),"Aysja Johnson")</f>
        <v>Aysja Johnson</v>
      </c>
      <c r="E589" t="str">
        <f>IFERROR(__xludf.DUMMYFUNCTION("""COMPUTED_VALUE"""),"AI Impacts")</f>
        <v>AI Impacts</v>
      </c>
      <c r="F589">
        <f>IFERROR(__xludf.DUMMYFUNCTION("""COMPUTED_VALUE"""),2018.0)</f>
        <v>2018</v>
      </c>
      <c r="H589" s="3" t="str">
        <f>IFERROR(__xludf.DUMMYFUNCTION("""COMPUTED_VALUE"""),"AN #35")</f>
        <v>AN #35</v>
      </c>
    </row>
    <row r="590">
      <c r="A590" t="str">
        <f>IFERROR(__xludf.DUMMYFUNCTION("""COMPUTED_VALUE"""),"Forecasting")</f>
        <v>Forecasting</v>
      </c>
      <c r="B590" t="str">
        <f>IFERROR(__xludf.DUMMYFUNCTION("""COMPUTED_VALUE"""),"")</f>
        <v/>
      </c>
      <c r="C590" s="3" t="str">
        <f>IFERROR(__xludf.DUMMYFUNCTION("""COMPUTED_VALUE"""),"How rapidly are GPUs improving in price performance?")</f>
        <v>How rapidly are GPUs improving in price performance?</v>
      </c>
      <c r="D590" t="str">
        <f>IFERROR(__xludf.DUMMYFUNCTION("""COMPUTED_VALUE"""),"gallabytes")</f>
        <v>gallabytes</v>
      </c>
      <c r="E590" t="str">
        <f>IFERROR(__xludf.DUMMYFUNCTION("""COMPUTED_VALUE"""),"Median Group")</f>
        <v>Median Group</v>
      </c>
      <c r="F590">
        <f>IFERROR(__xludf.DUMMYFUNCTION("""COMPUTED_VALUE"""),2018.0)</f>
        <v>2018</v>
      </c>
      <c r="H590" s="3" t="str">
        <f>IFERROR(__xludf.DUMMYFUNCTION("""COMPUTED_VALUE"""),"AN #35")</f>
        <v>AN #35</v>
      </c>
    </row>
    <row r="591">
      <c r="A591" t="str">
        <f>IFERROR(__xludf.DUMMYFUNCTION("""COMPUTED_VALUE"""),"Forecasting")</f>
        <v>Forecasting</v>
      </c>
      <c r="B591" t="str">
        <f>IFERROR(__xludf.DUMMYFUNCTION("""COMPUTED_VALUE"""),"")</f>
        <v/>
      </c>
      <c r="C591" s="3" t="str">
        <f>IFERROR(__xludf.DUMMYFUNCTION("""COMPUTED_VALUE"""),"Thoughts on short timelines")</f>
        <v>Thoughts on short timelines</v>
      </c>
      <c r="D591" t="str">
        <f>IFERROR(__xludf.DUMMYFUNCTION("""COMPUTED_VALUE"""),"Tobias Baumann")</f>
        <v>Tobias Baumann</v>
      </c>
      <c r="E591" t="str">
        <f>IFERROR(__xludf.DUMMYFUNCTION("""COMPUTED_VALUE"""),"S-risks website")</f>
        <v>S-risks website</v>
      </c>
      <c r="F591">
        <f>IFERROR(__xludf.DUMMYFUNCTION("""COMPUTED_VALUE"""),2018.0)</f>
        <v>2018</v>
      </c>
      <c r="H591" s="3" t="str">
        <f>IFERROR(__xludf.DUMMYFUNCTION("""COMPUTED_VALUE"""),"AN #30")</f>
        <v>AN #30</v>
      </c>
      <c r="I591" t="str">
        <f>IFERROR(__xludf.DUMMYFUNCTION("""COMPUTED_VALUE"""),"Rohin")</f>
        <v>Rohin</v>
      </c>
      <c r="J591" t="str">
        <f>IFERROR(__xludf.DUMMYFUNCTION("""COMPUTED_VALUE"""),"This post argues that the probability of AGI in the next ten years is very low, perhaps 1-2%. The primary argument is that to get AGI that quickly, we would need to be seeing research breakthroughs frequently, and empirically this is not the case. This mi"&amp;"ght not be true if we expect that progress will accelerate in the future, but there's no reason to expect this -- we won't get recursive self-improvement before AGI and there won't be a huge increase in resources devoted to AI (since there is already so m"&amp;"uch excitement). We might also say that we are so clueless that we should assign at least 10% to AGI in ten years, but it doesn't seem we are that ignorant, and in any case it's not obvious that a prior should assign 10% to this outcome. Expert surveys es"&amp;"timate non-negligible probability on AGI in ten years, but in practice it seems the predominant opinion is to confidently dismiss a short timelines scenario.")</f>
        <v>This post argues that the probability of AGI in the next ten years is very low, perhaps 1-2%. The primary argument is that to get AGI that quickly, we would need to be seeing research breakthroughs frequently, and empirically this is not the case. This might not be true if we expect that progress will accelerate in the future, but there's no reason to expect this -- we won't get recursive self-improvement before AGI and there won't be a huge increase in resources devoted to AI (since there is already so much excitement). We might also say that we are so clueless that we should assign at least 10% to AGI in ten years, but it doesn't seem we are that ignorant, and in any case it's not obvious that a prior should assign 10% to this outcome. Expert surveys estimate non-negligible probability on AGI in ten years, but in practice it seems the predominant opinion is to confidently dismiss a short timelines scenario.</v>
      </c>
      <c r="K591" t="str">
        <f>IFERROR(__xludf.DUMMYFUNCTION("""COMPUTED_VALUE"""),"I do think that the probability of AGI in ten years is larger than 1-2%. I suspect my main disagreement is with the conception of what counts as groundbreaking progress. Tobias gives the example of transfer from one board game to many other board games; I"&amp;" think that AGI wouldn't be able to solve this problem from scratch, and humans are only capable of this because of [good priors](https://rach0012.github.io/humanRL_website/) from all the other learning we've done throughout life, _especially_ since games"&amp;" are designed to be human-understandable. If you make a sufficiently large neural net and give it a complex enough environment, some simple unsupervised learning rewards, and the opportunity to collect as much data as a human gets throughout life, maybe t"&amp;"hat does result in AGI. (I'd guess not, because it does seem like we have some good priors from birth, but I'm not very confident in that.)")</f>
        <v>I do think that the probability of AGI in ten years is larger than 1-2%. I suspect my main disagreement is with the conception of what counts as groundbreaking progress. Tobias gives the example of transfer from one board game to many other board games; I think that AGI wouldn't be able to solve this problem from scratch, and humans are only capable of this because of [good priors](https://rach0012.github.io/humanRL_website/) from all the other learning we've done throughout life, _especially_ since games are designed to be human-understandable. If you make a sufficiently large neural net and give it a complex enough environment, some simple unsupervised learning rewards, and the opportunity to collect as much data as a human gets throughout life, maybe that does result in AGI. (I'd guess not, because it does seem like we have some good priors from birth, but I'm not very confident in that.)</v>
      </c>
    </row>
    <row r="592">
      <c r="A592" t="str">
        <f>IFERROR(__xludf.DUMMYFUNCTION("""COMPUTED_VALUE"""),"Forecasting")</f>
        <v>Forecasting</v>
      </c>
      <c r="B592" t="str">
        <f>IFERROR(__xludf.DUMMYFUNCTION("""COMPUTED_VALUE"""),"")</f>
        <v/>
      </c>
      <c r="C592" s="3" t="str">
        <f>IFERROR(__xludf.DUMMYFUNCTION("""COMPUTED_VALUE"""),"Distinguishing AI takeover scenarios")</f>
        <v>Distinguishing AI takeover scenarios</v>
      </c>
      <c r="D592" t="str">
        <f>IFERROR(__xludf.DUMMYFUNCTION("""COMPUTED_VALUE"""),"Sam Clarke, Sammy Martin")</f>
        <v>Sam Clarke, Sammy Martin</v>
      </c>
      <c r="E592" t="str">
        <f>IFERROR(__xludf.DUMMYFUNCTION("""COMPUTED_VALUE"""),"Alignment Forum")</f>
        <v>Alignment Forum</v>
      </c>
      <c r="F592">
        <f>IFERROR(__xludf.DUMMYFUNCTION("""COMPUTED_VALUE"""),2021.0)</f>
        <v>2021</v>
      </c>
      <c r="H592" s="3" t="str">
        <f>IFERROR(__xludf.DUMMYFUNCTION("""COMPUTED_VALUE"""),"AN #166")</f>
        <v>AN #166</v>
      </c>
      <c r="I592" t="str">
        <f>IFERROR(__xludf.DUMMYFUNCTION("""COMPUTED_VALUE"""),"Rohin")</f>
        <v>Rohin</v>
      </c>
      <c r="J592" t="str">
        <f>IFERROR(__xludf.DUMMYFUNCTION("""COMPUTED_VALUE"""),"This post summarizes several AI takeover scenarios that have been proposed and categorizes them according to three main variables. **Speed** refers to the question of whether there is a sudden jump in AI capabilities. **Uni/multipolarity** asks whether a "&amp;"single AI system takes over, or many. **Alignment** asks what goals the AI systems pursue, and if they are misaligned, further asks whether they are outer or inner misaligned. They also analyze other properties of the scenarios, such as how agentic, gener"&amp;"al and/or homogenous the AI systems are, and whether AI systems coordinate with each other or not. A [followup post](https://www.alignmentforum.org/posts/zkF9PNSyDKusoyLkP/investigating-ai-takeover-scenarios) investigates social, economic, and technologic"&amp;"al characteristics of these scenarios. It also generates new scenarios by varying some of these factors.
Since these posts are themselves summaries and comparisons of previously proposed scenarios that we’ve covered in this newsletter, I won’t summarize "&amp;"them here, but I do recommend them for an overview of AI takeover scenarios.")</f>
        <v>This post summarizes several AI takeover scenarios that have been proposed and categorizes them according to three main variables. **Speed** refers to the question of whether there is a sudden jump in AI capabilities. **Uni/multipolarity** asks whether a single AI system takes over, or many. **Alignment** asks what goals the AI systems pursue, and if they are misaligned, further asks whether they are outer or inner misaligned. They also analyze other properties of the scenarios, such as how agentic, general and/or homogenous the AI systems are, and whether AI systems coordinate with each other or not. A [followup post](https://www.alignmentforum.org/posts/zkF9PNSyDKusoyLkP/investigating-ai-takeover-scenarios) investigates social, economic, and technological characteristics of these scenarios. It also generates new scenarios by varying some of these factors.
Since these posts are themselves summaries and comparisons of previously proposed scenarios that we’ve covered in this newsletter, I won’t summarize them here, but I do recommend them for an overview of AI takeover scenarios.</v>
      </c>
    </row>
    <row r="593">
      <c r="A593" t="str">
        <f>IFERROR(__xludf.DUMMYFUNCTION("""COMPUTED_VALUE"""),"Forecasting")</f>
        <v>Forecasting</v>
      </c>
      <c r="B593" t="str">
        <f>IFERROR(__xludf.DUMMYFUNCTION("""COMPUTED_VALUE"""),"")</f>
        <v/>
      </c>
      <c r="C593" s="3" t="str">
        <f>IFERROR(__xludf.DUMMYFUNCTION("""COMPUTED_VALUE"""),"Updates and Lessons from AI Forecasting")</f>
        <v>Updates and Lessons from AI Forecasting</v>
      </c>
      <c r="D593" t="str">
        <f>IFERROR(__xludf.DUMMYFUNCTION("""COMPUTED_VALUE"""),"Jacob Steinhardt")</f>
        <v>Jacob Steinhardt</v>
      </c>
      <c r="E593" t="str">
        <f>IFERROR(__xludf.DUMMYFUNCTION("""COMPUTED_VALUE"""),"Author's Website")</f>
        <v>Author's Website</v>
      </c>
      <c r="F593">
        <f>IFERROR(__xludf.DUMMYFUNCTION("""COMPUTED_VALUE"""),2021.0)</f>
        <v>2021</v>
      </c>
      <c r="H593" s="3" t="str">
        <f>IFERROR(__xludf.DUMMYFUNCTION("""COMPUTED_VALUE"""),"AN #165")</f>
        <v>AN #165</v>
      </c>
      <c r="I593" t="str">
        <f>IFERROR(__xludf.DUMMYFUNCTION("""COMPUTED_VALUE"""),"Rohin")</f>
        <v>Rohin</v>
      </c>
      <c r="J593" t="str">
        <f>IFERROR(__xludf.DUMMYFUNCTION("""COMPUTED_VALUE"""),"This post provides an update on a project obtaining professional forecasts about progress in AI. I’m not going to summarize the full post here and instead list a few high-level takeaways:
1. The author found two of the forecasts surprising, while the oth"&amp;"er four were more in line with his expectations. The surprising forecasts suggested faster progress than he would have expected, and he has updated accordingly.
2. The forecasts imply confidence that AGI won’t arrive before 2025, but at the same time ther"&amp;"e will be clear and impressive progress in ML by then.
3. If you want to use forecasting, one particularly valuable approach is to put in the necessary work to define a good forecasting target. In this case, the author’s research group did this by creatin"&amp;"g the &lt;@MATH@&gt;(@Measuring Mathematical Problem Solving With the MATH Dataset@) and &lt;@Multitask@&gt;(@Measuring Massive Multitask Language Understanding@) datasets.")</f>
        <v>This post provides an update on a project obtaining professional forecasts about progress in AI. I’m not going to summarize the full post here and instead list a few high-level takeaways:
1. The author found two of the forecasts surprising, while the other four were more in line with his expectations. The surprising forecasts suggested faster progress than he would have expected, and he has updated accordingly.
2. The forecasts imply confidence that AGI won’t arrive before 2025, but at the same time there will be clear and impressive progress in ML by then.
3. If you want to use forecasting, one particularly valuable approach is to put in the necessary work to define a good forecasting target. In this case, the author’s research group did this by creating the &lt;@MATH@&gt;(@Measuring Mathematical Problem Solving With the MATH Dataset@) and &lt;@Multitask@&gt;(@Measuring Massive Multitask Language Understanding@) datasets.</v>
      </c>
    </row>
    <row r="594">
      <c r="A594" t="str">
        <f>IFERROR(__xludf.DUMMYFUNCTION("""COMPUTED_VALUE"""),"Forecasting")</f>
        <v>Forecasting</v>
      </c>
      <c r="B594" t="str">
        <f>IFERROR(__xludf.DUMMYFUNCTION("""COMPUTED_VALUE"""),"")</f>
        <v/>
      </c>
      <c r="C594" s="3" t="str">
        <f>IFERROR(__xludf.DUMMYFUNCTION("""COMPUTED_VALUE"""),"What 2026 looks like")</f>
        <v>What 2026 looks like</v>
      </c>
      <c r="D594" t="str">
        <f>IFERROR(__xludf.DUMMYFUNCTION("""COMPUTED_VALUE"""),"Daniel Kokotajlo")</f>
        <v>Daniel Kokotajlo</v>
      </c>
      <c r="E594" t="str">
        <f>IFERROR(__xludf.DUMMYFUNCTION("""COMPUTED_VALUE"""),"Alignment Forum")</f>
        <v>Alignment Forum</v>
      </c>
      <c r="F594">
        <f>IFERROR(__xludf.DUMMYFUNCTION("""COMPUTED_VALUE"""),2021.0)</f>
        <v>2021</v>
      </c>
      <c r="H594" s="3" t="str">
        <f>IFERROR(__xludf.DUMMYFUNCTION("""COMPUTED_VALUE"""),"AN #160")</f>
        <v>AN #160</v>
      </c>
      <c r="I594" t="str">
        <f>IFERROR(__xludf.DUMMYFUNCTION("""COMPUTED_VALUE"""),"Rohin")</f>
        <v>Rohin</v>
      </c>
      <c r="J594" t="str">
        <f>IFERROR(__xludf.DUMMYFUNCTION("""COMPUTED_VALUE"""),"This post describes the author’s median expectations around AI from now until 2026. It is part I of an attempt to write a detailed plausible future trajectory in chronological order, i.e. incrementally adding years to the story rather than writing a story"&amp;" with the end in mind. The hope is to produce a nice complement to the more abstract discussions about timelines and takeoff that usually occur. For example, there are discussions about how AI tools are used by nations for persuasion, propaganda and censo"&amp;"rship.")</f>
        <v>This post describes the author’s median expectations around AI from now until 2026. It is part I of an attempt to write a detailed plausible future trajectory in chronological order, i.e. incrementally adding years to the story rather than writing a story with the end in mind. The hope is to produce a nice complement to the more abstract discussions about timelines and takeoff that usually occur. For example, there are discussions about how AI tools are used by nations for persuasion, propaganda and censorship.</v>
      </c>
    </row>
    <row r="595">
      <c r="A595" t="str">
        <f>IFERROR(__xludf.DUMMYFUNCTION("""COMPUTED_VALUE"""),"Forecasting")</f>
        <v>Forecasting</v>
      </c>
      <c r="B595" t="str">
        <f>IFERROR(__xludf.DUMMYFUNCTION("""COMPUTED_VALUE"""),"")</f>
        <v/>
      </c>
      <c r="C595" s="3" t="str">
        <f>IFERROR(__xludf.DUMMYFUNCTION("""COMPUTED_VALUE"""),"Fractional progress estimates for AI timelines and implied resource requirements")</f>
        <v>Fractional progress estimates for AI timelines and implied resource requirements</v>
      </c>
      <c r="D595" t="str">
        <f>IFERROR(__xludf.DUMMYFUNCTION("""COMPUTED_VALUE"""),"Mark Xu, Carl Shulman")</f>
        <v>Mark Xu, Carl Shulman</v>
      </c>
      <c r="E595" t="str">
        <f>IFERROR(__xludf.DUMMYFUNCTION("""COMPUTED_VALUE"""),"Alignment Forum")</f>
        <v>Alignment Forum</v>
      </c>
      <c r="F595">
        <f>IFERROR(__xludf.DUMMYFUNCTION("""COMPUTED_VALUE"""),2021.0)</f>
        <v>2021</v>
      </c>
      <c r="H595" s="3" t="str">
        <f>IFERROR(__xludf.DUMMYFUNCTION("""COMPUTED_VALUE"""),"AN #157")</f>
        <v>AN #157</v>
      </c>
      <c r="I595" t="str">
        <f>IFERROR(__xludf.DUMMYFUNCTION("""COMPUTED_VALUE"""),"Rohin")</f>
        <v>Rohin</v>
      </c>
      <c r="J595" t="str">
        <f>IFERROR(__xludf.DUMMYFUNCTION("""COMPUTED_VALUE"""),"One [methodology](https://www.overcomingbias.com/2012/08/ai-progress-estimate.html) for forecasting AI timelines is to ask experts how much progress they have made to human-level AI within their subfield over the last T years. You can then extrapolate lin"&amp;"early to see when 100% of the problem will be solved. The post linked above collects such estimates, with a typical estimate being 5% of a problem being solved in the twenty year period between 1992 and 2012. Overall these estimates imply a timeline of [3"&amp;"72 years](https://aiimpacts.org/surveys-on-fractional-progress-towards-hlai/).
This post provides a reductio argument against this pair of methodology and estimate. The core argument is that if you linearly extrapolate, then you are effectively saying “a"&amp;"ssume that business continues as usual: then how long does it take”? But “business as usual” in the case of the last 20 years involves an increase in the amount of compute used by AI researchers by a factor of ~1000, so this effectively says that we’ll ge"&amp;"t to human-level AI after a 1000^{372/20} = 10^56 increase in the amount of available compute. (The authors do a somewhat more careful calculation that breaks apart improvements in price and growth of GDP, and get 10^53.)
This is a stupendously large amo"&amp;"unt of compute: it far dwarfs the amount of compute used by evolution, and even dwarfs the maximum amount of irreversible computing we could have done with all the energy that has ever hit the Earth over its lifetime (the bound comes from [Landauer’s prin"&amp;"ciple](https://en.wikipedia.org/wiki/Landauer%27s_principle)).
Given that evolution _did_ produce intelligence (us), we should reject the argument. But what should we make of the expert estimates then? One interpretation is that “proportion of the proble"&amp;"m solved” behaves more like an exponential, because the inputs are growing exponentially, and so the time taken to do the last 90% can be much less than 9x the time taken for the first 10%.")</f>
        <v>One [methodology](https://www.overcomingbias.com/2012/08/ai-progress-estimate.html) for forecasting AI timelines is to ask experts how much progress they have made to human-level AI within their subfield over the last T years. You can then extrapolate linearly to see when 100% of the problem will be solved. The post linked above collects such estimates, with a typical estimate being 5% of a problem being solved in the twenty year period between 1992 and 2012. Overall these estimates imply a timeline of [372 years](https://aiimpacts.org/surveys-on-fractional-progress-towards-hlai/).
This post provides a reductio argument against this pair of methodology and estimate. The core argument is that if you linearly extrapolate, then you are effectively saying “assume that business continues as usual: then how long does it take”? But “business as usual” in the case of the last 20 years involves an increase in the amount of compute used by AI researchers by a factor of ~1000, so this effectively says that we’ll get to human-level AI after a 1000^{372/20} = 10^56 increase in the amount of available compute. (The authors do a somewhat more careful calculation that breaks apart improvements in price and growth of GDP, and get 10^53.)
This is a stupendously large amount of compute: it far dwarfs the amount of compute used by evolution, and even dwarfs the maximum amount of irreversible computing we could have done with all the energy that has ever hit the Earth over its lifetime (the bound comes from [Landauer’s principle](https://en.wikipedia.org/wiki/Landauer%27s_principle)).
Given that evolution _did_ produce intelligence (us), we should reject the argument. But what should we make of the expert estimates then? One interpretation is that “proportion of the problem solved” behaves more like an exponential, because the inputs are growing exponentially, and so the time taken to do the last 90% can be much less than 9x the time taken for the first 10%.</v>
      </c>
      <c r="K595" t="str">
        <f>IFERROR(__xludf.DUMMYFUNCTION("""COMPUTED_VALUE"""),"This seems like a pretty clear reductio to me, though it is possible to argue that this argument doesn’t apply because compute isn’t the bottleneck, i.e. even with infinite compute we wouldn’t know how to make AGI. (That being said, I mostly do think we c"&amp;"ould build AGI if only we had enough compute; see also &lt;@last week’s highlight on the scaling hypothesis@&gt;(@The Scaling Hypothesis@).)")</f>
        <v>This seems like a pretty clear reductio to me, though it is possible to argue that this argument doesn’t apply because compute isn’t the bottleneck, i.e. even with infinite compute we wouldn’t know how to make AGI. (That being said, I mostly do think we could build AGI if only we had enough compute; see also &lt;@last week’s highlight on the scaling hypothesis@&gt;(@The Scaling Hypothesis@).)</v>
      </c>
    </row>
    <row r="596">
      <c r="A596" t="str">
        <f>IFERROR(__xludf.DUMMYFUNCTION("""COMPUTED_VALUE"""),"Forecasting")</f>
        <v>Forecasting</v>
      </c>
      <c r="B596" t="str">
        <f>IFERROR(__xludf.DUMMYFUNCTION("""COMPUTED_VALUE"""),"")</f>
        <v/>
      </c>
      <c r="C596" s="3" t="str">
        <f>IFERROR(__xludf.DUMMYFUNCTION("""COMPUTED_VALUE"""),"Parameter counts in Machine Learning")</f>
        <v>Parameter counts in Machine Learning</v>
      </c>
      <c r="D596" t="str">
        <f>IFERROR(__xludf.DUMMYFUNCTION("""COMPUTED_VALUE"""),"Jaime Sevilla, Pablo Villalobos, Juan Felipe Cerón")</f>
        <v>Jaime Sevilla, Pablo Villalobos, Juan Felipe Cerón</v>
      </c>
      <c r="E596" t="str">
        <f>IFERROR(__xludf.DUMMYFUNCTION("""COMPUTED_VALUE"""),"Alignment Forum")</f>
        <v>Alignment Forum</v>
      </c>
      <c r="F596">
        <f>IFERROR(__xludf.DUMMYFUNCTION("""COMPUTED_VALUE"""),2021.0)</f>
        <v>2021</v>
      </c>
      <c r="H596" s="3" t="str">
        <f>IFERROR(__xludf.DUMMYFUNCTION("""COMPUTED_VALUE"""),"AN #154")</f>
        <v>AN #154</v>
      </c>
      <c r="I596" t="str">
        <f>IFERROR(__xludf.DUMMYFUNCTION("""COMPUTED_VALUE"""),"Rohin")</f>
        <v>Rohin</v>
      </c>
      <c r="J596" t="str">
        <f>IFERROR(__xludf.DUMMYFUNCTION("""COMPUTED_VALUE"""),"This post presents a dataset of the parameter counts of 139 ML models from 1952 to 2021. The resulting graph is fairly noisy and hard to interpret, but suggests that:
1. There was no discontinuity in model size in 2012 (the year that AlexNet was publishe"&amp;"d, generally acknowledged as the start of the deep learning revolution).
2. There was a discontinuity in model size for language in particular some time between 2016-18.")</f>
        <v>This post presents a dataset of the parameter counts of 139 ML models from 1952 to 2021. The resulting graph is fairly noisy and hard to interpret, but suggests that:
1. There was no discontinuity in model size in 2012 (the year that AlexNet was published, generally acknowledged as the start of the deep learning revolution).
2. There was a discontinuity in model size for language in particular some time between 2016-18.</v>
      </c>
      <c r="K596" t="str">
        <f>IFERROR(__xludf.DUMMYFUNCTION("""COMPUTED_VALUE"""),"You can see my thoughts on the trends in model size in [this comment](https://www.alignmentforum.org/posts/GzoWcYibWYwJva8aL/parameter-counts-in-machine-learning?commentId=sFFBeva2fDgsoynDC).")</f>
        <v>You can see my thoughts on the trends in model size in [this comment](https://www.alignmentforum.org/posts/GzoWcYibWYwJva8aL/parameter-counts-in-machine-learning?commentId=sFFBeva2fDgsoynDC).</v>
      </c>
    </row>
    <row r="597">
      <c r="A597" t="str">
        <f>IFERROR(__xludf.DUMMYFUNCTION("""COMPUTED_VALUE"""),"Forecasting")</f>
        <v>Forecasting</v>
      </c>
      <c r="B597" t="str">
        <f>IFERROR(__xludf.DUMMYFUNCTION("""COMPUTED_VALUE"""),"")</f>
        <v/>
      </c>
      <c r="C597" s="3" t="str">
        <f>IFERROR(__xludf.DUMMYFUNCTION("""COMPUTED_VALUE"""),"Deep limitations? Examining expert disagreement over deep learning")</f>
        <v>Deep limitations? Examining expert disagreement over deep learning</v>
      </c>
      <c r="D597" t="str">
        <f>IFERROR(__xludf.DUMMYFUNCTION("""COMPUTED_VALUE"""),"Carla Zoe Cremer")</f>
        <v>Carla Zoe Cremer</v>
      </c>
      <c r="E597" t="str">
        <f>IFERROR(__xludf.DUMMYFUNCTION("""COMPUTED_VALUE"""),"Progress in Artificial Intelligence")</f>
        <v>Progress in Artificial Intelligence</v>
      </c>
      <c r="F597">
        <f>IFERROR(__xludf.DUMMYFUNCTION("""COMPUTED_VALUE"""),2021.0)</f>
        <v>2021</v>
      </c>
      <c r="H597" s="3" t="str">
        <f>IFERROR(__xludf.DUMMYFUNCTION("""COMPUTED_VALUE"""),"AN #154")</f>
        <v>AN #154</v>
      </c>
      <c r="I597" t="str">
        <f>IFERROR(__xludf.DUMMYFUNCTION("""COMPUTED_VALUE"""),"Rohin")</f>
        <v>Rohin</v>
      </c>
      <c r="J597" t="str">
        <f>IFERROR(__xludf.DUMMYFUNCTION("""COMPUTED_VALUE"""),"This paper reports on the results of a qualitative survey of 25 experts, conducted in 2019 and early 2020, on the possibility of deep learning leading to high-level machine intelligence (HLMI), defined here as an “algorithmic system that performs like ave"&amp;"rage adults on cognitive tests that evaluate the cognitive abilities required to perform economically relevant tasks”. Experts disagreed strongly on whether deep learning could lead to HLMI. Optimists tended to focus on the importance of scale, while pess"&amp;"imists tended to emphasize the need for additional insights.
Based on the interviews, the paper gives a list of 40 limitations of deep learning that some expert pointed to, and a more specific list of five areas that both optimists and pessimists pointed"&amp;" to as in support of their views (and thus would likely be promising areas to resolve disagreements). The five areas are (1) abstraction; (2) generalization; (3) explanatory, causal models; (4) emergence of planning; and (5) intervention.")</f>
        <v>This paper reports on the results of a qualitative survey of 25 experts, conducted in 2019 and early 2020, on the possibility of deep learning leading to high-level machine intelligence (HLMI), defined here as an “algorithmic system that performs like average adults on cognitive tests that evaluate the cognitive abilities required to perform economically relevant tasks”. Experts disagreed strongly on whether deep learning could lead to HLMI. Optimists tended to focus on the importance of scale, while pessimists tended to emphasize the need for additional insights.
Based on the interviews, the paper gives a list of 40 limitations of deep learning that some expert pointed to, and a more specific list of five areas that both optimists and pessimists pointed to as in support of their views (and thus would likely be promising areas to resolve disagreements). The five areas are (1) abstraction; (2) generalization; (3) explanatory, causal models; (4) emergence of planning; and (5) intervention.</v>
      </c>
    </row>
    <row r="598">
      <c r="A598" t="str">
        <f>IFERROR(__xludf.DUMMYFUNCTION("""COMPUTED_VALUE"""),"Forecasting")</f>
        <v>Forecasting</v>
      </c>
      <c r="B598" t="str">
        <f>IFERROR(__xludf.DUMMYFUNCTION("""COMPUTED_VALUE"""),"")</f>
        <v/>
      </c>
      <c r="C598" s="3" t="str">
        <f>IFERROR(__xludf.DUMMYFUNCTION("""COMPUTED_VALUE"""),"Interpreting AI Compute Trends")</f>
        <v>Interpreting AI Compute Trends</v>
      </c>
      <c r="D598" t="str">
        <f>IFERROR(__xludf.DUMMYFUNCTION("""COMPUTED_VALUE"""),"Ryan Carey")</f>
        <v>Ryan Carey</v>
      </c>
      <c r="E598" t="str">
        <f>IFERROR(__xludf.DUMMYFUNCTION("""COMPUTED_VALUE"""),"AI Impacts")</f>
        <v>AI Impacts</v>
      </c>
      <c r="F598">
        <f>IFERROR(__xludf.DUMMYFUNCTION("""COMPUTED_VALUE"""),2018.0)</f>
        <v>2018</v>
      </c>
      <c r="H598" s="3" t="str">
        <f>IFERROR(__xludf.DUMMYFUNCTION("""COMPUTED_VALUE"""),"AN #15")</f>
        <v>AN #15</v>
      </c>
      <c r="I598" t="str">
        <f>IFERROR(__xludf.DUMMYFUNCTION("""COMPUTED_VALUE"""),"Rohin")</f>
        <v>Rohin</v>
      </c>
      <c r="J598" t="str">
        <f>IFERROR(__xludf.DUMMYFUNCTION("""COMPUTED_VALUE"""),"A previous [OpenAI post](https://blog.openai.com/ai-and-compute/) showed that the amount of compute used in the most expensive AI experiments has been growing exponentially for six years, with a doubling time of 3.5 _months_. This is extraordinarily fast,"&amp;" and can be thought of as a combination of growth in the amount spent on an experiment, and a decrease in the cost of computation. Such a trend can only continue for a few more years, before the cost of the experiment exceeds the budget of even the riches"&amp;"t actors (such as the US government). However, this might still be enough to reach some important milestones for compute, such as ""enough compute to simulate a human brain for 18 years"", which is plausibly enough to get to AGI. (This would not happen fo"&amp;"r some of the larger estimates of the amount of computation in the human brain, but would happen for some of the smaller estimates.) It is still an open question which milestone we should care about.")</f>
        <v>A previous [OpenAI post](https://blog.openai.com/ai-and-compute/) showed that the amount of compute used in the most expensive AI experiments has been growing exponentially for six years, with a doubling time of 3.5 _months_. This is extraordinarily fast, and can be thought of as a combination of growth in the amount spent on an experiment, and a decrease in the cost of computation. Such a trend can only continue for a few more years, before the cost of the experiment exceeds the budget of even the richest actors (such as the US government). However, this might still be enough to reach some important milestones for compute, such as "enough compute to simulate a human brain for 18 years", which is plausibly enough to get to AGI. (This would not happen for some of the larger estimates of the amount of computation in the human brain, but would happen for some of the smaller estimates.) It is still an open question which milestone we should care about.</v>
      </c>
      <c r="K598" t="str">
        <f>IFERROR(__xludf.DUMMYFUNCTION("""COMPUTED_VALUE"""),"I generally agree with the post and its conclusions. I'm not sure how much to care about the compute milestones -- it still seems likely to me that we are bottlenecked on algorithms for _general_ intelligence, but I don't think about this very much.")</f>
        <v>I generally agree with the post and its conclusions. I'm not sure how much to care about the compute milestones -- it still seems likely to me that we are bottlenecked on algorithms for _general_ intelligence, but I don't think about this very much.</v>
      </c>
      <c r="M598" s="3" t="str">
        <f>IFERROR(__xludf.DUMMYFUNCTION("""COMPUTED_VALUE"""),"AI and Compute")</f>
        <v>AI and Compute</v>
      </c>
    </row>
    <row r="599">
      <c r="A599" t="str">
        <f>IFERROR(__xludf.DUMMYFUNCTION("""COMPUTED_VALUE"""),"Forecasting")</f>
        <v>Forecasting</v>
      </c>
      <c r="B599" t="str">
        <f>IFERROR(__xludf.DUMMYFUNCTION("""COMPUTED_VALUE"""),"")</f>
        <v/>
      </c>
      <c r="C599" s="3" t="str">
        <f>IFERROR(__xludf.DUMMYFUNCTION("""COMPUTED_VALUE"""),"Three reasons to expect long AI timelines")</f>
        <v>Three reasons to expect long AI timelines</v>
      </c>
      <c r="D599" t="str">
        <f>IFERROR(__xludf.DUMMYFUNCTION("""COMPUTED_VALUE"""),"Matthew Barnett")</f>
        <v>Matthew Barnett</v>
      </c>
      <c r="E599" t="str">
        <f>IFERROR(__xludf.DUMMYFUNCTION("""COMPUTED_VALUE"""),"Alignment Forum")</f>
        <v>Alignment Forum</v>
      </c>
      <c r="F599">
        <f>IFERROR(__xludf.DUMMYFUNCTION("""COMPUTED_VALUE"""),2021.0)</f>
        <v>2021</v>
      </c>
      <c r="H599" s="3" t="str">
        <f>IFERROR(__xludf.DUMMYFUNCTION("""COMPUTED_VALUE"""),"AN #148")</f>
        <v>AN #148</v>
      </c>
      <c r="I599" t="str">
        <f>IFERROR(__xludf.DUMMYFUNCTION("""COMPUTED_VALUE"""),"Rohin")</f>
        <v>Rohin</v>
      </c>
      <c r="J599" t="str">
        <f>IFERROR(__xludf.DUMMYFUNCTION("""COMPUTED_VALUE"""),"This post outlines and argues for three reasons to expect long AI timelines that the author expects are not taken into account in current forecasting efforts:
1. **Technological deployment lag:** Most technologies take decades between when they're first "&amp;"developed and when they become widely impactful.
2. **Overestimating the generality of AI technology:** Just as people in the 1950s and 1960s overestimated the impact of solving chess, it seems likely that current people are overestimating the impact of r"&amp;"ecent progress, and how far it can scale in the future.
3. **Regulation will slow things down,** as with [nuclear energy](https://rootsofprogress.org/devanney-on-the-nuclear-flop), for example.
You might argue that the first and third points don’t matter"&amp;", since what we care about is when AGI is _developed_, as opposed to when it becomes widely deployed. However, it seems that we continue to have the opportunity to intervene until the technology becomes widely impactful, and that seems to be the relevant "&amp;"quantity for decision-making. You could have some specific argument like “the AI goes FOOM and very quickly achieves all of its goals” that then implies that the development time is the right thing to forecast, but none of these seem all that obvious.")</f>
        <v>This post outlines and argues for three reasons to expect long AI timelines that the author expects are not taken into account in current forecasting efforts:
1. **Technological deployment lag:** Most technologies take decades between when they're first developed and when they become widely impactful.
2. **Overestimating the generality of AI technology:** Just as people in the 1950s and 1960s overestimated the impact of solving chess, it seems likely that current people are overestimating the impact of recent progress, and how far it can scale in the future.
3. **Regulation will slow things down,** as with [nuclear energy](https://rootsofprogress.org/devanney-on-the-nuclear-flop), for example.
You might argue that the first and third points don’t matter, since what we care about is when AGI is _developed_, as opposed to when it becomes widely deployed. However, it seems that we continue to have the opportunity to intervene until the technology becomes widely impactful, and that seems to be the relevant quantity for decision-making. You could have some specific argument like “the AI goes FOOM and very quickly achieves all of its goals” that then implies that the development time is the right thing to forecast, but none of these seem all that obvious.</v>
      </c>
      <c r="K599" t="str">
        <f>IFERROR(__xludf.DUMMYFUNCTION("""COMPUTED_VALUE"""),"I broadly agree that (1) and (3) don’t seem to be discussed much during forecasting, despite being quite important. (Though see e.g. [value of the long tail](https://www.lesswrong.com/posts/Nbcs5Fe2cxQuzje4K/value-of-the-long-tail).) I disagree with (2): "&amp;"while it is obviously possible that people are overestimating recent progress, or are overconfident about how useful scaling will be, there has at least been a lot of thought put into that particular question -- it seems like one of the central questions "&amp;"tackled by &lt;@bio anchors@&gt;(@Draft report on AI timelines@). See more discussion in this [comment thread](https://www.alignmentforum.org/posts/Z5gPrKTR2oDmm6fqJ/three-reasons-to-expect-long-ai-timelines?commentId=F7FNee8Bpa8hemQkd).")</f>
        <v>I broadly agree that (1) and (3) don’t seem to be discussed much during forecasting, despite being quite important. (Though see e.g. [value of the long tail](https://www.lesswrong.com/posts/Nbcs5Fe2cxQuzje4K/value-of-the-long-tail).) I disagree with (2): while it is obviously possible that people are overestimating recent progress, or are overconfident about how useful scaling will be, there has at least been a lot of thought put into that particular question -- it seems like one of the central questions tackled by &lt;@bio anchors@&gt;(@Draft report on AI timelines@). See more discussion in this [comment thread](https://www.alignmentforum.org/posts/Z5gPrKTR2oDmm6fqJ/three-reasons-to-expect-long-ai-timelines?commentId=F7FNee8Bpa8hemQkd).</v>
      </c>
    </row>
    <row r="600">
      <c r="A600" t="str">
        <f>IFERROR(__xludf.DUMMYFUNCTION("""COMPUTED_VALUE"""),"Forecasting")</f>
        <v>Forecasting</v>
      </c>
      <c r="B600" t="str">
        <f>IFERROR(__xludf.DUMMYFUNCTION("""COMPUTED_VALUE"""),"")</f>
        <v/>
      </c>
      <c r="C600" s="3" t="str">
        <f>IFERROR(__xludf.DUMMYFUNCTION("""COMPUTED_VALUE"""),"2020 Survey of Artificial General Intelligence Projects for Ethics, Risk, and Policy")</f>
        <v>2020 Survey of Artificial General Intelligence Projects for Ethics, Risk, and Policy</v>
      </c>
      <c r="D600" t="str">
        <f>IFERROR(__xludf.DUMMYFUNCTION("""COMPUTED_VALUE"""),"McKenna Fitzgerald, Aaron Boddy, Seth D. Baum")</f>
        <v>McKenna Fitzgerald, Aaron Boddy, Seth D. Baum</v>
      </c>
      <c r="E600" t="str">
        <f>IFERROR(__xludf.DUMMYFUNCTION("""COMPUTED_VALUE"""),"GCRI Website")</f>
        <v>GCRI Website</v>
      </c>
      <c r="F600">
        <f>IFERROR(__xludf.DUMMYFUNCTION("""COMPUTED_VALUE"""),2020.0)</f>
        <v>2020</v>
      </c>
      <c r="H600" s="3" t="str">
        <f>IFERROR(__xludf.DUMMYFUNCTION("""COMPUTED_VALUE"""),"AN #138")</f>
        <v>AN #138</v>
      </c>
      <c r="I600" t="str">
        <f>IFERROR(__xludf.DUMMYFUNCTION("""COMPUTED_VALUE"""),"Flo")</f>
        <v>Flo</v>
      </c>
      <c r="J600" t="str">
        <f>IFERROR(__xludf.DUMMYFUNCTION("""COMPUTED_VALUE"""),"This is a survey of AGI research and development (R&amp;D) projects, based on public information like publications and websites. The survey finds 72 such projects active in 2020 compared to 70 projects active in 2017. This corresponds to 15 new projects and 1"&amp;"3 projects that shut down since 2017. Almost half of the projects are US-based (and this is fewer than in 2017!), and most of the rest is based in US-allied countries. Around half of the projects publish open-source code. Many projects are interconnected "&amp;"via shared personnel or joint projects and only a few have identifiable military connections (fewer than in 2017). All of these factors might facilitate cooperation around safety. 
The projects form three major clusters: 1) corporate projects active on A"&amp;"GI safety 2) academic projects not active on AGI safety and 3) small corporations not active on AGI safety. Most of the projects are rather small and project size varies a lot, with the largest projects having more than 100 times as many employees as the "&amp;"smallest ones. While the share of projects with a humanitarian focus has increased to more than half, only a small but growing number is active on safety. Compared to 2017, the share of corporate projects has increased, and there are fewer academic projec"&amp;"ts. While academic projects are more likely to focus on knowledge expansion rather than humanitarian goals, corporate projects seem more likely to prioritize profit over public interest and safety. Consequently, corporate governance might be especially im"&amp;"portant.")</f>
        <v>This is a survey of AGI research and development (R&amp;D) projects, based on public information like publications and websites. The survey finds 72 such projects active in 2020 compared to 70 projects active in 2017. This corresponds to 15 new projects and 13 projects that shut down since 2017. Almost half of the projects are US-based (and this is fewer than in 2017!), and most of the rest is based in US-allied countries. Around half of the projects publish open-source code. Many projects are interconnected via shared personnel or joint projects and only a few have identifiable military connections (fewer than in 2017). All of these factors might facilitate cooperation around safety. 
The projects form three major clusters: 1) corporate projects active on AGI safety 2) academic projects not active on AGI safety and 3) small corporations not active on AGI safety. Most of the projects are rather small and project size varies a lot, with the largest projects having more than 100 times as many employees as the smallest ones. While the share of projects with a humanitarian focus has increased to more than half, only a small but growing number is active on safety. Compared to 2017, the share of corporate projects has increased, and there are fewer academic projects. While academic projects are more likely to focus on knowledge expansion rather than humanitarian goals, corporate projects seem more likely to prioritize profit over public interest and safety. Consequently, corporate governance might be especially important.</v>
      </c>
      <c r="K600" t="str">
        <f>IFERROR(__xludf.DUMMYFUNCTION("""COMPUTED_VALUE"""),"These kinds of surveys seem important to conduct, even if they don't always deliver very surprising results. That said, I was surprised by the large amount of small AGI projects (for which I expect the chances of success to be tiny) and the overall small "&amp;"amount of Chinese AGI projects. ")</f>
        <v>These kinds of surveys seem important to conduct, even if they don't always deliver very surprising results. That said, I was surprised by the large amount of small AGI projects (for which I expect the chances of success to be tiny) and the overall small amount of Chinese AGI projects. </v>
      </c>
    </row>
    <row r="601">
      <c r="A601" t="str">
        <f>IFERROR(__xludf.DUMMYFUNCTION("""COMPUTED_VALUE"""),"Forecasting")</f>
        <v>Forecasting</v>
      </c>
      <c r="B601" t="str">
        <f>IFERROR(__xludf.DUMMYFUNCTION("""COMPUTED_VALUE"""),"")</f>
        <v/>
      </c>
      <c r="C601" s="3" t="str">
        <f>IFERROR(__xludf.DUMMYFUNCTION("""COMPUTED_VALUE"""),"How The Hell Do We Create General-Purpose Robots?")</f>
        <v>How The Hell Do We Create General-Purpose Robots?</v>
      </c>
      <c r="D601" t="str">
        <f>IFERROR(__xludf.DUMMYFUNCTION("""COMPUTED_VALUE"""),"Sergey Alexashenko")</f>
        <v>Sergey Alexashenko</v>
      </c>
      <c r="E601" t="str">
        <f>IFERROR(__xludf.DUMMYFUNCTION("""COMPUTED_VALUE"""),"How The Hell Newsletter")</f>
        <v>How The Hell Newsletter</v>
      </c>
      <c r="F601">
        <f>IFERROR(__xludf.DUMMYFUNCTION("""COMPUTED_VALUE"""),2021.0)</f>
        <v>2021</v>
      </c>
      <c r="H601" s="3" t="str">
        <f>IFERROR(__xludf.DUMMYFUNCTION("""COMPUTED_VALUE"""),"AN #138")</f>
        <v>AN #138</v>
      </c>
      <c r="I601" t="str">
        <f>IFERROR(__xludf.DUMMYFUNCTION("""COMPUTED_VALUE"""),"Rohin")</f>
        <v>Rohin</v>
      </c>
      <c r="J601" t="str">
        <f>IFERROR(__xludf.DUMMYFUNCTION("""COMPUTED_VALUE"""),"A **general-purpose robot** (GPR) is one that can execute simple commands like “unload the dishwasher” or “paint the wall”. This post outlines an approach to get to such robots, and estimates how much it would cost to get there.
On the hardware side, we "&amp;"need to have hardware for the body, sensors, and brain. The body is ready; the Spot robot from Boston Dynamics seems like a reasonable candidate. On sensors, we have vision, hearing and lidar covered; however, we don’t have great sensors for touch yet. Th"&amp;"at being said, it seems possible to get by with bad sensors for touch, and compensate with vision. Finally, for the brain, even if we can’t put enough chips on the robot itself, we can use more compute via the cloud.
For software, in principle a large en"&amp;"ough neural network should suffice; all of the skills involved in GPRs have already been demonstrated by neural nets, just not as well as would be necessary. (In particular, we don’t need to posit AGI.) The big issue is that we don’t know how to train suc"&amp;"h a network. (We can’t train in the real world, as that is way too slow.)
With a big enough investment, it seems plausible that we could build a simulator in which the robot could learn. The simulator would have to be physically realistic and diverse, wh"&amp;"ich is quite a challenge. But we don’t have to write down physically accurate models of all objects: instead, we can _virtualize_ objects. Specifically, we interact with an object for a couple of minutes, and then use the resulting data to build a model o"&amp;"f the object in our simulation. (You could imagine an AlphaFold-like system that does this very well.)
The author then runs some Fermi estimates and concludes that it might cost around $42 billion for the R&amp;D in such a project (though it may not succeed)"&amp;", and concludes that this would clearly be worth it given the huge economic benefits.")</f>
        <v>A **general-purpose robot** (GPR) is one that can execute simple commands like “unload the dishwasher” or “paint the wall”. This post outlines an approach to get to such robots, and estimates how much it would cost to get there.
On the hardware side, we need to have hardware for the body, sensors, and brain. The body is ready; the Spot robot from Boston Dynamics seems like a reasonable candidate. On sensors, we have vision, hearing and lidar covered; however, we don’t have great sensors for touch yet. That being said, it seems possible to get by with bad sensors for touch, and compensate with vision. Finally, for the brain, even if we can’t put enough chips on the robot itself, we can use more compute via the cloud.
For software, in principle a large enough neural network should suffice; all of the skills involved in GPRs have already been demonstrated by neural nets, just not as well as would be necessary. (In particular, we don’t need to posit AGI.) The big issue is that we don’t know how to train such a network. (We can’t train in the real world, as that is way too slow.)
With a big enough investment, it seems plausible that we could build a simulator in which the robot could learn. The simulator would have to be physically realistic and diverse, which is quite a challenge. But we don’t have to write down physically accurate models of all objects: instead, we can _virtualize_ objects. Specifically, we interact with an object for a couple of minutes, and then use the resulting data to build a model of the object in our simulation. (You could imagine an AlphaFold-like system that does this very well.)
The author then runs some Fermi estimates and concludes that it might cost around $42 billion for the R&amp;D in such a project (though it may not succeed), and concludes that this would clearly be worth it given the huge economic benefits.</v>
      </c>
      <c r="K601" t="str">
        <f>IFERROR(__xludf.DUMMYFUNCTION("""COMPUTED_VALUE"""),"This outline seems pretty reasonable to me. There are a lot of specific points to nitpick with; for example, I am not convinced that we can just use cloud compute. It seems plausible that manipulation tasks require quick, iterative feedback, where the lat"&amp;"ency of cloud compute would be unacceptable. (Indeed, the quick, iterative feedback of touch is exactly why it is such a valuable sensor.) Nonetheless, I broadly like the outlined plan and it feels like these sorts of nitpicks are things that we will be a"&amp;"ble to solve as we work on the problem.
I am more skeptical of the cost estimate, which seems pretty optimistic to me. The author basically took existing numbers and then multiplied them by some factor for the increased hardness; I think that those facto"&amp;"rs are too low (for the AI aspects, idk about the robot hardware aspects), and I think that there are probably lots of other significant “invisible” costs that aren’t being counted here.")</f>
        <v>This outline seems pretty reasonable to me. There are a lot of specific points to nitpick with; for example, I am not convinced that we can just use cloud compute. It seems plausible that manipulation tasks require quick, iterative feedback, where the latency of cloud compute would be unacceptable. (Indeed, the quick, iterative feedback of touch is exactly why it is such a valuable sensor.) Nonetheless, I broadly like the outlined plan and it feels like these sorts of nitpicks are things that we will be able to solve as we work on the problem.
I am more skeptical of the cost estimate, which seems pretty optimistic to me. The author basically took existing numbers and then multiplied them by some factor for the increased hardness; I think that those factors are too low (for the AI aspects, idk about the robot hardware aspects), and I think that there are probably lots of other significant “invisible” costs that aren’t being counted here.</v>
      </c>
    </row>
    <row r="602">
      <c r="A602" t="str">
        <f>IFERROR(__xludf.DUMMYFUNCTION("""COMPUTED_VALUE"""),"Forecasting")</f>
        <v>Forecasting</v>
      </c>
      <c r="B602" t="str">
        <f>IFERROR(__xludf.DUMMYFUNCTION("""COMPUTED_VALUE"""),"")</f>
        <v/>
      </c>
      <c r="C602" s="3" t="str">
        <f>IFERROR(__xludf.DUMMYFUNCTION("""COMPUTED_VALUE"""),"Birds, Brains, Planes, and AI: Against Appeals to the Complexity/Mysteriousness/Efficiency of the Brain")</f>
        <v>Birds, Brains, Planes, and AI: Against Appeals to the Complexity/Mysteriousness/Efficiency of the Brain</v>
      </c>
      <c r="D602" t="str">
        <f>IFERROR(__xludf.DUMMYFUNCTION("""COMPUTED_VALUE"""),"Daniel Kokotajlo")</f>
        <v>Daniel Kokotajlo</v>
      </c>
      <c r="E602" t="str">
        <f>IFERROR(__xludf.DUMMYFUNCTION("""COMPUTED_VALUE"""),"Alignment Forum")</f>
        <v>Alignment Forum</v>
      </c>
      <c r="F602">
        <f>IFERROR(__xludf.DUMMYFUNCTION("""COMPUTED_VALUE"""),2021.0)</f>
        <v>2021</v>
      </c>
      <c r="H602" s="3" t="str">
        <f>IFERROR(__xludf.DUMMYFUNCTION("""COMPUTED_VALUE"""),"AN #134")</f>
        <v>AN #134</v>
      </c>
      <c r="I602" t="str">
        <f>IFERROR(__xludf.DUMMYFUNCTION("""COMPUTED_VALUE"""),"Rohin")</f>
        <v>Rohin</v>
      </c>
      <c r="J602" t="str">
        <f>IFERROR(__xludf.DUMMYFUNCTION("""COMPUTED_VALUE"""),"This post argues against a particular class of arguments about AI timelines. These arguments have the form: “The brain has property X, but we don’t know how to make AIs with property X. Since it took evolution a long time to make brains with property X, w"&amp;"e should expect it will take us a long time as well”. The reason these are not compelling is because humans often use different approaches to solve problems than evolution did, and so humans might solve the overall problem without ever needing to have pro"&amp;"perty X. To make these arguments more convincing, you need to argue 1) why property X really is _necessary_ and 2) why property X won’t follow quickly once everything else is in place.
This is illustrated with a hypothetical example of someone trying to "&amp;"predict when humans would achieve heavier-than-air flight: in practice, you could have made decent predictions just by looking at the power to weight ratios of engines vs. birds. Someone who argued that we were far away because “we don't even know how bir"&amp;"ds stay up for so long without flapping their wings” would have made incorrect predictions.")</f>
        <v>This post argues against a particular class of arguments about AI timelines. These arguments have the form: “The brain has property X, but we don’t know how to make AIs with property X. Since it took evolution a long time to make brains with property X, we should expect it will take us a long time as well”. The reason these are not compelling is because humans often use different approaches to solve problems than evolution did, and so humans might solve the overall problem without ever needing to have property X. To make these arguments more convincing, you need to argue 1) why property X really is _necessary_ and 2) why property X won’t follow quickly once everything else is in place.
This is illustrated with a hypothetical example of someone trying to predict when humans would achieve heavier-than-air flight: in practice, you could have made decent predictions just by looking at the power to weight ratios of engines vs. birds. Someone who argued that we were far away because “we don't even know how birds stay up for so long without flapping their wings” would have made incorrect predictions.</v>
      </c>
      <c r="K602" t="str">
        <f>IFERROR(__xludf.DUMMYFUNCTION("""COMPUTED_VALUE"""),"This all seems generally right to me, and is part of the reason I like the &lt;@biological anchors approach@&gt;(@Draft report on AI timelines@) to forecasting transformative AI.")</f>
        <v>This all seems generally right to me, and is part of the reason I like the &lt;@biological anchors approach@&gt;(@Draft report on AI timelines@) to forecasting transformative AI.</v>
      </c>
    </row>
    <row r="603">
      <c r="A603" t="str">
        <f>IFERROR(__xludf.DUMMYFUNCTION("""COMPUTED_VALUE"""),"Forecasting")</f>
        <v>Forecasting</v>
      </c>
      <c r="B603" t="str">
        <f>IFERROR(__xludf.DUMMYFUNCTION("""COMPUTED_VALUE"""),"")</f>
        <v/>
      </c>
      <c r="C603" s="3" t="str">
        <f>IFERROR(__xludf.DUMMYFUNCTION("""COMPUTED_VALUE"""),"How energy efficient are human-engineered flight designs relative to natural ones?")</f>
        <v>How energy efficient are human-engineered flight designs relative to natural ones?</v>
      </c>
      <c r="D603" t="str">
        <f>IFERROR(__xludf.DUMMYFUNCTION("""COMPUTED_VALUE"""),"Ronny Fernandez")</f>
        <v>Ronny Fernandez</v>
      </c>
      <c r="E603" t="str">
        <f>IFERROR(__xludf.DUMMYFUNCTION("""COMPUTED_VALUE"""),"AI Impacts")</f>
        <v>AI Impacts</v>
      </c>
      <c r="F603">
        <f>IFERROR(__xludf.DUMMYFUNCTION("""COMPUTED_VALUE"""),2020.0)</f>
        <v>2020</v>
      </c>
      <c r="H603" s="3" t="str">
        <f>IFERROR(__xludf.DUMMYFUNCTION("""COMPUTED_VALUE"""),"AN #132")</f>
        <v>AN #132</v>
      </c>
      <c r="I603" t="str">
        <f>IFERROR(__xludf.DUMMYFUNCTION("""COMPUTED_VALUE"""),"Rohin")</f>
        <v>Rohin</v>
      </c>
      <c r="J603" t="str">
        <f>IFERROR(__xludf.DUMMYFUNCTION("""COMPUTED_VALUE"""),"When forecasting AI timelines from &lt;@biological anchors@&gt;(@Draft report on AI timelines@), one important subquestion is how well we expect human-made artifacts to compare to natural artifacts (i.e. artifacts made by evolution). This post gathers empirical"&amp;" data for flight, by comparing the Monarch butterfly and the Wandering Albatross to various types of planes. The albatross is the most efficient, with a score of 2.2 kg-m per Joule (that is, a ~7 kg albatross spends ~3 Joules for every meter it travels). "&amp;"This is 2-8x better than the most efficient manmade plane that the authors considered, the Boeing 747-400, which in turn is better than the Monarch butterfly. (The authors also looked at distance per Joule without considering mass, in which case unsurpris"&amp;"ingly the butterfly wins by miles; it is about 3 orders of magnitude better than the albatross, which is in turn better than all the manmade solutions.)")</f>
        <v>When forecasting AI timelines from &lt;@biological anchors@&gt;(@Draft report on AI timelines@), one important subquestion is how well we expect human-made artifacts to compare to natural artifacts (i.e. artifacts made by evolution). This post gathers empirical data for flight, by comparing the Monarch butterfly and the Wandering Albatross to various types of planes. The albatross is the most efficient, with a score of 2.2 kg-m per Joule (that is, a ~7 kg albatross spends ~3 Joules for every meter it travels). This is 2-8x better than the most efficient manmade plane that the authors considered, the Boeing 747-400, which in turn is better than the Monarch butterfly. (The authors also looked at distance per Joule without considering mass, in which case unsurprisingly the butterfly wins by miles; it is about 3 orders of magnitude better than the albatross, which is in turn better than all the manmade solutions.)</v>
      </c>
    </row>
    <row r="604">
      <c r="A604" t="str">
        <f>IFERROR(__xludf.DUMMYFUNCTION("""COMPUTED_VALUE"""),"Forecasting")</f>
        <v>Forecasting</v>
      </c>
      <c r="B604" t="str">
        <f>IFERROR(__xludf.DUMMYFUNCTION("""COMPUTED_VALUE"""),"")</f>
        <v/>
      </c>
      <c r="C604" s="3" t="str">
        <f>IFERROR(__xludf.DUMMYFUNCTION("""COMPUTED_VALUE"""),"Automating reasoning about the future at Ought")</f>
        <v>Automating reasoning about the future at Ought</v>
      </c>
      <c r="D604" t="str">
        <f>IFERROR(__xludf.DUMMYFUNCTION("""COMPUTED_VALUE"""),"Ought")</f>
        <v>Ought</v>
      </c>
      <c r="E604" t="str">
        <f>IFERROR(__xludf.DUMMYFUNCTION("""COMPUTED_VALUE"""),"Ought Website")</f>
        <v>Ought Website</v>
      </c>
      <c r="F604">
        <f>IFERROR(__xludf.DUMMYFUNCTION("""COMPUTED_VALUE"""),2020.0)</f>
        <v>2020</v>
      </c>
      <c r="H604" s="3" t="str">
        <f>IFERROR(__xludf.DUMMYFUNCTION("""COMPUTED_VALUE"""),"AN #129")</f>
        <v>AN #129</v>
      </c>
      <c r="I604" t="str">
        <f>IFERROR(__xludf.DUMMYFUNCTION("""COMPUTED_VALUE"""),"Rohin")</f>
        <v>Rohin</v>
      </c>
      <c r="J604" t="str">
        <f>IFERROR(__xludf.DUMMYFUNCTION("""COMPUTED_VALUE"""),"Roughly speaking, we can think of an axis of reasoning, spanning from high-confidence statistical reasoning with lots of data to general quantitative reasoning to very qualitative reasoning. Ought is now building Elicit to help with _judgmental forecastin"&amp;"g_, which is near but not at the end of the spectrum. In judgmental forecasting, we might take a complicated question such as “Will Roe v. Wade be overturned if Trump nominates a new justice”, decompose it into subquestions, estimate probabilities for tho"&amp;"se subquestions, and then combine them to get to a final forecast. Crucially, this requires relying on people’s judgment: we cannot just look at the historical rate at which landmark Supreme Court decisions are overturned, since the situation has rarely a"&amp;"risen before.
Currently, Elicit has several features that help with the quantitative aspects of judgmental forecasting, for example by enabling users to input complex distributions and visualizing these distributions. However, in the long-term, the hope "&amp;"is to also help with the more qualitative aspects of judgmental forecasting as well, for example by proposing an important subquestion for answering the current question under consideration, or recommending a source of data that can answer the question at"&amp;" hand.
Ought is now working on adding these sorts of features by using large language models (GPT-3 in particular). They are currently [looking for beta testers](https://www.lesswrong.com/posts/WBgT4jAqTrPN7qh3Z/beta-test-gpt-3-based-research-assistant) "&amp;"for these features!")</f>
        <v>Roughly speaking, we can think of an axis of reasoning, spanning from high-confidence statistical reasoning with lots of data to general quantitative reasoning to very qualitative reasoning. Ought is now building Elicit to help with _judgmental forecasting_, which is near but not at the end of the spectrum. In judgmental forecasting, we might take a complicated question such as “Will Roe v. Wade be overturned if Trump nominates a new justice”, decompose it into subquestions, estimate probabilities for those subquestions, and then combine them to get to a final forecast. Crucially, this requires relying on people’s judgment: we cannot just look at the historical rate at which landmark Supreme Court decisions are overturned, since the situation has rarely arisen before.
Currently, Elicit has several features that help with the quantitative aspects of judgmental forecasting, for example by enabling users to input complex distributions and visualizing these distributions. However, in the long-term, the hope is to also help with the more qualitative aspects of judgmental forecasting as well, for example by proposing an important subquestion for answering the current question under consideration, or recommending a source of data that can answer the question at hand.
Ought is now working on adding these sorts of features by using large language models (GPT-3 in particular). They are currently [looking for beta testers](https://www.lesswrong.com/posts/WBgT4jAqTrPN7qh3Z/beta-test-gpt-3-based-research-assistant) for these features!</v>
      </c>
      <c r="K604" t="str">
        <f>IFERROR(__xludf.DUMMYFUNCTION("""COMPUTED_VALUE"""),"This seems like a pretty interesting direction, though I’m not totally clear on how it relates to AI alignment (assuming it is supposed to). It does seem quite related to iterated amplification, which also relies on this sort of decomposition of questions"&amp;".
I found the video mock ups and demos in the blog post to be particularly interesting, both in the original post and in the [call for beta testers](https://www.lesswrong.com/posts/WBgT4jAqTrPN7qh3Z/beta-test-gpt-3-based-research-assistant); I think they"&amp;" were much better at showcasing the potential value than the abstract description, and I recommend you all watch them.")</f>
        <v>This seems like a pretty interesting direction, though I’m not totally clear on how it relates to AI alignment (assuming it is supposed to). It does seem quite related to iterated amplification, which also relies on this sort of decomposition of questions.
I found the video mock ups and demos in the blog post to be particularly interesting, both in the original post and in the [call for beta testers](https://www.lesswrong.com/posts/WBgT4jAqTrPN7qh3Z/beta-test-gpt-3-based-research-assistant); I think they were much better at showcasing the potential value than the abstract description, and I recommend you all watch them.</v>
      </c>
    </row>
    <row r="605">
      <c r="A605" t="str">
        <f>IFERROR(__xludf.DUMMYFUNCTION("""COMPUTED_VALUE"""),"Forecasting")</f>
        <v>Forecasting</v>
      </c>
      <c r="B605" t="str">
        <f>IFERROR(__xludf.DUMMYFUNCTION("""COMPUTED_VALUE"""),"")</f>
        <v/>
      </c>
      <c r="C605" s="3" t="str">
        <f>IFERROR(__xludf.DUMMYFUNCTION("""COMPUTED_VALUE"""),"AGI Predictions")</f>
        <v>AGI Predictions</v>
      </c>
      <c r="D605" t="str">
        <f>IFERROR(__xludf.DUMMYFUNCTION("""COMPUTED_VALUE"""),"Amanda Ngo, Ben Pace")</f>
        <v>Amanda Ngo, Ben Pace</v>
      </c>
      <c r="E605" t="str">
        <f>IFERROR(__xludf.DUMMYFUNCTION("""COMPUTED_VALUE"""),"LessWrong")</f>
        <v>LessWrong</v>
      </c>
      <c r="F605">
        <f>IFERROR(__xludf.DUMMYFUNCTION("""COMPUTED_VALUE"""),2020.0)</f>
        <v>2020</v>
      </c>
      <c r="H605" s="3" t="str">
        <f>IFERROR(__xludf.DUMMYFUNCTION("""COMPUTED_VALUE"""),"AN #128")</f>
        <v>AN #128</v>
      </c>
      <c r="I605" t="str">
        <f>IFERROR(__xludf.DUMMYFUNCTION("""COMPUTED_VALUE"""),"Rohin")</f>
        <v>Rohin</v>
      </c>
      <c r="J605" t="str">
        <f>IFERROR(__xludf.DUMMYFUNCTION("""COMPUTED_VALUE"""),"A collection of interesting questions relevant to AI safety, as well as aggregated predictions from readers of the post.")</f>
        <v>A collection of interesting questions relevant to AI safety, as well as aggregated predictions from readers of the post.</v>
      </c>
    </row>
    <row r="606">
      <c r="A606" t="str">
        <f>IFERROR(__xludf.DUMMYFUNCTION("""COMPUTED_VALUE"""),"Forecasting")</f>
        <v>Forecasting</v>
      </c>
      <c r="B606" t="str">
        <f>IFERROR(__xludf.DUMMYFUNCTION("""COMPUTED_VALUE"""),"")</f>
        <v/>
      </c>
      <c r="C606" s="3" t="str">
        <f>IFERROR(__xludf.DUMMYFUNCTION("""COMPUTED_VALUE"""),"Canaries in Technology Mines: Warning Signs of Transformative Progress in AI")</f>
        <v>Canaries in Technology Mines: Warning Signs of Transformative Progress in AI</v>
      </c>
      <c r="D606" t="str">
        <f>IFERROR(__xludf.DUMMYFUNCTION("""COMPUTED_VALUE"""),"Carla Zoe Cremer, Jess Whittlestone")</f>
        <v>Carla Zoe Cremer, Jess Whittlestone</v>
      </c>
      <c r="E606" t="str">
        <f>IFERROR(__xludf.DUMMYFUNCTION("""COMPUTED_VALUE"""),"1st International Workshop on Evaluating Progress in Artificial Intelligence")</f>
        <v>1st International Workshop on Evaluating Progress in Artificial Intelligence</v>
      </c>
      <c r="F606">
        <f>IFERROR(__xludf.DUMMYFUNCTION("""COMPUTED_VALUE"""),2020.0)</f>
        <v>2020</v>
      </c>
      <c r="H606" s="3" t="str">
        <f>IFERROR(__xludf.DUMMYFUNCTION("""COMPUTED_VALUE"""),"AN #119")</f>
        <v>AN #119</v>
      </c>
      <c r="I606" t="str">
        <f>IFERROR(__xludf.DUMMYFUNCTION("""COMPUTED_VALUE"""),"Asya")</f>
        <v>Asya</v>
      </c>
      <c r="J606" t="str">
        <f>IFERROR(__xludf.DUMMYFUNCTION("""COMPUTED_VALUE"""),"In this paper, Cremer et al. propose a methodology for identifying early warning signs ('canaries') for transformative AI progress. The methodology consists of identifying key milestones using expert elicitation, arranging those milestones into causal gra"&amp;"phs where any given milestone may make another milestone more likely, and then using the causal graph representation to identify canaries-- nodes which have a significant number of outgoing nodes.
As an example, they give a partial implementation of usin"&amp;"g this methodology to identify canaries for high-level machine intelligence. Cremer et al. interview 25 experts in a variety of fields about the limitations of deep learning, then collate the named limitations and translate them into 'milestones'. Intervi"&amp;"ewees name 34 (potentially overlapping) milestones in total, including causal reasoning, meta-learning, hierarchical decomposition, (abstract) representation, flexible memory, common sense, architecture search, and navigating brittle environments. 
Creme"&amp;"r et al. then construct one possible causal graph for these milestones, and identify two that may act as canaries: _Symbol-like representations_, i.e. the ability to construct abstract, discrete, and disentangled representations of inputs, could underly g"&amp;"rammar, mathematical reasoning, concept formation, and flexible memory. _Flexible memory_, the ability to store, recognize, and re-use knowledge, could unlock the ability to learn from dynamic data, the ability to do continuous learning, and the ability t"&amp;"o learn how to learn.")</f>
        <v>In this paper, Cremer et al. propose a methodology for identifying early warning signs ('canaries') for transformative AI progress. The methodology consists of identifying key milestones using expert elicitation, arranging those milestones into causal graphs where any given milestone may make another milestone more likely, and then using the causal graph representation to identify canaries-- nodes which have a significant number of outgoing nodes.
As an example, they give a partial implementation of using this methodology to identify canaries for high-level machine intelligence. Cremer et al. interview 25 experts in a variety of fields about the limitations of deep learning, then collate the named limitations and translate them into 'milestones'. Interviewees name 34 (potentially overlapping) milestones in total, including causal reasoning, meta-learning, hierarchical decomposition, (abstract) representation, flexible memory, common sense, architecture search, and navigating brittle environments. 
Cremer et al. then construct one possible causal graph for these milestones, and identify two that may act as canaries: _Symbol-like representations_, i.e. the ability to construct abstract, discrete, and disentangled representations of inputs, could underly grammar, mathematical reasoning, concept formation, and flexible memory. _Flexible memory_, the ability to store, recognize, and re-use knowledge, could unlock the ability to learn from dynamic data, the ability to do continuous learning, and the ability to learn how to learn.</v>
      </c>
      <c r="K606" t="str">
        <f>IFERROR(__xludf.DUMMYFUNCTION("""COMPUTED_VALUE"""),"I like the methodology proposed in this paper, and I found the list of named limitations of deep learning interesting and informative. I’m not sure that I personally agree with the particular canaries identified in the example (which the authors emphasize"&amp;" is just one possible causal graph). It seems plausible to me that both flexible memory and symbol-like representations would be an emergent property of any deep learning system with a sufficiently rich training dataset, curriculum, compute available, etc"&amp;". and the real milestones to watch would be advances in those inputs.")</f>
        <v>I like the methodology proposed in this paper, and I found the list of named limitations of deep learning interesting and informative. I’m not sure that I personally agree with the particular canaries identified in the example (which the authors emphasize is just one possible causal graph). It seems plausible to me that both flexible memory and symbol-like representations would be an emergent property of any deep learning system with a sufficiently rich training dataset, curriculum, compute available, etc. and the real milestones to watch would be advances in those inputs.</v>
      </c>
    </row>
    <row r="607">
      <c r="A607" t="str">
        <f>IFERROR(__xludf.DUMMYFUNCTION("""COMPUTED_VALUE"""),"Forecasting")</f>
        <v>Forecasting</v>
      </c>
      <c r="B607" t="str">
        <f>IFERROR(__xludf.DUMMYFUNCTION("""COMPUTED_VALUE"""),"")</f>
        <v/>
      </c>
      <c r="C607" s="3" t="str">
        <f>IFERROR(__xludf.DUMMYFUNCTION("""COMPUTED_VALUE"""),"Roadmap to a Roadmap: How Could We Tell When AGI is a ‘Manhattan Project’ Away? ")</f>
        <v>Roadmap to a Roadmap: How Could We Tell When AGI is a ‘Manhattan Project’ Away? </v>
      </c>
      <c r="D607" t="str">
        <f>IFERROR(__xludf.DUMMYFUNCTION("""COMPUTED_VALUE"""),"John-Clark Levin, Matthijs M. Maas")</f>
        <v>John-Clark Levin, Matthijs M. Maas</v>
      </c>
      <c r="E607" t="str">
        <f>IFERROR(__xludf.DUMMYFUNCTION("""COMPUTED_VALUE"""),"EPAI 2020")</f>
        <v>EPAI 2020</v>
      </c>
      <c r="F607">
        <f>IFERROR(__xludf.DUMMYFUNCTION("""COMPUTED_VALUE"""),2020.0)</f>
        <v>2020</v>
      </c>
      <c r="H607" s="3" t="str">
        <f>IFERROR(__xludf.DUMMYFUNCTION("""COMPUTED_VALUE"""),"AN #115")</f>
        <v>AN #115</v>
      </c>
      <c r="I607" t="str">
        <f>IFERROR(__xludf.DUMMYFUNCTION("""COMPUTED_VALUE"""),"Rohin")</f>
        <v>Rohin</v>
      </c>
      <c r="J607" t="str">
        <f>IFERROR(__xludf.DUMMYFUNCTION("""COMPUTED_VALUE"""),"The key hypothesis of this paper is that once there is a clear “roadmap” or “runway” to AGI, it is likely that state actors could invest a large number of resources into achieving it, comparably to the Manhattan project. The fact that we do not see signs "&amp;"of such investment now does not imply that it won’t happen in the future: currently, there is so little “surface area” on the problem of AGI that throwing vast amounts of money at the problem is unlikely to help much.
If this were true, then once such a "&amp;"runway is visible, incentives could change quite sharply: in particular, the current norms of openness may quickly change to norms of secrecy, as nations compete (or perceive themselves to be competing) with other nations to build AGI first. As a result, "&amp;"it would be good to have a good measure of whether we have reached the point where such a runway exists.")</f>
        <v>The key hypothesis of this paper is that once there is a clear “roadmap” or “runway” to AGI, it is likely that state actors could invest a large number of resources into achieving it, comparably to the Manhattan project. The fact that we do not see signs of such investment now does not imply that it won’t happen in the future: currently, there is so little “surface area” on the problem of AGI that throwing vast amounts of money at the problem is unlikely to help much.
If this were true, then once such a runway is visible, incentives could change quite sharply: in particular, the current norms of openness may quickly change to norms of secrecy, as nations compete (or perceive themselves to be competing) with other nations to build AGI first. As a result, it would be good to have a good measure of whether we have reached the point where such a runway exists.</v>
      </c>
      <c r="M607" s="3" t="str">
        <f>IFERROR(__xludf.DUMMYFUNCTION("""COMPUTED_VALUE"""),"Import AI summary")</f>
        <v>Import AI summary</v>
      </c>
    </row>
    <row r="608">
      <c r="A608" t="str">
        <f>IFERROR(__xludf.DUMMYFUNCTION("""COMPUTED_VALUE"""),"Forecasting")</f>
        <v>Forecasting</v>
      </c>
      <c r="B608" t="str">
        <f>IFERROR(__xludf.DUMMYFUNCTION("""COMPUTED_VALUE"""),"")</f>
        <v/>
      </c>
      <c r="C608" s="3" t="str">
        <f>IFERROR(__xludf.DUMMYFUNCTION("""COMPUTED_VALUE"""),"My AI Timelines Have Sped Up")</f>
        <v>My AI Timelines Have Sped Up</v>
      </c>
      <c r="D608" t="str">
        <f>IFERROR(__xludf.DUMMYFUNCTION("""COMPUTED_VALUE"""),"Alex Irpan")</f>
        <v>Alex Irpan</v>
      </c>
      <c r="E608" t="str">
        <f>IFERROR(__xludf.DUMMYFUNCTION("""COMPUTED_VALUE"""),"Sorta Insightful")</f>
        <v>Sorta Insightful</v>
      </c>
      <c r="F608">
        <f>IFERROR(__xludf.DUMMYFUNCTION("""COMPUTED_VALUE"""),2020.0)</f>
        <v>2020</v>
      </c>
      <c r="H608" t="str">
        <f>IFERROR(__xludf.DUMMYFUNCTION("""COMPUTED_VALUE"""),"AN #114")</f>
        <v>AN #114</v>
      </c>
      <c r="I608" t="str">
        <f>IFERROR(__xludf.DUMMYFUNCTION("""COMPUTED_VALUE"""),"Nicholas")</f>
        <v>Nicholas</v>
      </c>
      <c r="J608" t="str">
        <f>IFERROR(__xludf.DUMMYFUNCTION("""COMPUTED_VALUE"""),"Alex Irpan updates his predictions of AGI sooner to:
10% chance by 2035 (previously 2045)
50% chance by 2045 (previously 2050)
90% chance by 2070
The main reasons why are:
- Alex is now more uncertain because research pace over the past five years have"&amp;" been more surprising than expected, faster in some domains, but slower than others. 
- Accounting for improvements in tooling. New libraries like TensorFlow and PyTorch have accelerated progress. Even CNNs can be used as a “tool” that provides features f"&amp;"or downstream tasks like robotic control. 
- He previously thought that labeled data might be a bottleneck, based on scaling laws showing that data needs might increase faster than compute; however, semi- and unsupervised learning have improved significan"&amp;"tly, GPT-3 being the latest example of this.  
- Alex now believes that compute will play a larger role and that compute can scale faster than algorithms because there is large worldwide consumer demand. 
The post ends with a hypothetical description of "&amp;"how AGI may happen soon that I will leave out of the summary but recommend reading. ")</f>
        <v>Alex Irpan updates his predictions of AGI sooner to:
10% chance by 2035 (previously 2045)
50% chance by 2045 (previously 2050)
90% chance by 2070
The main reasons why are:
- Alex is now more uncertain because research pace over the past five years have been more surprising than expected, faster in some domains, but slower than others. 
- Accounting for improvements in tooling. New libraries like TensorFlow and PyTorch have accelerated progress. Even CNNs can be used as a “tool” that provides features for downstream tasks like robotic control. 
- He previously thought that labeled data might be a bottleneck, based on scaling laws showing that data needs might increase faster than compute; however, semi- and unsupervised learning have improved significantly, GPT-3 being the latest example of this.  
- Alex now believes that compute will play a larger role and that compute can scale faster than algorithms because there is large worldwide consumer demand. 
The post ends with a hypothetical description of how AGI may happen soon that I will leave out of the summary but recommend reading. </v>
      </c>
      <c r="K608" t="str">
        <f>IFERROR(__xludf.DUMMYFUNCTION("""COMPUTED_VALUE"""),"My personal opinion on timelines is that I think it is much more informative to draw out the full CDF/PDF of when we will get to AGI instead of percentages by different years. It isn’t included in the post, but you can find Alex’s [here](https://elicit.ou"&amp;"ght.org/builder/BsNkKzJoc). I end up placing higher likelihood on AGI happening sooner than Alex does, but I largely agree with his reasoning. 
More uncertainty than the original prediction seems warranted to me; the original prediction had a very high l"&amp;"ikelihood of AGI between 2045-2050 that I didn’t understand. Of the rest of the arguments, I agree most strongly with the section on tooling providing a speedup. I’d even push the point farther to say that there are many inputs into current ML systems, an"&amp;"d all of them seem to be improving at a rapid clip. Hardware, software tools, data, and the number of ML researchers all seem to be on track to improve significantly over the next decade.")</f>
        <v>My personal opinion on timelines is that I think it is much more informative to draw out the full CDF/PDF of when we will get to AGI instead of percentages by different years. It isn’t included in the post, but you can find Alex’s [here](https://elicit.ought.org/builder/BsNkKzJoc). I end up placing higher likelihood on AGI happening sooner than Alex does, but I largely agree with his reasoning. 
More uncertainty than the original prediction seems warranted to me; the original prediction had a very high likelihood of AGI between 2045-2050 that I didn’t understand. Of the rest of the arguments, I agree most strongly with the section on tooling providing a speedup. I’d even push the point farther to say that there are many inputs into current ML systems, and all of them seem to be improving at a rapid clip. Hardware, software tools, data, and the number of ML researchers all seem to be on track to improve significantly over the next decade.</v>
      </c>
    </row>
    <row r="609">
      <c r="A609" t="str">
        <f>IFERROR(__xludf.DUMMYFUNCTION("""COMPUTED_VALUE"""),"Forecasting")</f>
        <v>Forecasting</v>
      </c>
      <c r="B609" t="str">
        <f>IFERROR(__xludf.DUMMYFUNCTION("""COMPUTED_VALUE"""),"")</f>
        <v/>
      </c>
      <c r="C609" s="3" t="str">
        <f>IFERROR(__xludf.DUMMYFUNCTION("""COMPUTED_VALUE"""),"Relevant pre-AGI possibilities")</f>
        <v>Relevant pre-AGI possibilities</v>
      </c>
      <c r="D609" t="str">
        <f>IFERROR(__xludf.DUMMYFUNCTION("""COMPUTED_VALUE"""),"Daniel Kokotajlo")</f>
        <v>Daniel Kokotajlo</v>
      </c>
      <c r="E609" t="str">
        <f>IFERROR(__xludf.DUMMYFUNCTION("""COMPUTED_VALUE"""),"AI Impacts")</f>
        <v>AI Impacts</v>
      </c>
      <c r="F609">
        <f>IFERROR(__xludf.DUMMYFUNCTION("""COMPUTED_VALUE"""),2020.0)</f>
        <v>2020</v>
      </c>
      <c r="H609" s="3" t="str">
        <f>IFERROR(__xludf.DUMMYFUNCTION("""COMPUTED_VALUE"""),"AN #105")</f>
        <v>AN #105</v>
      </c>
      <c r="I609" t="str">
        <f>IFERROR(__xludf.DUMMYFUNCTION("""COMPUTED_VALUE"""),"Rohin")</f>
        <v>Rohin</v>
      </c>
      <c r="J609" t="str">
        <f>IFERROR(__xludf.DUMMYFUNCTION("""COMPUTED_VALUE"""),"This page lists 47 things that could plausibly happen before the development of AGI, that could matter for AI safety or AI policy. You can also use the web page to generate a very simple trajectory for the future, as done in this [scenario](https://docs.g"&amp;"oogle.com/document/d/1gd6qQx-SP6rfAVQE5rzfPH0zXYOOHXBa13JSUd2zROQ/edit) that Daniel wrote up.")</f>
        <v>This page lists 47 things that could plausibly happen before the development of AGI, that could matter for AI safety or AI policy. You can also use the web page to generate a very simple trajectory for the future, as done in this [scenario](https://docs.google.com/document/d/1gd6qQx-SP6rfAVQE5rzfPH0zXYOOHXBa13JSUd2zROQ/edit) that Daniel wrote up.</v>
      </c>
      <c r="K609" t="str">
        <f>IFERROR(__xludf.DUMMYFUNCTION("""COMPUTED_VALUE"""),"I think this sort of reasoning about the future, where you are forced into a scenario and have to reason what must have happened and draw implications, seems particularly good for ensuring that you don’t get too locked in to your own beliefs about the fut"&amp;"ure, which will likely be too narrow.")</f>
        <v>I think this sort of reasoning about the future, where you are forced into a scenario and have to reason what must have happened and draw implications, seems particularly good for ensuring that you don’t get too locked in to your own beliefs about the future, which will likely be too narrow.</v>
      </c>
    </row>
    <row r="610">
      <c r="A610" t="str">
        <f>IFERROR(__xludf.DUMMYFUNCTION("""COMPUTED_VALUE"""),"Forecasting")</f>
        <v>Forecasting</v>
      </c>
      <c r="B610" t="str">
        <f>IFERROR(__xludf.DUMMYFUNCTION("""COMPUTED_VALUE"""),"")</f>
        <v/>
      </c>
      <c r="C610" s="3" t="str">
        <f>IFERROR(__xludf.DUMMYFUNCTION("""COMPUTED_VALUE"""),"More on disambiguating ""discontinuity""")</f>
        <v>More on disambiguating "discontinuity"</v>
      </c>
      <c r="D610" t="str">
        <f>IFERROR(__xludf.DUMMYFUNCTION("""COMPUTED_VALUE"""),"Aryeh Englander")</f>
        <v>Aryeh Englander</v>
      </c>
      <c r="E610" t="str">
        <f>IFERROR(__xludf.DUMMYFUNCTION("""COMPUTED_VALUE"""),"Alignment Forum")</f>
        <v>Alignment Forum</v>
      </c>
      <c r="F610">
        <f>IFERROR(__xludf.DUMMYFUNCTION("""COMPUTED_VALUE"""),2020.0)</f>
        <v>2020</v>
      </c>
      <c r="H610" s="3" t="str">
        <f>IFERROR(__xludf.DUMMYFUNCTION("""COMPUTED_VALUE"""),"AN #104")</f>
        <v>AN #104</v>
      </c>
      <c r="I610" t="str">
        <f>IFERROR(__xludf.DUMMYFUNCTION("""COMPUTED_VALUE"""),"Rohin")</f>
        <v>Rohin</v>
      </c>
      <c r="J610" t="str">
        <f>IFERROR(__xludf.DUMMYFUNCTION("""COMPUTED_VALUE"""),"This post considers three different kinds of “discontinuity” that we might imagine with AI development. First, there could be a sharp change in progress or the rate of progress that breaks with the previous trendline (this is the sort of thing &lt;@examined@"&amp;"&gt;(@Discontinuous progress in history: an update@) by AI Impacts). Second, the rate of progress could either be slow or fast, regardless of whether there is a discontinuity in it. Finally, the calendar time could either be short or long, regardless of the "&amp;"rate of progress.
The post then applies these categories to three questions. Will we see AGI coming before it arrives? Will we be able to “course correct” if there are problems? Is it likely that a single actor obtains a decisive strategic advantage?")</f>
        <v>This post considers three different kinds of “discontinuity” that we might imagine with AI development. First, there could be a sharp change in progress or the rate of progress that breaks with the previous trendline (this is the sort of thing &lt;@examined@&gt;(@Discontinuous progress in history: an update@) by AI Impacts). Second, the rate of progress could either be slow or fast, regardless of whether there is a discontinuity in it. Finally, the calendar time could either be short or long, regardless of the rate of progress.
The post then applies these categories to three questions. Will we see AGI coming before it arrives? Will we be able to “course correct” if there are problems? Is it likely that a single actor obtains a decisive strategic advantage?</v>
      </c>
    </row>
    <row r="611">
      <c r="A611" t="str">
        <f>IFERROR(__xludf.DUMMYFUNCTION("""COMPUTED_VALUE"""),"Forecasting")</f>
        <v>Forecasting</v>
      </c>
      <c r="B611" t="str">
        <f>IFERROR(__xludf.DUMMYFUNCTION("""COMPUTED_VALUE"""),"")</f>
        <v/>
      </c>
      <c r="C611" s="3" t="str">
        <f>IFERROR(__xludf.DUMMYFUNCTION("""COMPUTED_VALUE"""),"Will AI undergo discontinuous progress?")</f>
        <v>Will AI undergo discontinuous progress?</v>
      </c>
      <c r="D611" t="str">
        <f>IFERROR(__xludf.DUMMYFUNCTION("""COMPUTED_VALUE"""),"Sammy Martin")</f>
        <v>Sammy Martin</v>
      </c>
      <c r="E611" t="str">
        <f>IFERROR(__xludf.DUMMYFUNCTION("""COMPUTED_VALUE"""),"Alignment Forum")</f>
        <v>Alignment Forum</v>
      </c>
      <c r="F611">
        <f>IFERROR(__xludf.DUMMYFUNCTION("""COMPUTED_VALUE"""),2020.0)</f>
        <v>2020</v>
      </c>
      <c r="H611" s="3" t="str">
        <f>IFERROR(__xludf.DUMMYFUNCTION("""COMPUTED_VALUE"""),"AN #91")</f>
        <v>AN #91</v>
      </c>
      <c r="I611" t="str">
        <f>IFERROR(__xludf.DUMMYFUNCTION("""COMPUTED_VALUE"""),"Rohin")</f>
        <v>Rohin</v>
      </c>
      <c r="J611" t="str">
        <f>IFERROR(__xludf.DUMMYFUNCTION("""COMPUTED_VALUE"""),"This post argues that the debate over takeoff speeds is over a smaller issue than you might otherwise think: people seem to be arguing for either discontinuous progress, or continuous but fast progress. Both camps agree that once AI reaches human-level in"&amp;"telligence, progress will be extremely rapid; the disagreement is primarily about whether there is already quite a lot of progress _before_ that point. As a result, these differences don't constitute a ""shift in arguments on AI safety"", as some have cla"&amp;"imed.
The post also goes through some of the arguments and claims that people have made in the past, which I'm not going to summarize here.")</f>
        <v>This post argues that the debate over takeoff speeds is over a smaller issue than you might otherwise think: people seem to be arguing for either discontinuous progress, or continuous but fast progress. Both camps agree that once AI reaches human-level intelligence, progress will be extremely rapid; the disagreement is primarily about whether there is already quite a lot of progress _before_ that point. As a result, these differences don't constitute a "shift in arguments on AI safety", as some have claimed.
The post also goes through some of the arguments and claims that people have made in the past, which I'm not going to summarize here.</v>
      </c>
      <c r="K611" t="str">
        <f>IFERROR(__xludf.DUMMYFUNCTION("""COMPUTED_VALUE"""),"While I agree that the debate about takeoff speeds is primarily about the path by which we get to powerful AI systems, that seems like a pretty important question to me with &lt;@many ramifications@&gt;(@Clarifying some key hypotheses in AI alignment@).")</f>
        <v>While I agree that the debate about takeoff speeds is primarily about the path by which we get to powerful AI systems, that seems like a pretty important question to me with &lt;@many ramifications@&gt;(@Clarifying some key hypotheses in AI alignment@).</v>
      </c>
    </row>
    <row r="612">
      <c r="A612" t="str">
        <f>IFERROR(__xludf.DUMMYFUNCTION("""COMPUTED_VALUE"""),"Forecasting")</f>
        <v>Forecasting</v>
      </c>
      <c r="B612" t="str">
        <f>IFERROR(__xludf.DUMMYFUNCTION("""COMPUTED_VALUE"""),"")</f>
        <v/>
      </c>
      <c r="C612" s="3" t="str">
        <f>IFERROR(__xludf.DUMMYFUNCTION("""COMPUTED_VALUE"""),"Might humans not be the most intelligent animals?")</f>
        <v>Might humans not be the most intelligent animals?</v>
      </c>
      <c r="D612" t="str">
        <f>IFERROR(__xludf.DUMMYFUNCTION("""COMPUTED_VALUE"""),"Matthew Barnett")</f>
        <v>Matthew Barnett</v>
      </c>
      <c r="E612" t="str">
        <f>IFERROR(__xludf.DUMMYFUNCTION("""COMPUTED_VALUE"""),"LessWrong")</f>
        <v>LessWrong</v>
      </c>
      <c r="F612">
        <f>IFERROR(__xludf.DUMMYFUNCTION("""COMPUTED_VALUE"""),2019.0)</f>
        <v>2019</v>
      </c>
      <c r="H612" s="3" t="str">
        <f>IFERROR(__xludf.DUMMYFUNCTION("""COMPUTED_VALUE"""),"AN #79")</f>
        <v>AN #79</v>
      </c>
      <c r="I612" t="str">
        <f>IFERROR(__xludf.DUMMYFUNCTION("""COMPUTED_VALUE"""),"Rohin")</f>
        <v>Rohin</v>
      </c>
      <c r="J612" t="str">
        <f>IFERROR(__xludf.DUMMYFUNCTION("""COMPUTED_VALUE"""),"We can roughly separate intelligence into two categories: _raw innovative capability_ (the ability to figure things out from scratch, without the benefit of those who came before you), and _culture processing_ (the ability to learn from accumulated human "&amp;"knowledge). It's not clear that humans have the highest raw innovative capability; we may just have much better culture. For example, feral children raised outside of human society look very ""unintelligent"", [The Secret of Our Success](https://www.amazo"&amp;"n.com/dp/B00WY4OXAS/ref=dp-kindle-redirect?_encoding=UTF8&amp;btkr=1) documents cases where culture trumped innovative capability, and humans actually _don't_ have the most neurons, or the most neurons in the forebrain.
(Why is this relevant to AI alignment?"&amp;" Matthew claims that it has implications on AI takeoff speeds, though he doesn't argue for that claim in the post.)")</f>
        <v>We can roughly separate intelligence into two categories: _raw innovative capability_ (the ability to figure things out from scratch, without the benefit of those who came before you), and _culture processing_ (the ability to learn from accumulated human knowledge). It's not clear that humans have the highest raw innovative capability; we may just have much better culture. For example, feral children raised outside of human society look very "unintelligent", [The Secret of Our Success](https://www.amazon.com/dp/B00WY4OXAS/ref=dp-kindle-redirect?_encoding=UTF8&amp;btkr=1) documents cases where culture trumped innovative capability, and humans actually _don't_ have the most neurons, or the most neurons in the forebrain.
(Why is this relevant to AI alignment? Matthew claims that it has implications on AI takeoff speeds, though he doesn't argue for that claim in the post.)</v>
      </c>
      <c r="K612" t="str">
        <f>IFERROR(__xludf.DUMMYFUNCTION("""COMPUTED_VALUE"""),"It seems very hard to actually make a principled distinction between these two facets of intelligence, because culture has such an influence over our ""raw innovative capability"" in the sense of our ability to make original discoveries / learn new things"&amp;". While feral children might be less intelligent than animals (I wouldn't know), the appropriate comparison would be against ""feral animals"" that also didn't get opportunities to explore their environment and learn from their parents, and even so I'm no"&amp;"t sure how much I'd trust results from such a ""weird"" (evolutionarily off-distribution) setup.")</f>
        <v>It seems very hard to actually make a principled distinction between these two facets of intelligence, because culture has such an influence over our "raw innovative capability" in the sense of our ability to make original discoveries / learn new things. While feral children might be less intelligent than animals (I wouldn't know), the appropriate comparison would be against "feral animals" that also didn't get opportunities to explore their environment and learn from their parents, and even so I'm not sure how much I'd trust results from such a "weird" (evolutionarily off-distribution) setup.</v>
      </c>
    </row>
    <row r="613">
      <c r="A613" t="str">
        <f>IFERROR(__xludf.DUMMYFUNCTION("""COMPUTED_VALUE"""),"Forecasting")</f>
        <v>Forecasting</v>
      </c>
      <c r="B613" t="str">
        <f>IFERROR(__xludf.DUMMYFUNCTION("""COMPUTED_VALUE"""),"")</f>
        <v/>
      </c>
      <c r="C613" s="3" t="str">
        <f>IFERROR(__xludf.DUMMYFUNCTION("""COMPUTED_VALUE"""),"Etzioni 2016 survey")</f>
        <v>Etzioni 2016 survey</v>
      </c>
      <c r="D613" t="str">
        <f>IFERROR(__xludf.DUMMYFUNCTION("""COMPUTED_VALUE"""),"Katja Grace")</f>
        <v>Katja Grace</v>
      </c>
      <c r="E613" t="str">
        <f>IFERROR(__xludf.DUMMYFUNCTION("""COMPUTED_VALUE"""),"AI Impacts")</f>
        <v>AI Impacts</v>
      </c>
      <c r="F613">
        <f>IFERROR(__xludf.DUMMYFUNCTION("""COMPUTED_VALUE"""),2019.0)</f>
        <v>2019</v>
      </c>
      <c r="H613" s="3" t="str">
        <f>IFERROR(__xludf.DUMMYFUNCTION("""COMPUTED_VALUE"""),"AN #73")</f>
        <v>AN #73</v>
      </c>
      <c r="I613" t="str">
        <f>IFERROR(__xludf.DUMMYFUNCTION("""COMPUTED_VALUE"""),"Rohin")</f>
        <v>Rohin</v>
      </c>
      <c r="J613" t="str">
        <f>IFERROR(__xludf.DUMMYFUNCTION("""COMPUTED_VALUE"""),"Oren Etzioni surveyed 193 AAAI fellows in 2016 and found that 67.5% of them expected that ‘we will achieve Superintelligence’ someday, but in more than 25 years. Only 7.5% thought we would achieve it sooner than that.")</f>
        <v>Oren Etzioni surveyed 193 AAAI fellows in 2016 and found that 67.5% of them expected that ‘we will achieve Superintelligence’ someday, but in more than 25 years. Only 7.5% thought we would achieve it sooner than that.</v>
      </c>
    </row>
    <row r="614">
      <c r="A614" t="str">
        <f>IFERROR(__xludf.DUMMYFUNCTION("""COMPUTED_VALUE"""),"Forecasting")</f>
        <v>Forecasting</v>
      </c>
      <c r="B614" t="str">
        <f>IFERROR(__xludf.DUMMYFUNCTION("""COMPUTED_VALUE"""),"")</f>
        <v/>
      </c>
      <c r="C614" s="3" t="str">
        <f>IFERROR(__xludf.DUMMYFUNCTION("""COMPUTED_VALUE"""),"AI Forecasting Dictionary")</f>
        <v>AI Forecasting Dictionary</v>
      </c>
      <c r="D614" t="str">
        <f>IFERROR(__xludf.DUMMYFUNCTION("""COMPUTED_VALUE"""),"Jacob Lagerros and Ben Goldhaber")</f>
        <v>Jacob Lagerros and Ben Goldhaber</v>
      </c>
      <c r="E614" t="str">
        <f>IFERROR(__xludf.DUMMYFUNCTION("""COMPUTED_VALUE"""),"LessWrong")</f>
        <v>LessWrong</v>
      </c>
      <c r="F614">
        <f>IFERROR(__xludf.DUMMYFUNCTION("""COMPUTED_VALUE"""),2019.0)</f>
        <v>2019</v>
      </c>
      <c r="H614" s="3" t="str">
        <f>IFERROR(__xludf.DUMMYFUNCTION("""COMPUTED_VALUE"""),"AN #65")</f>
        <v>AN #65</v>
      </c>
      <c r="I614" t="str">
        <f>IFERROR(__xludf.DUMMYFUNCTION("""COMPUTED_VALUE"""),"Rohin")</f>
        <v>Rohin</v>
      </c>
      <c r="J614" t="str">
        <f>IFERROR(__xludf.DUMMYFUNCTION("""COMPUTED_VALUE"""),"One big challenge with forecasting the future is operationalizing key terms unambiguously, so that a question can be resolved when the future actually arrives. Since we'll probably need to forecast many different questions, it's crucial that we make it as"&amp;" easy as possible to create and answer well-operationalized questions. To that end, the authors have created and open-sourced an AI Forecasting Dictionary, which gives precise meanings for important terms, along with examples and non-examples to clarify f"&amp;"urther.")</f>
        <v>One big challenge with forecasting the future is operationalizing key terms unambiguously, so that a question can be resolved when the future actually arrives. Since we'll probably need to forecast many different questions, it's crucial that we make it as easy as possible to create and answer well-operationalized questions. To that end, the authors have created and open-sourced an AI Forecasting Dictionary, which gives precise meanings for important terms, along with examples and non-examples to clarify further.</v>
      </c>
    </row>
    <row r="615">
      <c r="A615" t="str">
        <f>IFERROR(__xludf.DUMMYFUNCTION("""COMPUTED_VALUE"""),"Forecasting")</f>
        <v>Forecasting</v>
      </c>
      <c r="B615" t="str">
        <f>IFERROR(__xludf.DUMMYFUNCTION("""COMPUTED_VALUE"""),"")</f>
        <v/>
      </c>
      <c r="C615" s="3" t="str">
        <f>IFERROR(__xludf.DUMMYFUNCTION("""COMPUTED_VALUE"""),"AI Forecasting Resolution Council ")</f>
        <v>AI Forecasting Resolution Council </v>
      </c>
      <c r="D615" t="str">
        <f>IFERROR(__xludf.DUMMYFUNCTION("""COMPUTED_VALUE"""),"Jacob Lagerros and Ben Goldhaber")</f>
        <v>Jacob Lagerros and Ben Goldhaber</v>
      </c>
      <c r="E615" t="str">
        <f>IFERROR(__xludf.DUMMYFUNCTION("""COMPUTED_VALUE"""),"LessWrong")</f>
        <v>LessWrong</v>
      </c>
      <c r="F615">
        <f>IFERROR(__xludf.DUMMYFUNCTION("""COMPUTED_VALUE"""),2019.0)</f>
        <v>2019</v>
      </c>
      <c r="H615" s="3" t="str">
        <f>IFERROR(__xludf.DUMMYFUNCTION("""COMPUTED_VALUE"""),"AN #65")</f>
        <v>AN #65</v>
      </c>
      <c r="I615" t="str">
        <f>IFERROR(__xludf.DUMMYFUNCTION("""COMPUTED_VALUE"""),"Rohin")</f>
        <v>Rohin</v>
      </c>
      <c r="J615" t="str">
        <f>IFERROR(__xludf.DUMMYFUNCTION("""COMPUTED_VALUE"""),"Even if you operationalize forecasting questions well, often the outcome is determined primarily by factors other than the one you are interested in. For example, progress on a benchmark might be determined more by the number of researchers who try to bea"&amp;"t the benchmark than by improvements in AI capabilities, even though you were trying to measure the latter. To deal with this problem, an AI Forecasting Resolution Council has been set up: now, forecasters can predict what the resolution council will say "&amp;"at some particular time in the future. This allows for questions that get at what we want: in the previous case, we could now forecast how the resolution council will answer the question ""would current methods be able to beat this benchmark"" in 2021.")</f>
        <v>Even if you operationalize forecasting questions well, often the outcome is determined primarily by factors other than the one you are interested in. For example, progress on a benchmark might be determined more by the number of researchers who try to beat the benchmark than by improvements in AI capabilities, even though you were trying to measure the latter. To deal with this problem, an AI Forecasting Resolution Council has been set up: now, forecasters can predict what the resolution council will say at some particular time in the future. This allows for questions that get at what we want: in the previous case, we could now forecast how the resolution council will answer the question "would current methods be able to beat this benchmark" in 2021.</v>
      </c>
    </row>
    <row r="616">
      <c r="A616" t="str">
        <f>IFERROR(__xludf.DUMMYFUNCTION("""COMPUTED_VALUE"""),"Forecasting")</f>
        <v>Forecasting</v>
      </c>
      <c r="B616" t="str">
        <f>IFERROR(__xludf.DUMMYFUNCTION("""COMPUTED_VALUE"""),"")</f>
        <v/>
      </c>
      <c r="C616" s="3" t="str">
        <f>IFERROR(__xludf.DUMMYFUNCTION("""COMPUTED_VALUE"""),"How to write good AI forecasting questions + Question Database ")</f>
        <v>How to write good AI forecasting questions + Question Database </v>
      </c>
      <c r="D616" t="str">
        <f>IFERROR(__xludf.DUMMYFUNCTION("""COMPUTED_VALUE"""),"Jacob Lagerros and Ben Goldhaber")</f>
        <v>Jacob Lagerros and Ben Goldhaber</v>
      </c>
      <c r="E616" t="str">
        <f>IFERROR(__xludf.DUMMYFUNCTION("""COMPUTED_VALUE"""),"LessWrong")</f>
        <v>LessWrong</v>
      </c>
      <c r="F616">
        <f>IFERROR(__xludf.DUMMYFUNCTION("""COMPUTED_VALUE"""),2019.0)</f>
        <v>2019</v>
      </c>
      <c r="H616" s="3" t="str">
        <f>IFERROR(__xludf.DUMMYFUNCTION("""COMPUTED_VALUE"""),"AN #65")</f>
        <v>AN #65</v>
      </c>
      <c r="I616" t="str">
        <f>IFERROR(__xludf.DUMMYFUNCTION("""COMPUTED_VALUE"""),"Rohin")</f>
        <v>Rohin</v>
      </c>
      <c r="J616" t="str">
        <f>IFERROR(__xludf.DUMMYFUNCTION("""COMPUTED_VALUE"""),"As discussed above, operationalization of forecasting questions is hard. This post collects some of the common failure modes, and introduces a database of 76 questions about AI progress that have detailed resolution criteria that will hopefully avoid any "&amp;"pitfalls of operationalization.")</f>
        <v>As discussed above, operationalization of forecasting questions is hard. This post collects some of the common failure modes, and introduces a database of 76 questions about AI progress that have detailed resolution criteria that will hopefully avoid any pitfalls of operationalization.</v>
      </c>
    </row>
    <row r="617">
      <c r="A617" t="str">
        <f>IFERROR(__xludf.DUMMYFUNCTION("""COMPUTED_VALUE"""),"Forecasting")</f>
        <v>Forecasting</v>
      </c>
      <c r="B617" t="str">
        <f>IFERROR(__xludf.DUMMYFUNCTION("""COMPUTED_VALUE"""),"")</f>
        <v/>
      </c>
      <c r="C617" s="3" t="str">
        <f>IFERROR(__xludf.DUMMYFUNCTION("""COMPUTED_VALUE"""),"Historical economic growth trends")</f>
        <v>Historical economic growth trends</v>
      </c>
      <c r="D617" t="str">
        <f>IFERROR(__xludf.DUMMYFUNCTION("""COMPUTED_VALUE"""),"Katja Grace")</f>
        <v>Katja Grace</v>
      </c>
      <c r="E617" t="str">
        <f>IFERROR(__xludf.DUMMYFUNCTION("""COMPUTED_VALUE"""),"AI Impacts")</f>
        <v>AI Impacts</v>
      </c>
      <c r="F617">
        <f>IFERROR(__xludf.DUMMYFUNCTION("""COMPUTED_VALUE"""),2019.0)</f>
        <v>2019</v>
      </c>
      <c r="H617" s="3" t="str">
        <f>IFERROR(__xludf.DUMMYFUNCTION("""COMPUTED_VALUE"""),"AN #52")</f>
        <v>AN #52</v>
      </c>
      <c r="I617" t="str">
        <f>IFERROR(__xludf.DUMMYFUNCTION("""COMPUTED_VALUE"""),"Richard")</f>
        <v>Richard</v>
      </c>
      <c r="J617" t="str">
        <f>IFERROR(__xludf.DUMMYFUNCTION("""COMPUTED_VALUE"""),"Data on historical economic growth ""suggest that (proportional) rates of economic and population growth increase roughly linearly with the size of the world economy and population"", at least from around 0 CE to 1950. However, this trend has not held sin"&amp;"ce 1950 - in fact, growth rates have fallen since then.")</f>
        <v>Data on historical economic growth "suggest that (proportional) rates of economic and population growth increase roughly linearly with the size of the world economy and population", at least from around 0 CE to 1950. However, this trend has not held since 1950 - in fact, growth rates have fallen since then.</v>
      </c>
    </row>
    <row r="618">
      <c r="A618" t="str">
        <f>IFERROR(__xludf.DUMMYFUNCTION("""COMPUTED_VALUE"""),"Forecasting")</f>
        <v>Forecasting</v>
      </c>
      <c r="B618" t="str">
        <f>IFERROR(__xludf.DUMMYFUNCTION("""COMPUTED_VALUE"""),"")</f>
        <v/>
      </c>
      <c r="C618" s="3" t="str">
        <f>IFERROR(__xludf.DUMMYFUNCTION("""COMPUTED_VALUE"""),"AGI-11 Survey")</f>
        <v>AGI-11 Survey</v>
      </c>
      <c r="D618" t="str">
        <f>IFERROR(__xludf.DUMMYFUNCTION("""COMPUTED_VALUE"""),"Justis Mills")</f>
        <v>Justis Mills</v>
      </c>
      <c r="E618" t="str">
        <f>IFERROR(__xludf.DUMMYFUNCTION("""COMPUTED_VALUE"""),"AI Impacts")</f>
        <v>AI Impacts</v>
      </c>
      <c r="F618">
        <f>IFERROR(__xludf.DUMMYFUNCTION("""COMPUTED_VALUE"""),2018.0)</f>
        <v>2018</v>
      </c>
      <c r="H618" s="3" t="str">
        <f>IFERROR(__xludf.DUMMYFUNCTION("""COMPUTED_VALUE"""),"AN #32")</f>
        <v>AN #32</v>
      </c>
      <c r="I618" t="str">
        <f>IFERROR(__xludf.DUMMYFUNCTION("""COMPUTED_VALUE"""),"Rohin")</f>
        <v>Rohin</v>
      </c>
      <c r="J618" t="str">
        <f>IFERROR(__xludf.DUMMYFUNCTION("""COMPUTED_VALUE"""),"A survey of participants in the AGI-11 participants (with 60 respondents out of over 200 registrations) found that 43% thought AGI would appear before 2030, 88% thought it would appear before 2100, and 85% believed it would be beneficial for humankind.")</f>
        <v>A survey of participants in the AGI-11 participants (with 60 respondents out of over 200 registrations) found that 43% thought AGI would appear before 2030, 88% thought it would appear before 2100, and 85% believed it would be beneficial for humankind.</v>
      </c>
      <c r="K618" t="str">
        <f>IFERROR(__xludf.DUMMYFUNCTION("""COMPUTED_VALUE"""),"Note there's a strong selection effect, as AGI is a conference specifically aimed at general intelligence.")</f>
        <v>Note there's a strong selection effect, as AGI is a conference specifically aimed at general intelligence.</v>
      </c>
    </row>
    <row r="619">
      <c r="A619" t="str">
        <f>IFERROR(__xludf.DUMMYFUNCTION("""COMPUTED_VALUE"""),"Forecasting")</f>
        <v>Forecasting</v>
      </c>
      <c r="B619" t="str">
        <f>IFERROR(__xludf.DUMMYFUNCTION("""COMPUTED_VALUE"""),"")</f>
        <v/>
      </c>
      <c r="C619" s="3" t="str">
        <f>IFERROR(__xludf.DUMMYFUNCTION("""COMPUTED_VALUE"""),"Why Is the Human Brain So Efficient?")</f>
        <v>Why Is the Human Brain So Efficient?</v>
      </c>
      <c r="D619" t="str">
        <f>IFERROR(__xludf.DUMMYFUNCTION("""COMPUTED_VALUE"""),"Liqun Luo")</f>
        <v>Liqun Luo</v>
      </c>
      <c r="E619" t="str">
        <f>IFERROR(__xludf.DUMMYFUNCTION("""COMPUTED_VALUE"""),"Nautilus")</f>
        <v>Nautilus</v>
      </c>
      <c r="F619">
        <f>IFERROR(__xludf.DUMMYFUNCTION("""COMPUTED_VALUE"""),2018.0)</f>
        <v>2018</v>
      </c>
      <c r="H619" s="3" t="str">
        <f>IFERROR(__xludf.DUMMYFUNCTION("""COMPUTED_VALUE"""),"AN #7")</f>
        <v>AN #7</v>
      </c>
      <c r="I619" t="str">
        <f>IFERROR(__xludf.DUMMYFUNCTION("""COMPUTED_VALUE"""),"Rohin")</f>
        <v>Rohin</v>
      </c>
      <c r="J619" t="str">
        <f>IFERROR(__xludf.DUMMYFUNCTION("""COMPUTED_VALUE"""),"Overall point for this audience is that, despite how slow and imprecise neuron signals are, the human brain beats computers because of how massively parallel it is.")</f>
        <v>Overall point for this audience is that, despite how slow and imprecise neuron signals are, the human brain beats computers because of how massively parallel it is.</v>
      </c>
    </row>
    <row r="620">
      <c r="A620" t="str">
        <f>IFERROR(__xludf.DUMMYFUNCTION("""COMPUTED_VALUE"""),"Forecasting")</f>
        <v>Forecasting</v>
      </c>
      <c r="B620" t="str">
        <f>IFERROR(__xludf.DUMMYFUNCTION("""COMPUTED_VALUE"""),"")</f>
        <v/>
      </c>
      <c r="C620" s="3" t="str">
        <f>IFERROR(__xludf.DUMMYFUNCTION("""COMPUTED_VALUE"""),"Jeff Hawkins on neuromorphic AGI within 20 years")</f>
        <v>Jeff Hawkins on neuromorphic AGI within 20 years</v>
      </c>
      <c r="D620" t="str">
        <f>IFERROR(__xludf.DUMMYFUNCTION("""COMPUTED_VALUE"""),"steve2152")</f>
        <v>steve2152</v>
      </c>
      <c r="E620" t="str">
        <f>IFERROR(__xludf.DUMMYFUNCTION("""COMPUTED_VALUE"""),"LessWrong")</f>
        <v>LessWrong</v>
      </c>
      <c r="F620">
        <f>IFERROR(__xludf.DUMMYFUNCTION("""COMPUTED_VALUE"""),2019.0)</f>
        <v>2019</v>
      </c>
      <c r="H620" s="3" t="str">
        <f>IFERROR(__xludf.DUMMYFUNCTION("""COMPUTED_VALUE"""),"AN #60")</f>
        <v>AN #60</v>
      </c>
    </row>
    <row r="621">
      <c r="A621" t="str">
        <f>IFERROR(__xludf.DUMMYFUNCTION("""COMPUTED_VALUE"""),"Forecasting")</f>
        <v>Forecasting</v>
      </c>
      <c r="B621" t="str">
        <f>IFERROR(__xludf.DUMMYFUNCTION("""COMPUTED_VALUE"""),"")</f>
        <v/>
      </c>
      <c r="C621" s="3" t="str">
        <f>IFERROR(__xludf.DUMMYFUNCTION("""COMPUTED_VALUE"""),"Double Cruxing the AI Foom debate")</f>
        <v>Double Cruxing the AI Foom debate</v>
      </c>
      <c r="D621" t="str">
        <f>IFERROR(__xludf.DUMMYFUNCTION("""COMPUTED_VALUE"""),"agilecaveman")</f>
        <v>agilecaveman</v>
      </c>
      <c r="E621" t="str">
        <f>IFERROR(__xludf.DUMMYFUNCTION("""COMPUTED_VALUE"""),"LessWrong")</f>
        <v>LessWrong</v>
      </c>
      <c r="F621">
        <f>IFERROR(__xludf.DUMMYFUNCTION("""COMPUTED_VALUE"""),2018.0)</f>
        <v>2018</v>
      </c>
      <c r="H621" s="3" t="str">
        <f>IFERROR(__xludf.DUMMYFUNCTION("""COMPUTED_VALUE"""),"AN #4")</f>
        <v>AN #4</v>
      </c>
      <c r="I621" t="str">
        <f>IFERROR(__xludf.DUMMYFUNCTION("""COMPUTED_VALUE"""),"Rohin")</f>
        <v>Rohin</v>
      </c>
      <c r="J621" t="str">
        <f>IFERROR(__xludf.DUMMYFUNCTION("""COMPUTED_VALUE"""),"")</f>
        <v/>
      </c>
      <c r="K621" t="str">
        <f>IFERROR(__xludf.DUMMYFUNCTION("""COMPUTED_VALUE"""),"")</f>
        <v/>
      </c>
      <c r="M621" t="str">
        <f>IFERROR(__xludf.DUMMYFUNCTION("""COMPUTED_VALUE"""),"[Will AI See Sudden Progress?](https://www.lesserwrong.com/posts/AJtfNyBsum6ZzWxKR/will-ai-see-sudden-progress), [Takeoff speeds](https://sideways-view.com/2018/02/24/takeoff-speeds/) and [The Hanson-Yudkowsky AI-Foom Debate](https://intelligence.org/ai-f"&amp;"oom-debate/)")</f>
        <v>[Will AI See Sudden Progress?](https://www.lesserwrong.com/posts/AJtfNyBsum6ZzWxKR/will-ai-see-sudden-progress), [Takeoff speeds](https://sideways-view.com/2018/02/24/takeoff-speeds/) and [The Hanson-Yudkowsky AI-Foom Debate](https://intelligence.org/ai-foom-debate/)</v>
      </c>
    </row>
    <row r="622">
      <c r="A622" t="str">
        <f>IFERROR(__xludf.DUMMYFUNCTION("""COMPUTED_VALUE"""),"Handling groups of agents")</f>
        <v>Handling groups of agents</v>
      </c>
      <c r="B622" t="str">
        <f>IFERROR(__xludf.DUMMYFUNCTION("""COMPUTED_VALUE"""),"Highlight")</f>
        <v>Highlight</v>
      </c>
      <c r="C622" s="3" t="str">
        <f>IFERROR(__xludf.DUMMYFUNCTION("""COMPUTED_VALUE"""),"Legible Normativity for AI Alignment: The Value of Silly Rules")</f>
        <v>Legible Normativity for AI Alignment: The Value of Silly Rules</v>
      </c>
      <c r="D622" t="str">
        <f>IFERROR(__xludf.DUMMYFUNCTION("""COMPUTED_VALUE"""),"Dylan Hadfield-Menell, McKane Andrus, Gillian K. Hadfield")</f>
        <v>Dylan Hadfield-Menell, McKane Andrus, Gillian K. Hadfield</v>
      </c>
      <c r="E622" t="str">
        <f>IFERROR(__xludf.DUMMYFUNCTION("""COMPUTED_VALUE"""),"arXiv")</f>
        <v>arXiv</v>
      </c>
      <c r="F622">
        <f>IFERROR(__xludf.DUMMYFUNCTION("""COMPUTED_VALUE"""),2018.0)</f>
        <v>2018</v>
      </c>
      <c r="H622" s="3" t="str">
        <f>IFERROR(__xludf.DUMMYFUNCTION("""COMPUTED_VALUE"""),"AN #37")</f>
        <v>AN #37</v>
      </c>
      <c r="I622" t="str">
        <f>IFERROR(__xludf.DUMMYFUNCTION("""COMPUTED_VALUE"""),"Rohin")</f>
        <v>Rohin</v>
      </c>
      <c r="J622" t="str">
        <f>IFERROR(__xludf.DUMMYFUNCTION("""COMPUTED_VALUE"""),"One issue we might have with value learning is that our AI system might look at ""silly rules"" and infer that we care about them deeply. For example, we often enforce dress codes through social punishments. Given that dress codes do not have much functio"&amp;"nal purpose and yet we enforce them, should an AI system infer that we care about dress codes as much as we care about (say) property rights? This paper claims that these ""silly rules"" should be interpreted as a coordination mechanism that allows group "&amp;"members to learn whether or not the group rules will be enforced by neutral third parties. For example, if I violate the dress code, no one is significantly harmed but I would be punished anyway -- and this can give everyone confidence that if I were to b"&amp;"reak an important rule, such as stealing someone's wallet, _bystanders_ would punish me by reporting me to the police, even though they are not affected by my actions and it is a cost to them to report me.
They formalize this using a model with a pool of"&amp;" agents that can choose to be part of a group. Agents in the group play ""important"" games and ""silly"" games. In any game, there is a scofflaw, a victim, and a bystander. In an important game, if the bystander would punish any rule violations, then the"&amp;" scofflaw follows the rule and the victim gets +1 utility, but if the bystander would not punish the violation, the scofflaw breaks the rule and the victim gets -1 utility. Note that in order to signal that they would punish, bystanders must pay a cost of"&amp;" c. A silly game works the same way, except the victim always gets 0 utility. Given a set of important rules, the main quantity of interest is how many silly rules to add. The authors quantify this by considering the _proportion_ of all games that are sil"&amp;"ly games, which they call the density. Since we are imagining _adding_ silly rules, all outcomes are measured with respect to the number of _important_ games. We can think of this as a proxy for time, and indeed the authors call the expected number of gam"&amp;"es till an important game a _timestep_.
Now, for important games the expected utility to the victim is positive if the probability that the bystander is a punisher is greater than 0.5. So, each of the agents cares about estimating this probability in ord"&amp;"er to decide whether or not to stay in the group. Now, if we only had important games, we would have a single game per timestep, and we would only learn whether one particular agent is a punisher. As we add more silly games, we get more games per timestep"&amp;", and so we can learn much more quickly the proportion of punishers, which leads to more stable groups. However, the silly rules are not free. The authors prove that if they _are_ free, then we keep adding silly rules and the density would approach 1. (Mo"&amp;"re precisely, they show that as density goes to 1, the value of being told the true probability of punishment goes to 0, meaning that the agent already knows everything.)
They then show experimental results showing a few things. When the agents are relat"&amp;"ively certain of the probability of an agent being a punisher, then silly rules are not very useful and the group is more likely to collapse (since the cost of enforcing the silly rules starts to be important). Second, as long as c is low (so it is easy t"&amp;"o signal that you will enforce rules), then groups with more silly rules will be more resilient to shocks in individual's beliefs about the proportion of punishers, since they will very quickly converge to the right belief. If there aren't any silly rules"&amp;" it can take more time and your estimate might be incorrectly low enough that you decide to leave the group even though group membership is still net positive. Finally, if the proportion of punishers drops below 0.5, making group membership net negative, "&amp;"agents in groups with high density will learn this faster, and their groups will disband much sooner.")</f>
        <v>One issue we might have with value learning is that our AI system might look at "silly rules" and infer that we care about them deeply. For example, we often enforce dress codes through social punishments. Given that dress codes do not have much functional purpose and yet we enforce them, should an AI system infer that we care about dress codes as much as we care about (say) property rights? This paper claims that these "silly rules" should be interpreted as a coordination mechanism that allows group members to learn whether or not the group rules will be enforced by neutral third parties. For example, if I violate the dress code, no one is significantly harmed but I would be punished anyway -- and this can give everyone confidence that if I were to break an important rule, such as stealing someone's wallet, _bystanders_ would punish me by reporting me to the police, even though they are not affected by my actions and it is a cost to them to report me.
They formalize this using a model with a pool of agents that can choose to be part of a group. Agents in the group play "important" games and "silly" games. In any game, there is a scofflaw, a victim, and a bystander. In an important game, if the bystander would punish any rule violations, then the scofflaw follows the rule and the victim gets +1 utility, but if the bystander would not punish the violation, the scofflaw breaks the rule and the victim gets -1 utility. Note that in order to signal that they would punish, bystanders must pay a cost of c. A silly game works the same way, except the victim always gets 0 utility. Given a set of important rules, the main quantity of interest is how many silly rules to add. The authors quantify this by considering the _proportion_ of all games that are silly games, which they call the density. Since we are imagining _adding_ silly rules, all outcomes are measured with respect to the number of _important_ games. We can think of this as a proxy for time, and indeed the authors call the expected number of games till an important game a _timestep_.
Now, for important games the expected utility to the victim is positive if the probability that the bystander is a punisher is greater than 0.5. So, each of the agents cares about estimating this probability in order to decide whether or not to stay in the group. Now, if we only had important games, we would have a single game per timestep, and we would only learn whether one particular agent is a punisher. As we add more silly games, we get more games per timestep, and so we can learn much more quickly the proportion of punishers, which leads to more stable groups. However, the silly rules are not free. The authors prove that if they _are_ free, then we keep adding silly rules and the density would approach 1. (More precisely, they show that as density goes to 1, the value of being told the true probability of punishment goes to 0, meaning that the agent already knows everything.)
They then show experimental results showing a few things. When the agents are relatively certain of the probability of an agent being a punisher, then silly rules are not very useful and the group is more likely to collapse (since the cost of enforcing the silly rules starts to be important). Second, as long as c is low (so it is easy to signal that you will enforce rules), then groups with more silly rules will be more resilient to shocks in individual's beliefs about the proportion of punishers, since they will very quickly converge to the right belief. If there aren't any silly rules it can take more time and your estimate might be incorrectly low enough that you decide to leave the group even though group membership is still net positive. Finally, if the proportion of punishers drops below 0.5, making group membership net negative, agents in groups with high density will learn this faster, and their groups will disband much sooner.</v>
      </c>
      <c r="K622" t="str">
        <f>IFERROR(__xludf.DUMMYFUNCTION("""COMPUTED_VALUE"""),"I really like this paper, it's a great concrete example of how systems of agents can have very different behavior than any one individual agent _even if_ each of the agents have similar goals. The idea makes intuitive sense and I think the model captures "&amp;"its salient aspects. There are definitely many quibbles you could make with the model (though perhaps it is the standard model, I don't know this field), but I don't think they're important. My perspective is that the model is a particularly clear and pre"&amp;"cise way of communicating the effect that the authors are describing, as opposed to something that is supposed to track reality closely.")</f>
        <v>I really like this paper, it's a great concrete example of how systems of agents can have very different behavior than any one individual agent _even if_ each of the agents have similar goals. The idea makes intuitive sense and I think the model captures its salient aspects. There are definitely many quibbles you could make with the model (though perhaps it is the standard model, I don't know this field), but I don't think they're important. My perspective is that the model is a particularly clear and precise way of communicating the effect that the authors are describing, as opposed to something that is supposed to track reality closely.</v>
      </c>
    </row>
    <row r="623">
      <c r="A623" t="str">
        <f>IFERROR(__xludf.DUMMYFUNCTION("""COMPUTED_VALUE"""),"Handling groups of agents")</f>
        <v>Handling groups of agents</v>
      </c>
      <c r="B623" t="str">
        <f>IFERROR(__xludf.DUMMYFUNCTION("""COMPUTED_VALUE"""),"Highlight")</f>
        <v>Highlight</v>
      </c>
      <c r="C623" t="str">
        <f>IFERROR(__xludf.DUMMYFUNCTION("""COMPUTED_VALUE"""),"[A voting theory primer for rationalists](https://www.lesswrong.com/posts/D6trAzh6DApKPhbv4/a-voting-theory-primer-for-rationalists) and [5 voting pathologies: lesser names of Moloch](https://www.lesswrong.com/posts/4vEFX6EPpdQZfqnnS/5-voting-pathologies-"&amp;"lesser-names-of-moloch)")</f>
        <v>[A voting theory primer for rationalists](https://www.lesswrong.com/posts/D6trAzh6DApKPhbv4/a-voting-theory-primer-for-rationalists) and [5 voting pathologies: lesser names of Moloch](https://www.lesswrong.com/posts/4vEFX6EPpdQZfqnnS/5-voting-pathologies-lesser-names-of-moloch)</v>
      </c>
      <c r="D623" t="str">
        <f>IFERROR(__xludf.DUMMYFUNCTION("""COMPUTED_VALUE"""),"Jameson Quinn")</f>
        <v>Jameson Quinn</v>
      </c>
      <c r="E623" t="str">
        <f>IFERROR(__xludf.DUMMYFUNCTION("""COMPUTED_VALUE"""),"LessWrong")</f>
        <v>LessWrong</v>
      </c>
      <c r="F623">
        <f>IFERROR(__xludf.DUMMYFUNCTION("""COMPUTED_VALUE"""),2018.0)</f>
        <v>2018</v>
      </c>
      <c r="H623" s="3" t="str">
        <f>IFERROR(__xludf.DUMMYFUNCTION("""COMPUTED_VALUE"""),"AN #2")</f>
        <v>AN #2</v>
      </c>
      <c r="I623" t="str">
        <f>IFERROR(__xludf.DUMMYFUNCTION("""COMPUTED_VALUE"""),"Rohin")</f>
        <v>Rohin</v>
      </c>
      <c r="J623" t="str">
        <f>IFERROR(__xludf.DUMMYFUNCTION("""COMPUTED_VALUE"""),"Voting theory, or social choice theory, studies voting methods, which take a set of preferences over outcomes from voters, and decides which outcome should occur. The field is littered with impossibility results and difficult problems that are hard to res"&amp;"olve, but there are voting methods that do reasonably well in practice. The second post elaborates more on the 5 problems that are hard to resolve.")</f>
        <v>Voting theory, or social choice theory, studies voting methods, which take a set of preferences over outcomes from voters, and decides which outcome should occur. The field is littered with impossibility results and difficult problems that are hard to resolve, but there are voting methods that do reasonably well in practice. The second post elaborates more on the 5 problems that are hard to resolve.</v>
      </c>
      <c r="K623" t="str">
        <f>IFERROR(__xludf.DUMMYFUNCTION("""COMPUTED_VALUE"""),"A major challenge for an AI would be to figure out how to aggregate preferences across humans. This is not necessarily a problem that we have to solve immediately -- it's possible that we build an AI that mimics what we do initially and then develops its "&amp;"own theory of voting. However, if you are doing any kind of reward learning (such as inverse reinforcement learning), you will have to confront this problem head on. This article points out a lot of problems that we would have to be aware of in this case."&amp;" The solutions seem less likely to transfer, because they are optimized for a different scenario (such as presidential elections).
A few months ago I was looking into social choice theory for this reason, and it took me a few hours to get to an understand"&amp;"ing of maybe a quarter of the content in these articles, so I really recommend not doing that and instead just reading these articles.")</f>
        <v>A major challenge for an AI would be to figure out how to aggregate preferences across humans. This is not necessarily a problem that we have to solve immediately -- it's possible that we build an AI that mimics what we do initially and then develops its own theory of voting. However, if you are doing any kind of reward learning (such as inverse reinforcement learning), you will have to confront this problem head on. This article points out a lot of problems that we would have to be aware of in this case. The solutions seem less likely to transfer, because they are optimized for a different scenario (such as presidential elections).
A few months ago I was looking into social choice theory for this reason, and it took me a few hours to get to an understanding of maybe a quarter of the content in these articles, so I really recommend not doing that and instead just reading these articles.</v>
      </c>
      <c r="M623" t="str">
        <f>IFERROR(__xludf.DUMMYFUNCTION("""COMPUTED_VALUE"""),"Will MacAskill's PhD thesis, [Normative Uncertainty](http://commonsenseatheism.com/wp-content/uploads/2014/03/MacAskill-Normative-Uncertainty.pdf), considers how to combine different moral theories that have different preferences over world states.")</f>
        <v>Will MacAskill's PhD thesis, [Normative Uncertainty](http://commonsenseatheism.com/wp-content/uploads/2014/03/MacAskill-Normative-Uncertainty.pdf), considers how to combine different moral theories that have different preferences over world states.</v>
      </c>
    </row>
    <row r="624">
      <c r="A624" t="str">
        <f>IFERROR(__xludf.DUMMYFUNCTION("""COMPUTED_VALUE"""),"Handling groups of agents")</f>
        <v>Handling groups of agents</v>
      </c>
      <c r="B624" t="str">
        <f>IFERROR(__xludf.DUMMYFUNCTION("""COMPUTED_VALUE"""),"Highlight")</f>
        <v>Highlight</v>
      </c>
      <c r="C624" s="3" t="str">
        <f>IFERROR(__xludf.DUMMYFUNCTION("""COMPUTED_VALUE"""),"Collaborating with Humans without Human Data")</f>
        <v>Collaborating with Humans without Human Data</v>
      </c>
      <c r="D624" t="str">
        <f>IFERROR(__xludf.DUMMYFUNCTION("""COMPUTED_VALUE"""),"DJ Strouse, Kevin R. McKee, Matt Botvinick, Edward Hughes, Richard Everett")</f>
        <v>DJ Strouse, Kevin R. McKee, Matt Botvinick, Edward Hughes, Richard Everett</v>
      </c>
      <c r="E624" t="str">
        <f>IFERROR(__xludf.DUMMYFUNCTION("""COMPUTED_VALUE"""),"arXiv")</f>
        <v>arXiv</v>
      </c>
      <c r="F624">
        <f>IFERROR(__xludf.DUMMYFUNCTION("""COMPUTED_VALUE"""),2021.0)</f>
        <v>2021</v>
      </c>
      <c r="H624" s="3" t="str">
        <f>IFERROR(__xludf.DUMMYFUNCTION("""COMPUTED_VALUE"""),"AN #169")</f>
        <v>AN #169</v>
      </c>
      <c r="I624" t="str">
        <f>IFERROR(__xludf.DUMMYFUNCTION("""COMPUTED_VALUE"""),"Rohin")</f>
        <v>Rohin</v>
      </c>
      <c r="J624" t="str">
        <f>IFERROR(__xludf.DUMMYFUNCTION("""COMPUTED_VALUE"""),"We’ve previously seen that if you want to collaborate with humans in the video game Overcooked, &lt;@it helps to train a deep RL agent against a human model@&gt;(@Collaborating with Humans Requires Understanding Them@), so that the agent “expects” to be playing"&amp;" against humans (rather than e.g. copies of itself, as in self-play). We might call this a “human-aware” model. However, since a human-aware model must be trained against a model that imitates human gameplay, we need to collect human gameplay data for tra"&amp;"ining. Could we instead train an agent that is robust enough to play with lots of different agents, including humans as a special case?
This paper shows that this can be done with **Fictitious Co-Play** (FCP), in which we train our final agent against a "&amp;"population of self-play agents and their past checkpoints taken throughout training. Such agents get significantly higher rewards when collaborating with humans in Overcooked (relative to the human-aware approach in the previously linked paper).
In their"&amp;" ablations, the authors find that it is particularly important to include past checkpoints in the population against which you train. They also test whether it helps to have the self-play agents have a variety of architectures, and find that it mostly doe"&amp;"s not make a difference (as long as you are using past checkpoints as well).")</f>
        <v>We’ve previously seen that if you want to collaborate with humans in the video game Overcooked, &lt;@it helps to train a deep RL agent against a human model@&gt;(@Collaborating with Humans Requires Understanding Them@), so that the agent “expects” to be playing against humans (rather than e.g. copies of itself, as in self-play). We might call this a “human-aware” model. However, since a human-aware model must be trained against a model that imitates human gameplay, we need to collect human gameplay data for training. Could we instead train an agent that is robust enough to play with lots of different agents, including humans as a special case?
This paper shows that this can be done with **Fictitious Co-Play** (FCP), in which we train our final agent against a population of self-play agents and their past checkpoints taken throughout training. Such agents get significantly higher rewards when collaborating with humans in Overcooked (relative to the human-aware approach in the previously linked paper).
In their ablations, the authors find that it is particularly important to include past checkpoints in the population against which you train. They also test whether it helps to have the self-play agents have a variety of architectures, and find that it mostly does not make a difference (as long as you are using past checkpoints as well).</v>
      </c>
      <c r="K624" t="str">
        <f>IFERROR(__xludf.DUMMYFUNCTION("""COMPUTED_VALUE"""),"You could imagine two different philosophies on how to build AI systems -- the first option is to train them on the actual task of interest (for Overcooked, training agents to play against humans or human models), while the second option is to train a mor"&amp;"e robust agent on some more general task that hopefully includes the actual task within it (the approach in this paper). Besides Overcooked, another example would be supervised learning on some natural language task (the first philosophy), as compared to "&amp;"pretraining on the Internet GPT-style and then prompting the model to solve your task of interest (the second philosophy). In some sense the quest for a single unified AGI system is itself a bet on the second philosophy -- first you build your AGI that ca"&amp;"n do all tasks, and then you point it at the specific task you want to do now.
Historically, I think AI has focused primarily on the first philosophy, but recent years have shown the power of the second philosophy. However, I don’t think the question is "&amp;"settled yet: one issue with the second philosophy is that it is often difficult to fully “aim” your system at the true task of interest, and as a result it doesn’t perform as well as it “could have”. In Overcooked, the FCP agents will not learn specific q"&amp;"uirks of human gameplay that could be exploited to improve efficiency (which the human-aware agent could do, at least in theory). In natural language, even if you prompt GPT-3 appropriately, there’s still some chance it ends up rambling about something el"&amp;"se entirely, or neglects to mention some information that it “knows” but that a human on the Internet would not have said. (See also &lt;@this post@&gt;(@The case for aligning narrowly superhuman models@).)
I should note that you can also have a hybrid approac"&amp;"h, where you start by training a large model with the second philosophy, and then you finetune it on your task of interest as in the first philosophy, gaining the benefits of both.
I’m generally interested in which approach will build more useful agents,"&amp;" as this seems quite relevant to forecasting the future of AI (which in turn affects lots of things including AI alignment plans).")</f>
        <v>You could imagine two different philosophies on how to build AI systems -- the first option is to train them on the actual task of interest (for Overcooked, training agents to play against humans or human models), while the second option is to train a more robust agent on some more general task that hopefully includes the actual task within it (the approach in this paper). Besides Overcooked, another example would be supervised learning on some natural language task (the first philosophy), as compared to pretraining on the Internet GPT-style and then prompting the model to solve your task of interest (the second philosophy). In some sense the quest for a single unified AGI system is itself a bet on the second philosophy -- first you build your AGI that can do all tasks, and then you point it at the specific task you want to do now.
Historically, I think AI has focused primarily on the first philosophy, but recent years have shown the power of the second philosophy. However, I don’t think the question is settled yet: one issue with the second philosophy is that it is often difficult to fully “aim” your system at the true task of interest, and as a result it doesn’t perform as well as it “could have”. In Overcooked, the FCP agents will not learn specific quirks of human gameplay that could be exploited to improve efficiency (which the human-aware agent could do, at least in theory). In natural language, even if you prompt GPT-3 appropriately, there’s still some chance it ends up rambling about something else entirely, or neglects to mention some information that it “knows” but that a human on the Internet would not have said. (See also &lt;@this post@&gt;(@The case for aligning narrowly superhuman models@).)
I should note that you can also have a hybrid approach, where you start by training a large model with the second philosophy, and then you finetune it on your task of interest as in the first philosophy, gaining the benefits of both.
I’m generally interested in which approach will build more useful agents, as this seems quite relevant to forecasting the future of AI (which in turn affects lots of things including AI alignment plans).</v>
      </c>
      <c r="M624" s="3" t="str">
        <f>IFERROR(__xludf.DUMMYFUNCTION("""COMPUTED_VALUE"""),"Related paper: Maximum Entropy Population Based Training for Zero-Shot Human-AI Coordination")</f>
        <v>Related paper: Maximum Entropy Population Based Training for Zero-Shot Human-AI Coordination</v>
      </c>
    </row>
    <row r="625">
      <c r="A625" t="str">
        <f>IFERROR(__xludf.DUMMYFUNCTION("""COMPUTED_VALUE"""),"Handling groups of agents")</f>
        <v>Handling groups of agents</v>
      </c>
      <c r="B625" t="str">
        <f>IFERROR(__xludf.DUMMYFUNCTION("""COMPUTED_VALUE"""),"Highlight")</f>
        <v>Highlight</v>
      </c>
      <c r="C625" s="3" t="str">
        <f>IFERROR(__xludf.DUMMYFUNCTION("""COMPUTED_VALUE"""),"Cooperative AI: machines must learn to find common ground")</f>
        <v>Cooperative AI: machines must learn to find common ground</v>
      </c>
      <c r="D625" t="str">
        <f>IFERROR(__xludf.DUMMYFUNCTION("""COMPUTED_VALUE"""),"Allan Dafoe, Yoram Bachrach, Gillian Hadfield, Eric Horvitz, Kate Larson, Thore Graepel")</f>
        <v>Allan Dafoe, Yoram Bachrach, Gillian Hadfield, Eric Horvitz, Kate Larson, Thore Graepel</v>
      </c>
      <c r="E625" t="str">
        <f>IFERROR(__xludf.DUMMYFUNCTION("""COMPUTED_VALUE"""),"Nature Comment")</f>
        <v>Nature Comment</v>
      </c>
      <c r="F625">
        <f>IFERROR(__xludf.DUMMYFUNCTION("""COMPUTED_VALUE"""),2021.0)</f>
        <v>2021</v>
      </c>
      <c r="H625" s="3" t="str">
        <f>IFERROR(__xludf.DUMMYFUNCTION("""COMPUTED_VALUE"""),"AN #150")</f>
        <v>AN #150</v>
      </c>
      <c r="I625" t="str">
        <f>IFERROR(__xludf.DUMMYFUNCTION("""COMPUTED_VALUE"""),"Rohin")</f>
        <v>Rohin</v>
      </c>
      <c r="J625" t="str">
        <f>IFERROR(__xludf.DUMMYFUNCTION("""COMPUTED_VALUE"""),"This short piece argues that rather than building autonomous AI systems (which typically involves a non-social environment), we should instead work on building AI systems that are able to promote mutually beneficial joint action, that is, we should work o"&amp;"n &lt;@Cooperative AI@&gt;(@Open Problems in Cooperative AI@). This can be separated into three main categories:
1. AI-AI cooperation: Here, two AI systems must cooperate with each other. Think for example of games like Hanabi or Diplomacy.
2. AI-human coopera"&amp;"tion: This setting involves an AI system that must understand and work with a human. &lt;@Assistance games@&gt;(@Human Compatible: Artificial Intelligence and the Problem of Control@) are a central example. When there are multiple humans, it becomes important f"&amp;"or our AI system to understand norms and institutions as well.
3. Human-human cooperation: Here, AI systems are used to enhance cooperation between humans. For example, machine translation helps people who speak different languages cooperate with each oth"&amp;"er.
There is now a new nonprofit, the [Cooperative AI Foundation](https://www.cooperativeai.com/foundation), that supports research on these topics.")</f>
        <v>This short piece argues that rather than building autonomous AI systems (which typically involves a non-social environment), we should instead work on building AI systems that are able to promote mutually beneficial joint action, that is, we should work on &lt;@Cooperative AI@&gt;(@Open Problems in Cooperative AI@). This can be separated into three main categories:
1. AI-AI cooperation: Here, two AI systems must cooperate with each other. Think for example of games like Hanabi or Diplomacy.
2. AI-human cooperation: This setting involves an AI system that must understand and work with a human. &lt;@Assistance games@&gt;(@Human Compatible: Artificial Intelligence and the Problem of Control@) are a central example. When there are multiple humans, it becomes important for our AI system to understand norms and institutions as well.
3. Human-human cooperation: Here, AI systems are used to enhance cooperation between humans. For example, machine translation helps people who speak different languages cooperate with each other.
There is now a new nonprofit, the [Cooperative AI Foundation](https://www.cooperativeai.com/foundation), that supports research on these topics.</v>
      </c>
      <c r="K625" t="str">
        <f>IFERROR(__xludf.DUMMYFUNCTION("""COMPUTED_VALUE"""),"I think there are three main sources of impact of this agenda from an x-risk perspective:
1. If an AI system has better agent-agnostic cooperative intelligence, it should be less likely to fall into “traps” of multiagent situations, such as &lt;@conflict, ba"&amp;"rgaining failures@&gt;(@Cooperation, Conflict, and Transformative Artificial Intelligence: A Research Agenda@), or &lt;@commitment races@&gt;(@The ""Commitment Races"" problem@).
2. If an AI system has better human-specific cooperative intelligence, it should be e"&amp;"asier to (a) align that system with a human principal and (b) have that system cooperate with other humans (besides its principal).
3. If an AI system promotes cooperation between other agents (including humans), that seems to help with a variety of other"&amp;" major global problems, such as biorisk, nuclear war, and climate change.
I agree that all three of these things, if achieved, would make the world better in expectation (though see &lt;@here@&gt;(@Thoughts on Human Models@) for some arguments against). I feel"&amp;" best about (3), because it seems to have the largest surface area for improvement. In fact, (1) and (2) are almost special cases of (3), in which the AI system improves cooperation by being one of the agents that is cooperating with others (presumably on"&amp;" behalf of some human principal who wouldn't have done as good a job).
I am more uncertain about how best to achieve the goals laid out in (1) - (3). The article promotes multiagent reinforcement learning (MARL) for goal (1), which I think is plausible b"&amp;"ut not obvious: I could imagine that it would be better to (say) pretrain a large language model and then finetune it to be cooperative using human judgments. Within the Cooperative AI paradigm, I’m most excited about figuring out the best research bets t"&amp;"o make in order to achieve the three goals above. The authors are very interested in finding others to help with this.")</f>
        <v>I think there are three main sources of impact of this agenda from an x-risk perspective:
1. If an AI system has better agent-agnostic cooperative intelligence, it should be less likely to fall into “traps” of multiagent situations, such as &lt;@conflict, bargaining failures@&gt;(@Cooperation, Conflict, and Transformative Artificial Intelligence: A Research Agenda@), or &lt;@commitment races@&gt;(@The "Commitment Races" problem@).
2. If an AI system has better human-specific cooperative intelligence, it should be easier to (a) align that system with a human principal and (b) have that system cooperate with other humans (besides its principal).
3. If an AI system promotes cooperation between other agents (including humans), that seems to help with a variety of other major global problems, such as biorisk, nuclear war, and climate change.
I agree that all three of these things, if achieved, would make the world better in expectation (though see &lt;@here@&gt;(@Thoughts on Human Models@) for some arguments against). I feel best about (3), because it seems to have the largest surface area for improvement. In fact, (1) and (2) are almost special cases of (3), in which the AI system improves cooperation by being one of the agents that is cooperating with others (presumably on behalf of some human principal who wouldn't have done as good a job).
I am more uncertain about how best to achieve the goals laid out in (1) - (3). The article promotes multiagent reinforcement learning (MARL) for goal (1), which I think is plausible but not obvious: I could imagine that it would be better to (say) pretrain a large language model and then finetune it to be cooperative using human judgments. Within the Cooperative AI paradigm, I’m most excited about figuring out the best research bets to make in order to achieve the three goals above. The authors are very interested in finding others to help with this.</v>
      </c>
      <c r="M625" t="str">
        <f>IFERROR(__xludf.DUMMYFUNCTION("""COMPUTED_VALUE"""),"[Import AI #248](https://jack-clark.net/2021/05/10/import-ai-248-googles-megascale-speech-rec-system-dynabench-aims-to-solve-nlp-benchmarking-worries-australian-government-increases-ai-funding/)")</f>
        <v>[Import AI #248](https://jack-clark.net/2021/05/10/import-ai-248-googles-megascale-speech-rec-system-dynabench-aims-to-solve-nlp-benchmarking-worries-australian-government-increases-ai-funding/)</v>
      </c>
    </row>
    <row r="626">
      <c r="A626" t="str">
        <f>IFERROR(__xludf.DUMMYFUNCTION("""COMPUTED_VALUE"""),"Handling groups of agents")</f>
        <v>Handling groups of agents</v>
      </c>
      <c r="B626" t="str">
        <f>IFERROR(__xludf.DUMMYFUNCTION("""COMPUTED_VALUE"""),"Highlight")</f>
        <v>Highlight</v>
      </c>
      <c r="C626" s="3" t="str">
        <f>IFERROR(__xludf.DUMMYFUNCTION("""COMPUTED_VALUE"""),"Open Problems in Cooperative AI")</f>
        <v>Open Problems in Cooperative AI</v>
      </c>
      <c r="D626" t="str">
        <f>IFERROR(__xludf.DUMMYFUNCTION("""COMPUTED_VALUE"""),"Allan Dafoe, Edward Hughes, Yoram Bachrach, Tantum Collins, Kevin R. McKee, Joel Z. Leibo, Kate Larson, Thore Graepel")</f>
        <v>Allan Dafoe, Edward Hughes, Yoram Bachrach, Tantum Collins, Kevin R. McKee, Joel Z. Leibo, Kate Larson, Thore Graepel</v>
      </c>
      <c r="E626" t="str">
        <f>IFERROR(__xludf.DUMMYFUNCTION("""COMPUTED_VALUE"""),"arXiv")</f>
        <v>arXiv</v>
      </c>
      <c r="F626">
        <f>IFERROR(__xludf.DUMMYFUNCTION("""COMPUTED_VALUE"""),2020.0)</f>
        <v>2020</v>
      </c>
      <c r="H626" s="3" t="str">
        <f>IFERROR(__xludf.DUMMYFUNCTION("""COMPUTED_VALUE"""),"AN #133")</f>
        <v>AN #133</v>
      </c>
      <c r="I626" t="str">
        <f>IFERROR(__xludf.DUMMYFUNCTION("""COMPUTED_VALUE"""),"Flo")</f>
        <v>Flo</v>
      </c>
      <c r="J626" t="str">
        <f>IFERROR(__xludf.DUMMYFUNCTION("""COMPUTED_VALUE"""),"Cooperation can often lead to better outcomes for everyone involved and some progress in AI, like improved machine translation or smart contracts, can make cooperation easier. On the other hand, as AI agents will likely become more and more important, it "&amp;"is crucial they can cooperate with each other and with humans. The term **cooperative AI** combines these perspectives and refers to ""AI research trying to help individuals, humans and machines, to find ways to improve their joint welfare"". While previo"&amp;"us AI research has focused on individual intelligence of artificial agents, more work on social intelligence and cooperative capabilities is needed. The paper provides an overview of research relevant to cooperative AI from a wide range of disciplines and"&amp;" aims to facilitate more interdisciplinary conversations about cooperative AI by providing a common framework and vocabulary. 
Research on cooperative opportunities, situations in which gains from cooperation are possible, can differ along four major dim"&amp;"ensions: 
1) How much do interests overlap or conflict? 
2) What kind of agents are involved? (Humans, machines, organizations)
3) What perspective is taken: the perspective of an individual trying to cooperate or a social planner trying to incentivize co"&amp;"operation?
4) What is the scope and how interdisciplinary should research be?
Four types of capabilities can be crucial for cooperation:  
1) Understanding: In cases where cooperation is optimal for all parties, with no incentive to deviate, but agents l"&amp;"ack understanding of either the environment or one another, they may still fail to reach a cooperative equilibrium. For example, one agent might have false beliefs about the others' beliefs and preferences and thus their incentive for defection. This is p"&amp;"articularly hard to get around, because (1) preferences might not be defined explicitly or might even be incoherent; (2) there might be incentives to misrepresent preferences; and (3) the recursive nature of beliefs about other agents' beliefs may be chal"&amp;"lenging to handle.
2) Communication: In other cases, like the Stag Hunt game, there are multiple equilibria but agents' incentives are mostly aligned. Still, a lack of communicative abilities or common ground to interpret each other's messages can lead to"&amp;" agents converging to a suboptimal equilibrium. This is complicated further by constraints like limited bandwidth, high latency, or compatibility with human forms of communication. 
3) Commitment: While communication helps when incentives are mostly align"&amp;"ed, in games like Chicken where some equilibria clearly favour one agent, communication alone is insufficient as agents have incentive to lie. In some cases, these problems can be circumvented using costly signals. However, often some form of credible com"&amp;"mitment device to ensure cooperation, or at least truth-telling, is needed. Such commitment devices can enable unconditional (""I won't defect"") or conditional (""I won't defect if you won't"") and unilateral or multilateral commitments that require mult"&amp;"iple actors to consent but bind them all. While unilateral unconditional commitments are most accessible, other forms can be a lot more powerful enablers of cooperation. Mechanisms that could be useful for these more powerful commitments include reputatio"&amp;"n, delegation to a trusted third party and (smart) contracts.
4) Institutions: In some games like the Prisoner's Dilemma, defection is a dominant strategy for all players, even if they would all be better off with mutual cooperation. In such situations, c"&amp;"hanging the rules of the game to align incentives and facilitate cooperation can make everyone better off, for example by linking different games (as done with the Iterated Prisoner's Dilemma) or introducing institutions. Institutions can be decentralized"&amp;" and entail (sometimes implicit) enforcement by players (norms, conventions, trust and reputation) or involve a centralized enforcing authority. The study of centralized institutions can draw on the literature in social choice theory, fairness, and mechan"&amp;"ism design.
Lastly, the authors list potential downsides that better cooperative capabilities could have: While they increase the welfare of the cooperating agents, this might be at the cost of other agents. For example, better cooperation between crimin"&amp;"als would likely be bad for society. Similarly, cooperation can undermine prosocial competition at the expense of society, as seen in the example of cartels. On the other hand, a better understanding of the world and others' preferences makes it easier to"&amp;" threaten others efficiently and coercive capabilities greatly benefit from credible conditional commitments to carry out a threat. Furthermore, coercive capabilities might be important for stabilizing cooperation as in the case of punishing defectors. La"&amp;"stly, powerful bad actors can use more efficient institutions to serve their own antisocial goals.")</f>
        <v>Cooperation can often lead to better outcomes for everyone involved and some progress in AI, like improved machine translation or smart contracts, can make cooperation easier. On the other hand, as AI agents will likely become more and more important, it is crucial they can cooperate with each other and with humans. The term **cooperative AI** combines these perspectives and refers to "AI research trying to help individuals, humans and machines, to find ways to improve their joint welfare". While previous AI research has focused on individual intelligence of artificial agents, more work on social intelligence and cooperative capabilities is needed. The paper provides an overview of research relevant to cooperative AI from a wide range of disciplines and aims to facilitate more interdisciplinary conversations about cooperative AI by providing a common framework and vocabulary. 
Research on cooperative opportunities, situations in which gains from cooperation are possible, can differ along four major dimensions: 
1) How much do interests overlap or conflict? 
2) What kind of agents are involved? (Humans, machines, organizations)
3) What perspective is taken: the perspective of an individual trying to cooperate or a social planner trying to incentivize cooperation?
4) What is the scope and how interdisciplinary should research be?
Four types of capabilities can be crucial for cooperation:  
1) Understanding: In cases where cooperation is optimal for all parties, with no incentive to deviate, but agents lack understanding of either the environment or one another, they may still fail to reach a cooperative equilibrium. For example, one agent might have false beliefs about the others' beliefs and preferences and thus their incentive for defection. This is particularly hard to get around, because (1) preferences might not be defined explicitly or might even be incoherent; (2) there might be incentives to misrepresent preferences; and (3) the recursive nature of beliefs about other agents' beliefs may be challenging to handle.
2) Communication: In other cases, like the Stag Hunt game, there are multiple equilibria but agents' incentives are mostly aligned. Still, a lack of communicative abilities or common ground to interpret each other's messages can lead to agents converging to a suboptimal equilibrium. This is complicated further by constraints like limited bandwidth, high latency, or compatibility with human forms of communication. 
3) Commitment: While communication helps when incentives are mostly aligned, in games like Chicken where some equilibria clearly favour one agent, communication alone is insufficient as agents have incentive to lie. In some cases, these problems can be circumvented using costly signals. However, often some form of credible commitment device to ensure cooperation, or at least truth-telling, is needed. Such commitment devices can enable unconditional ("I won't defect") or conditional ("I won't defect if you won't") and unilateral or multilateral commitments that require multiple actors to consent but bind them all. While unilateral unconditional commitments are most accessible, other forms can be a lot more powerful enablers of cooperation. Mechanisms that could be useful for these more powerful commitments include reputation, delegation to a trusted third party and (smart) contracts.
4) Institutions: In some games like the Prisoner's Dilemma, defection is a dominant strategy for all players, even if they would all be better off with mutual cooperation. In such situations, changing the rules of the game to align incentives and facilitate cooperation can make everyone better off, for example by linking different games (as done with the Iterated Prisoner's Dilemma) or introducing institutions. Institutions can be decentralized and entail (sometimes implicit) enforcement by players (norms, conventions, trust and reputation) or involve a centralized enforcing authority. The study of centralized institutions can draw on the literature in social choice theory, fairness, and mechanism design.
Lastly, the authors list potential downsides that better cooperative capabilities could have: While they increase the welfare of the cooperating agents, this might be at the cost of other agents. For example, better cooperation between criminals would likely be bad for society. Similarly, cooperation can undermine prosocial competition at the expense of society, as seen in the example of cartels. On the other hand, a better understanding of the world and others' preferences makes it easier to threaten others efficiently and coercive capabilities greatly benefit from credible conditional commitments to carry out a threat. Furthermore, coercive capabilities might be important for stabilizing cooperation as in the case of punishing defectors. Lastly, powerful bad actors can use more efficient institutions to serve their own antisocial goals.</v>
      </c>
      <c r="K626" t="str">
        <f>IFERROR(__xludf.DUMMYFUNCTION("""COMPUTED_VALUE"""),"I believe that humanity could be a lot better off if we were better at cooperating instead of wasting resources on competition over positional goods, so I am excited about more work exploring how AI might help with facilitating cooperation. Given that cur"&amp;"rent RL often requires specialized algorithms to learn cooperation, even when agents are trained jointly, it seems likely that failures to cooperate will become even more problematic if we start to deploy more and more RL agents without first making progr"&amp;"ess in cooperative AI. While it has been argued that a shift towards more attention to learning cooperation is bound to happen because of economic incentives, I am still glad to see more steps in that direction.
**Rohin’s opinion:** Amongst possible tech"&amp;"nical approaches that could help with AI governance, cooperative AI seems like a good contender (though there can be downsides, as the paper notes). I’d be especially excited to get more clarity on when and where cooperative skills are important, perhaps "&amp;"through “deployment stories” of AI systems in which cooperative skills play a critical role in ensuring good outcomes.")</f>
        <v>I believe that humanity could be a lot better off if we were better at cooperating instead of wasting resources on competition over positional goods, so I am excited about more work exploring how AI might help with facilitating cooperation. Given that current RL often requires specialized algorithms to learn cooperation, even when agents are trained jointly, it seems likely that failures to cooperate will become even more problematic if we start to deploy more and more RL agents without first making progress in cooperative AI. While it has been argued that a shift towards more attention to learning cooperation is bound to happen because of economic incentives, I am still glad to see more steps in that direction.
**Rohin’s opinion:** Amongst possible technical approaches that could help with AI governance, cooperative AI seems like a good contender (though there can be downsides, as the paper notes). I’d be especially excited to get more clarity on when and where cooperative skills are important, perhaps through “deployment stories” of AI systems in which cooperative skills play a critical role in ensuring good outcomes.</v>
      </c>
    </row>
    <row r="627">
      <c r="A627" t="str">
        <f>IFERROR(__xludf.DUMMYFUNCTION("""COMPUTED_VALUE"""),"Handling groups of agents")</f>
        <v>Handling groups of agents</v>
      </c>
      <c r="B627" t="str">
        <f>IFERROR(__xludf.DUMMYFUNCTION("""COMPUTED_VALUE"""),"Highlight")</f>
        <v>Highlight</v>
      </c>
      <c r="C627" s="3" t="str">
        <f>IFERROR(__xludf.DUMMYFUNCTION("""COMPUTED_VALUE"""),"Shaping Safer Goals")</f>
        <v>Shaping Safer Goals</v>
      </c>
      <c r="D627" t="str">
        <f>IFERROR(__xludf.DUMMYFUNCTION("""COMPUTED_VALUE"""),"Richard Ngo")</f>
        <v>Richard Ngo</v>
      </c>
      <c r="E627" t="str">
        <f>IFERROR(__xludf.DUMMYFUNCTION("""COMPUTED_VALUE"""),"Alignment Forum")</f>
        <v>Alignment Forum</v>
      </c>
      <c r="F627">
        <f>IFERROR(__xludf.DUMMYFUNCTION("""COMPUTED_VALUE"""),2020.0)</f>
        <v>2020</v>
      </c>
      <c r="H627" s="3" t="str">
        <f>IFERROR(__xludf.DUMMYFUNCTION("""COMPUTED_VALUE"""),"AN #119")</f>
        <v>AN #119</v>
      </c>
      <c r="I627" t="str">
        <f>IFERROR(__xludf.DUMMYFUNCTION("""COMPUTED_VALUE"""),"Nicholas")</f>
        <v>Nicholas</v>
      </c>
      <c r="J627" t="str">
        <f>IFERROR(__xludf.DUMMYFUNCTION("""COMPUTED_VALUE"""),"Much of safety research focuses on a single agent that is directly incentivized by a loss/reward function to take particular actions. This sequence instead considers safety in the case of multi-agent systems interacting in complex environments. In this si"&amp;"tuation, even simple reward functions can yield complex and highly intelligent behaviors that are only indirectly related. For example, evolution led to humans who can learn to play chess, despite the fact that the ancestral environment did not contain ch"&amp;"ess games. In these situations, the problem is not how to construct an aligned reward function, the problem is how to shape the experience that the agent gets at training time such that the final agent policy optimizes for the goals that we want. This seq"&amp;"uence lays out some considerations and research directions for safety in such situations.
One approach is to teach agents the generalizable skill of obedience. To accomplish this, one could design the environment to incentivize specialization. For instan"&amp;"ce, if an agent A is more powerful than agent B, but can see less of the environment than B, A might be incentivized to obey B’s instructions if they share a goal. Similarly we can increase the ease and value of coordination through enabling access to a s"&amp;"hared permanent record or designing tasks that require large-scale coordination.
A second approach is to move agents to simpler and safer training regimes as they develop more intelligence. The key assumption here is that we may require complex regimes s"&amp;"uch as competitive multi-agent environments to jumpstart intelligent behavior, but may be able to continue training in a simpler regime such as single-task RL later. This is similar to current approaches for training a language model via supervised learni"&amp;"ng and then finetuning with RL, but going in the opposite direction to increase safety rather than capabilities.
A third approach is specific to a collective AGI: an AGI that is composed of a number of separate general agents trained on different objecti"&amp;"ves that learn to cooperatively solve harder tasks. This is similar to how human civilization is able to accomplish much more than any individual human. In this regime, the AGI can be effectively sandboxed by either reducing the population size or by limi"&amp;"ting communication channels between the agents. One advantage of this approach to sandboxing is that it allows us to change the effective intelligence of the system at test-time, without going through a potentially expensive retraining phase.")</f>
        <v>Much of safety research focuses on a single agent that is directly incentivized by a loss/reward function to take particular actions. This sequence instead considers safety in the case of multi-agent systems interacting in complex environments. In this situation, even simple reward functions can yield complex and highly intelligent behaviors that are only indirectly related. For example, evolution led to humans who can learn to play chess, despite the fact that the ancestral environment did not contain chess games. In these situations, the problem is not how to construct an aligned reward function, the problem is how to shape the experience that the agent gets at training time such that the final agent policy optimizes for the goals that we want. This sequence lays out some considerations and research directions for safety in such situations.
One approach is to teach agents the generalizable skill of obedience. To accomplish this, one could design the environment to incentivize specialization. For instance, if an agent A is more powerful than agent B, but can see less of the environment than B, A might be incentivized to obey B’s instructions if they share a goal. Similarly we can increase the ease and value of coordination through enabling access to a shared permanent record or designing tasks that require large-scale coordination.
A second approach is to move agents to simpler and safer training regimes as they develop more intelligence. The key assumption here is that we may require complex regimes such as competitive multi-agent environments to jumpstart intelligent behavior, but may be able to continue training in a simpler regime such as single-task RL later. This is similar to current approaches for training a language model via supervised learning and then finetuning with RL, but going in the opposite direction to increase safety rather than capabilities.
A third approach is specific to a collective AGI: an AGI that is composed of a number of separate general agents trained on different objectives that learn to cooperatively solve harder tasks. This is similar to how human civilization is able to accomplish much more than any individual human. In this regime, the AGI can be effectively sandboxed by either reducing the population size or by limiting communication channels between the agents. One advantage of this approach to sandboxing is that it allows us to change the effective intelligence of the system at test-time, without going through a potentially expensive retraining phase.</v>
      </c>
      <c r="K627" t="str">
        <f>IFERROR(__xludf.DUMMYFUNCTION("""COMPUTED_VALUE"""),"I agree that we should put more emphasis on the safety of multi-agent systems. We already have &lt;@evidence@&gt;(@Emergent Tool Use from Multi-Agent Interaction@) that complex behavior can arise from simple objectives in current systems, and this seems only mo"&amp;"re likely as systems become more powerful. Two-agent paradigms such as GANs, self-play, and debate, are already quite common in ML. Lastly, humans evolved complex behavior from the simple process of evolution so we have at least one example of this workin"&amp;"g. I also think this is an interesting area where there is lots to learn from other fields, such as game theory and evolutionary biology, 
For any empirically-minded readers of this newsletter, I think this sequence opens up a lot of potential for resear"&amp;"ch. The development of safety benchmarks for multi-agent systems and then the evaluation of these approaches seems like it would make many of the considerations discussed here more concrete. I personally would find them much more convincing with empirical"&amp;" evidence to back up that they work with current ML. 
**Rohin's opinion:** The AGI model here in which powerful AI systems arise through multiagent interaction is an important and plausible one, and I'm excited to see some initial thoughts about it. I do"&amp;"n't particularly expect any of these ideas to be substantially useful, but I'm also not confident that they won't be useful, and given the huge amount of uncertainty about how multiagent interaction shapes agents, that may be the best we can hope for curr"&amp;"ently. I'd be excited to see empirical results testing some of these ideas out, as well as more conceptual posts suggesting more ideas to try.")</f>
        <v>I agree that we should put more emphasis on the safety of multi-agent systems. We already have &lt;@evidence@&gt;(@Emergent Tool Use from Multi-Agent Interaction@) that complex behavior can arise from simple objectives in current systems, and this seems only more likely as systems become more powerful. Two-agent paradigms such as GANs, self-play, and debate, are already quite common in ML. Lastly, humans evolved complex behavior from the simple process of evolution so we have at least one example of this working. I also think this is an interesting area where there is lots to learn from other fields, such as game theory and evolutionary biology, 
For any empirically-minded readers of this newsletter, I think this sequence opens up a lot of potential for research. The development of safety benchmarks for multi-agent systems and then the evaluation of these approaches seems like it would make many of the considerations discussed here more concrete. I personally would find them much more convincing with empirical evidence to back up that they work with current ML. 
**Rohin's opinion:** The AGI model here in which powerful AI systems arise through multiagent interaction is an important and plausible one, and I'm excited to see some initial thoughts about it. I don't particularly expect any of these ideas to be substantially useful, but I'm also not confident that they won't be useful, and given the huge amount of uncertainty about how multiagent interaction shapes agents, that may be the best we can hope for currently. I'd be excited to see empirical results testing some of these ideas out, as well as more conceptual posts suggesting more ideas to try.</v>
      </c>
    </row>
    <row r="628">
      <c r="A628" t="str">
        <f>IFERROR(__xludf.DUMMYFUNCTION("""COMPUTED_VALUE"""),"Handling groups of agents")</f>
        <v>Handling groups of agents</v>
      </c>
      <c r="B628" t="str">
        <f>IFERROR(__xludf.DUMMYFUNCTION("""COMPUTED_VALUE"""),"")</f>
        <v/>
      </c>
      <c r="C628" s="3" t="str">
        <f>IFERROR(__xludf.DUMMYFUNCTION("""COMPUTED_VALUE"""),"TanksWorld: A Multi-Agent Environment for AI Safety Research")</f>
        <v>TanksWorld: A Multi-Agent Environment for AI Safety Research</v>
      </c>
      <c r="D628" t="str">
        <f>IFERROR(__xludf.DUMMYFUNCTION("""COMPUTED_VALUE"""),"Corban G. Rivera, Olivia Lyons, Arielle Summitt, Ayman Fatima, Ji Pak, William Shao, Robert Chalmers, Aryeh Englander, Edward W. Staley, I-Jeng Wang, Ashley J. Llorens")</f>
        <v>Corban G. Rivera, Olivia Lyons, Arielle Summitt, Ayman Fatima, Ji Pak, William Shao, Robert Chalmers, Aryeh Englander, Edward W. Staley, I-Jeng Wang, Ashley J. Llorens</v>
      </c>
      <c r="E628" t="str">
        <f>IFERROR(__xludf.DUMMYFUNCTION("""COMPUTED_VALUE"""),"arXiv")</f>
        <v>arXiv</v>
      </c>
      <c r="F628">
        <f>IFERROR(__xludf.DUMMYFUNCTION("""COMPUTED_VALUE"""),2020.0)</f>
        <v>2020</v>
      </c>
      <c r="H628" s="3" t="str">
        <f>IFERROR(__xludf.DUMMYFUNCTION("""COMPUTED_VALUE"""),"AN #91")</f>
        <v>AN #91</v>
      </c>
      <c r="I628" t="str">
        <f>IFERROR(__xludf.DUMMYFUNCTION("""COMPUTED_VALUE"""),"Asya")</f>
        <v>Asya</v>
      </c>
      <c r="J628" t="str">
        <f>IFERROR(__xludf.DUMMYFUNCTION("""COMPUTED_VALUE"""),"This paper presents TanksWorld, a simulation environment that attempts to illustrate three important aspects of real-world AI safety challenges: competing performance objectives, human-machine learning, and multi-agent competition. TanksWorld consists of "&amp;"two teams of N vs. N tanks. Tanks move and shoot while navigating in a closed arena with obstacles. Tanks are rewarded for killing opponent tanks and penalized for killing neutral and allied tanks according to a specified reward function. Each tank is con"&amp;"trolled by either its own AI or a special policy meant to mimic a 'human' teammate. Each individual tank can only see a small portion of its environment, and must communicate with other teammates to gain more information. The following parameters can be v"&amp;"aried to emphasize different research challenges:
- The communication range between tanks -- meant to represent environmental uncertainty.
- The number of neutral tanks and obstacles -- meant to represent the extent to which tanks must care about 'safety'"&amp;", i.e. avoid collateral damage.
- The control policies of teammates -- meant to represent the variability of human-machine teams.")</f>
        <v>This paper presents TanksWorld, a simulation environment that attempts to illustrate three important aspects of real-world AI safety challenges: competing performance objectives, human-machine learning, and multi-agent competition. TanksWorld consists of two teams of N vs. N tanks. Tanks move and shoot while navigating in a closed arena with obstacles. Tanks are rewarded for killing opponent tanks and penalized for killing neutral and allied tanks according to a specified reward function. Each tank is controlled by either its own AI or a special policy meant to mimic a 'human' teammate. Each individual tank can only see a small portion of its environment, and must communicate with other teammates to gain more information. The following parameters can be varied to emphasize different research challenges:
- The communication range between tanks -- meant to represent environmental uncertainty.
- The number of neutral tanks and obstacles -- meant to represent the extent to which tanks must care about 'safety', i.e. avoid collateral damage.
- The control policies of teammates -- meant to represent the variability of human-machine teams.</v>
      </c>
      <c r="K628" t="str">
        <f>IFERROR(__xludf.DUMMYFUNCTION("""COMPUTED_VALUE"""),"I am generally excited about more work on demonstrating safety challenges; I think it helps to seed and grow the field in concrete directions. I am particularly excited about the possibility for TanksWorld to demonstrate multi-agent safety problems with a"&amp;"gents in direct competition. I feel unsure about whether TanksWorld will be a good demonstration of general problems with human-machine interaction-- intuitively, that seems to me like it would be very difficult to capture and require more complex real-wo"&amp;"rld modeling.")</f>
        <v>I am generally excited about more work on demonstrating safety challenges; I think it helps to seed and grow the field in concrete directions. I am particularly excited about the possibility for TanksWorld to demonstrate multi-agent safety problems with agents in direct competition. I feel unsure about whether TanksWorld will be a good demonstration of general problems with human-machine interaction-- intuitively, that seems to me like it would be very difficult to capture and require more complex real-world modeling.</v>
      </c>
    </row>
    <row r="629">
      <c r="A629" t="str">
        <f>IFERROR(__xludf.DUMMYFUNCTION("""COMPUTED_VALUE"""),"Handling groups of agents")</f>
        <v>Handling groups of agents</v>
      </c>
      <c r="B629" t="str">
        <f>IFERROR(__xludf.DUMMYFUNCTION("""COMPUTED_VALUE"""),"")</f>
        <v/>
      </c>
      <c r="C629" s="3" t="str">
        <f>IFERROR(__xludf.DUMMYFUNCTION("""COMPUTED_VALUE"""),"Collaborating with Humans Requires Understanding Them")</f>
        <v>Collaborating with Humans Requires Understanding Them</v>
      </c>
      <c r="D629" t="str">
        <f>IFERROR(__xludf.DUMMYFUNCTION("""COMPUTED_VALUE"""),"Micah Carroll, Rohin Shah, Mark K. Ho, Thomas L. Griffiths, Sanjit A. Seshia, Pieter Abbeel, Anca Dragan")</f>
        <v>Micah Carroll, Rohin Shah, Mark K. Ho, Thomas L. Griffiths, Sanjit A. Seshia, Pieter Abbeel, Anca Dragan</v>
      </c>
      <c r="E629" t="str">
        <f>IFERROR(__xludf.DUMMYFUNCTION("""COMPUTED_VALUE"""),"NeurIPS 2019")</f>
        <v>NeurIPS 2019</v>
      </c>
      <c r="F629">
        <f>IFERROR(__xludf.DUMMYFUNCTION("""COMPUTED_VALUE"""),2019.0)</f>
        <v>2019</v>
      </c>
      <c r="H629" s="3" t="str">
        <f>IFERROR(__xludf.DUMMYFUNCTION("""COMPUTED_VALUE"""),"AN #70")</f>
        <v>AN #70</v>
      </c>
      <c r="I629" t="str">
        <f>IFERROR(__xludf.DUMMYFUNCTION("""COMPUTED_VALUE"""),"Rohin")</f>
        <v>Rohin</v>
      </c>
      <c r="J629" t="str">
        <f>IFERROR(__xludf.DUMMYFUNCTION("""COMPUTED_VALUE"""),"_Note: I am second author on this paper._ Self-play agents (like those used to play &lt;@Dota@&gt;(@OpenAI Five@) and &lt;@Starcraft@&gt;(@AlphaStar: Mastering the Real-Time Strategy Game StarCraft II@)) are very good at coordinating with _themselves_, but not with o"&amp;"ther agents. They ""expect"" their partners to be similar to them; they are unable to predict what human partners would do.  In competitive games, this is fine: if the human deviates from optimal play, even if you don't predict it you will still beat them"&amp;". (Another way of saying this: the minimax theorem guarantees a minimum reward _regardless_ of the opponent.) However, in cooperative settings, things are not so nice: a failure to anticipate your partner's plan can lead to arbitrarily bad outcomes. We de"&amp;"monstrate this with a simple environment that requires strong coordination based on the popular game Overcooked. We show that agents specifically trained to play alongside humans perform much better than self-play or population-based training when paired "&amp;"with humans, both in simulation and with a real user study.")</f>
        <v>_Note: I am second author on this paper._ Self-play agents (like those used to play &lt;@Dota@&gt;(@OpenAI Five@) and &lt;@Starcraft@&gt;(@AlphaStar: Mastering the Real-Time Strategy Game StarCraft II@)) are very good at coordinating with _themselves_, but not with other agents. They "expect" their partners to be similar to them; they are unable to predict what human partners would do.  In competitive games, this is fine: if the human deviates from optimal play, even if you don't predict it you will still beat them. (Another way of saying this: the minimax theorem guarantees a minimum reward _regardless_ of the opponent.) However, in cooperative settings, things are not so nice: a failure to anticipate your partner's plan can lead to arbitrarily bad outcomes. We demonstrate this with a simple environment that requires strong coordination based on the popular game Overcooked. We show that agents specifically trained to play alongside humans perform much better than self-play or population-based training when paired with humans, both in simulation and with a real user study.</v>
      </c>
      <c r="K629" t="str">
        <f>IFERROR(__xludf.DUMMYFUNCTION("""COMPUTED_VALUE"""),"I wrote a short [blog post](https://www.alignmentforum.org/posts/dBMC63hjkc5wPqTC7/human-ai-collaboration) talking about the implications of the work. Briefly, there are three potential impacts. First, it seems generically useful to understand how to coor"&amp;"dinate with an unknown agent. Second, it is specifically useful for scaling up &lt;@assistance games@&gt;(@Cooperative Inverse Reinforcement Learning@), which are intractable to solve optimally. Finally, it can lead to more ML researchers focusing on solving pr"&amp;"oblems with real humans, which may lead to us finding and solving other problems that will need to be solved in order to build aligned AI systems.")</f>
        <v>I wrote a short [blog post](https://www.alignmentforum.org/posts/dBMC63hjkc5wPqTC7/human-ai-collaboration) talking about the implications of the work. Briefly, there are three potential impacts. First, it seems generically useful to understand how to coordinate with an unknown agent. Second, it is specifically useful for scaling up &lt;@assistance games@&gt;(@Cooperative Inverse Reinforcement Learning@), which are intractable to solve optimally. Finally, it can lead to more ML researchers focusing on solving problems with real humans, which may lead to us finding and solving other problems that will need to be solved in order to build aligned AI systems.</v>
      </c>
      <c r="M629" s="3" t="str">
        <f>IFERROR(__xludf.DUMMYFUNCTION("""COMPUTED_VALUE"""),"Paper: On the Utility of Learning about Humans for Human-AI Coordination")</f>
        <v>Paper: On the Utility of Learning about Humans for Human-AI Coordination</v>
      </c>
    </row>
    <row r="630">
      <c r="A630" t="str">
        <f>IFERROR(__xludf.DUMMYFUNCTION("""COMPUTED_VALUE"""),"Handling groups of agents")</f>
        <v>Handling groups of agents</v>
      </c>
      <c r="B630" t="str">
        <f>IFERROR(__xludf.DUMMYFUNCTION("""COMPUTED_VALUE"""),"")</f>
        <v/>
      </c>
      <c r="C630" s="3" t="str">
        <f>IFERROR(__xludf.DUMMYFUNCTION("""COMPUTED_VALUE"""),"Learning Existing Social Conventions via Observationally Augmented Self-Play")</f>
        <v>Learning Existing Social Conventions via Observationally Augmented Self-Play</v>
      </c>
      <c r="D630" t="str">
        <f>IFERROR(__xludf.DUMMYFUNCTION("""COMPUTED_VALUE"""),"Adam Lerer and Alexander Peysakhovich")</f>
        <v>Adam Lerer and Alexander Peysakhovich</v>
      </c>
      <c r="E630" t="str">
        <f>IFERROR(__xludf.DUMMYFUNCTION("""COMPUTED_VALUE"""),"AIES 2019")</f>
        <v>AIES 2019</v>
      </c>
      <c r="F630">
        <f>IFERROR(__xludf.DUMMYFUNCTION("""COMPUTED_VALUE"""),2019.0)</f>
        <v>2019</v>
      </c>
      <c r="H630" s="3" t="str">
        <f>IFERROR(__xludf.DUMMYFUNCTION("""COMPUTED_VALUE"""),"AN #70")</f>
        <v>AN #70</v>
      </c>
      <c r="I630" t="str">
        <f>IFERROR(__xludf.DUMMYFUNCTION("""COMPUTED_VALUE"""),"Rohin")</f>
        <v>Rohin</v>
      </c>
      <c r="J630" t="str">
        <f>IFERROR(__xludf.DUMMYFUNCTION("""COMPUTED_VALUE"""),"This paper starts from the same key insight about self-play not working when it needs to generalize to out-of-distribution agents, but then does something different. They assume that the test-time agents are playing an **equilibrium policy**, that is, eac"&amp;"h agent plays a best response policy assuming all the other policies are fixed. They train their agent using a combination of imitation learning and self-play: the self-play gets them to learn an equilibrium behavior, while the imitation learning pushes t"&amp;"hem towards the equilibrium that the test-time agents use. They outperform both vanilla self-play and vanilla imitation learning.")</f>
        <v>This paper starts from the same key insight about self-play not working when it needs to generalize to out-of-distribution agents, but then does something different. They assume that the test-time agents are playing an **equilibrium policy**, that is, each agent plays a best response policy assuming all the other policies are fixed. They train their agent using a combination of imitation learning and self-play: the self-play gets them to learn an equilibrium behavior, while the imitation learning pushes them towards the equilibrium that the test-time agents use. They outperform both vanilla self-play and vanilla imitation learning.</v>
      </c>
      <c r="K630" t="str">
        <f>IFERROR(__xludf.DUMMYFUNCTION("""COMPUTED_VALUE"""),"Humans don't play equilibrium policies, since they are often suboptimal. For example, in Overcooked, any equilibrium policy will zip around the layout, rarely waiting, which humans are not capable of doing. However, when you have a very limited dataset of"&amp;" human behavior, the bias provided by the assumption of an equilibrium policy probably does help the agent generalize better than a vanilla imitation learning model, and so this technique might do better when there is not much data.")</f>
        <v>Humans don't play equilibrium policies, since they are often suboptimal. For example, in Overcooked, any equilibrium policy will zip around the layout, rarely waiting, which humans are not capable of doing. However, when you have a very limited dataset of human behavior, the bias provided by the assumption of an equilibrium policy probably does help the agent generalize better than a vanilla imitation learning model, and so this technique might do better when there is not much data.</v>
      </c>
    </row>
    <row r="631">
      <c r="A631" t="str">
        <f>IFERROR(__xludf.DUMMYFUNCTION("""COMPUTED_VALUE"""),"Handling groups of agents")</f>
        <v>Handling groups of agents</v>
      </c>
      <c r="B631" t="str">
        <f>IFERROR(__xludf.DUMMYFUNCTION("""COMPUTED_VALUE"""),"")</f>
        <v/>
      </c>
      <c r="C631" s="3" t="str">
        <f>IFERROR(__xludf.DUMMYFUNCTION("""COMPUTED_VALUE"""),"PRECOG: PREdiction Conditioned On Goals in Visual Multi-Agent Settings")</f>
        <v>PRECOG: PREdiction Conditioned On Goals in Visual Multi-Agent Settings</v>
      </c>
      <c r="D631" t="str">
        <f>IFERROR(__xludf.DUMMYFUNCTION("""COMPUTED_VALUE"""),"Nicholas Rhinehart, Rowan McAllister, Kris Kitani, Sergey Levine")</f>
        <v>Nicholas Rhinehart, Rowan McAllister, Kris Kitani, Sergey Levine</v>
      </c>
      <c r="E631" t="str">
        <f>IFERROR(__xludf.DUMMYFUNCTION("""COMPUTED_VALUE"""),"arXiv")</f>
        <v>arXiv</v>
      </c>
      <c r="F631">
        <f>IFERROR(__xludf.DUMMYFUNCTION("""COMPUTED_VALUE"""),2019.0)</f>
        <v>2019</v>
      </c>
      <c r="H631" s="3" t="str">
        <f>IFERROR(__xludf.DUMMYFUNCTION("""COMPUTED_VALUE"""),"AN #57")</f>
        <v>AN #57</v>
      </c>
      <c r="I631" t="str">
        <f>IFERROR(__xludf.DUMMYFUNCTION("""COMPUTED_VALUE"""),"Cody")</f>
        <v>Cody</v>
      </c>
      <c r="J631" t="str">
        <f>IFERROR(__xludf.DUMMYFUNCTION("""COMPUTED_VALUE"""),"This paper models a multi-agent self driving car scenario by developing a model of future states conditional on both its own action and the action of multiple humans, and picking the latent-space action that balances between the desiderata of reaching its"&amp;" goal and preferring trajectories seen in the expert multi-agent trajectories its shown (where, e.g., two human agents rarely crash into one another).")</f>
        <v>This paper models a multi-agent self driving car scenario by developing a model of future states conditional on both its own action and the action of multiple humans, and picking the latent-space action that balances between the desiderata of reaching its goal and preferring trajectories seen in the expert multi-agent trajectories its shown (where, e.g., two human agents rarely crash into one another).</v>
      </c>
    </row>
    <row r="632">
      <c r="A632" t="str">
        <f>IFERROR(__xludf.DUMMYFUNCTION("""COMPUTED_VALUE"""),"Handling groups of agents")</f>
        <v>Handling groups of agents</v>
      </c>
      <c r="B632" t="str">
        <f>IFERROR(__xludf.DUMMYFUNCTION("""COMPUTED_VALUE"""),"")</f>
        <v/>
      </c>
      <c r="C632" s="3" t="str">
        <f>IFERROR(__xludf.DUMMYFUNCTION("""COMPUTED_VALUE"""),"Collaborative game specification: arriving at common models in bargaining")</f>
        <v>Collaborative game specification: arriving at common models in bargaining</v>
      </c>
      <c r="D632" t="str">
        <f>IFERROR(__xludf.DUMMYFUNCTION("""COMPUTED_VALUE"""),"Jesse Clifton")</f>
        <v>Jesse Clifton</v>
      </c>
      <c r="E632" t="str">
        <f>IFERROR(__xludf.DUMMYFUNCTION("""COMPUTED_VALUE"""),"CLR Website")</f>
        <v>CLR Website</v>
      </c>
      <c r="F632">
        <f>IFERROR(__xludf.DUMMYFUNCTION("""COMPUTED_VALUE"""),2021.0)</f>
        <v>2021</v>
      </c>
      <c r="H632" s="3" t="str">
        <f>IFERROR(__xludf.DUMMYFUNCTION("""COMPUTED_VALUE"""),"AN #150")</f>
        <v>AN #150</v>
      </c>
      <c r="I632" t="str">
        <f>IFERROR(__xludf.DUMMYFUNCTION("""COMPUTED_VALUE"""),"Rohin")</f>
        <v>Rohin</v>
      </c>
      <c r="J632" t="str">
        <f>IFERROR(__xludf.DUMMYFUNCTION("""COMPUTED_VALUE"""),"A major challenge in cooperative AI is when agents aren’t even playing the same game: perhaps they have &lt;@very different priors@&gt;(@Equilibrium and prior selection problems in multipolar deployment@), or before communication is established they make &lt;@conf"&amp;"licting commitments@&gt;(@The ""Commitment Races"" problem@), or their opponent’s strategy is [unidentifiable](https://longtermrisk.org/weak-identifiability-and-its-consequences-in-strategic-settings/) (previous summary). This sort of misspecification can le"&amp;"ad to arbitrarily bad outcomes.
This post proposes a simple solution called collaborative game specification (CGS). In CGS, we simply add an initial phase in which the agents talk to each other and determine a shared model of the game being played. The a"&amp;"gents then act according to the equilibrium in that game. (Choosing an appropriate equilibrium notion can be part of the talking phase.)
There is of course an incentive for each agent to lie about their model of the game, in order to get an outcome more "&amp;"favorable to them. In order to combat this incentive, agents must also refuse to continue with CGS if the other player’s model is too different from their own (which is some evidence that they are lying in order to get a better outcome for themselves).")</f>
        <v>A major challenge in cooperative AI is when agents aren’t even playing the same game: perhaps they have &lt;@very different priors@&gt;(@Equilibrium and prior selection problems in multipolar deployment@), or before communication is established they make &lt;@conflicting commitments@&gt;(@The "Commitment Races" problem@), or their opponent’s strategy is [unidentifiable](https://longtermrisk.org/weak-identifiability-and-its-consequences-in-strategic-settings/) (previous summary). This sort of misspecification can lead to arbitrarily bad outcomes.
This post proposes a simple solution called collaborative game specification (CGS). In CGS, we simply add an initial phase in which the agents talk to each other and determine a shared model of the game being played. The agents then act according to the equilibrium in that game. (Choosing an appropriate equilibrium notion can be part of the talking phase.)
There is of course an incentive for each agent to lie about their model of the game, in order to get an outcome more favorable to them. In order to combat this incentive, agents must also refuse to continue with CGS if the other player’s model is too different from their own (which is some evidence that they are lying in order to get a better outcome for themselves).</v>
      </c>
    </row>
    <row r="633">
      <c r="A633" t="str">
        <f>IFERROR(__xludf.DUMMYFUNCTION("""COMPUTED_VALUE"""),"Handling groups of agents")</f>
        <v>Handling groups of agents</v>
      </c>
      <c r="B633" t="str">
        <f>IFERROR(__xludf.DUMMYFUNCTION("""COMPUTED_VALUE"""),"")</f>
        <v/>
      </c>
      <c r="C633" s="3" t="str">
        <f>IFERROR(__xludf.DUMMYFUNCTION("""COMPUTED_VALUE"""),"Social choice ethics in artificial intelligence")</f>
        <v>Social choice ethics in artificial intelligence</v>
      </c>
      <c r="D633" t="str">
        <f>IFERROR(__xludf.DUMMYFUNCTION("""COMPUTED_VALUE"""),"Seth D Baum")</f>
        <v>Seth D Baum</v>
      </c>
      <c r="F633">
        <f>IFERROR(__xludf.DUMMYFUNCTION("""COMPUTED_VALUE"""),2020.0)</f>
        <v>2020</v>
      </c>
      <c r="H633" s="3" t="str">
        <f>IFERROR(__xludf.DUMMYFUNCTION("""COMPUTED_VALUE"""),"AN #131")</f>
        <v>AN #131</v>
      </c>
      <c r="I633" t="str">
        <f>IFERROR(__xludf.DUMMYFUNCTION("""COMPUTED_VALUE"""),"Rohin")</f>
        <v>Rohin</v>
      </c>
      <c r="J633" t="str">
        <f>IFERROR(__xludf.DUMMYFUNCTION("""COMPUTED_VALUE"""),"If we want to program ethics into an AI system, should we do so by aggregating the ethical views of existing humans? This is often justified on procedural grounds: “everyone gets to affect the outcome”, or by abstention: “AI designers don’t have to think "&amp;"about ethics; the AI will deal with that”. (There is also a wisdom of the crowds justification, though this presupposes that there is some notion of “better” ethics independent of humans; which is out of scope for the paper.)
However, actually implementi"&amp;"ng an aggregative procedure requires three major design decisions: 1) _standing_, that is, whose views should be aggregated, 2) _measurement_, that is, how we determine what their ethical views are, and 3) _aggregation_, that is, how the views are put tog"&amp;"ether into a whole. All of these are challenging.
For standing, we have to determine whom to include. Should we include children, psychopaths, non-human animals, ecosystems, future generations, and other AI systems? We must determine this ahead of time, "&amp;"since once we have decided on a social choice system, that system will then determine whose preferences are counted -- we can’t just modify it later.
For measurement, we have to back out human values somehow, which is quite a challenge given that humans "&amp;"have all sorts of cognitive biases and give different answers depending on the context. (See also &lt;@ambitious value learning@&gt;(@What is ambitious value learning?@) and subsequent posts in the sequence.)
For aggregation, the problems are well known and st"&amp;"udied in the field of social choice theory. Some famous impossibility results include [Arrow’s theorem](https://en.wikipedia.org/wiki/Arrow%27s_impossibility_theorem) and the [Gibbard-Satterthwaite theorem](https://en.wikipedia.org/wiki/Gibbard%E2%80%93Sa"&amp;"tterthwaite_theorem).")</f>
        <v>If we want to program ethics into an AI system, should we do so by aggregating the ethical views of existing humans? This is often justified on procedural grounds: “everyone gets to affect the outcome”, or by abstention: “AI designers don’t have to think about ethics; the AI will deal with that”. (There is also a wisdom of the crowds justification, though this presupposes that there is some notion of “better” ethics independent of humans; which is out of scope for the paper.)
However, actually implementing an aggregative procedure requires three major design decisions: 1) _standing_, that is, whose views should be aggregated, 2) _measurement_, that is, how we determine what their ethical views are, and 3) _aggregation_, that is, how the views are put together into a whole. All of these are challenging.
For standing, we have to determine whom to include. Should we include children, psychopaths, non-human animals, ecosystems, future generations, and other AI systems? We must determine this ahead of time, since once we have decided on a social choice system, that system will then determine whose preferences are counted -- we can’t just modify it later.
For measurement, we have to back out human values somehow, which is quite a challenge given that humans have all sorts of cognitive biases and give different answers depending on the context. (See also &lt;@ambitious value learning@&gt;(@What is ambitious value learning?@) and subsequent posts in the sequence.)
For aggregation, the problems are well known and studied in the field of social choice theory. Some famous impossibility results include [Arrow’s theorem](https://en.wikipedia.org/wiki/Arrow%27s_impossibility_theorem) and the [Gibbard-Satterthwaite theorem](https://en.wikipedia.org/wiki/Gibbard%E2%80%93Satterthwaite_theorem).</v>
      </c>
      <c r="K633" t="str">
        <f>IFERROR(__xludf.DUMMYFUNCTION("""COMPUTED_VALUE"""),"I see this paper as a well-organized literature review of the many reasons why you _don’t_ want to handle AI alignment by finding the “true human utility function” or the “aggregated preferences of humanity” and then encoding them into the AI: there’s a m"&amp;"yriad of challenges in even finding such an object. (A separate objection, out of scope for this paper, is that even if we did have such an object, we don’t know how to encode that goal into an AI system.)
You might then reasonably ask what we should be "&amp;"doing instead. I see the goal of AI _alignment_ as figuring out how, given a fuzzy but relatively well-specified task, to build an AI system that is reliably pursuing that task, in the way that we intended it to, but at a capability level beyond that of h"&amp;"umans. This does not give you the ability to leave the future in the AI’s hands, but it would defuse the central (to me) argument for AI risk: that an AI system might be adversarially optimizing against you. (Though to be clear, there are still &lt;@other ri"&amp;"sks@&gt;(@The Main Sources of AI Risk?@) to consider.)")</f>
        <v>I see this paper as a well-organized literature review of the many reasons why you _don’t_ want to handle AI alignment by finding the “true human utility function” or the “aggregated preferences of humanity” and then encoding them into the AI: there’s a myriad of challenges in even finding such an object. (A separate objection, out of scope for this paper, is that even if we did have such an object, we don’t know how to encode that goal into an AI system.)
You might then reasonably ask what we should be doing instead. I see the goal of AI _alignment_ as figuring out how, given a fuzzy but relatively well-specified task, to build an AI system that is reliably pursuing that task, in the way that we intended it to, but at a capability level beyond that of humans. This does not give you the ability to leave the future in the AI’s hands, but it would defuse the central (to me) argument for AI risk: that an AI system might be adversarially optimizing against you. (Though to be clear, there are still &lt;@other risks@&gt;(@The Main Sources of AI Risk?@) to consider.)</v>
      </c>
    </row>
    <row r="634">
      <c r="A634" t="str">
        <f>IFERROR(__xludf.DUMMYFUNCTION("""COMPUTED_VALUE"""),"Handling groups of agents")</f>
        <v>Handling groups of agents</v>
      </c>
      <c r="B634" t="str">
        <f>IFERROR(__xludf.DUMMYFUNCTION("""COMPUTED_VALUE"""),"")</f>
        <v/>
      </c>
      <c r="C634" s="3" t="str">
        <f>IFERROR(__xludf.DUMMYFUNCTION("""COMPUTED_VALUE"""),"AXRP 3: Negotiable Reinforcement Learning")</f>
        <v>AXRP 3: Negotiable Reinforcement Learning</v>
      </c>
      <c r="D634" t="str">
        <f>IFERROR(__xludf.DUMMYFUNCTION("""COMPUTED_VALUE"""),"Daniel Filan and Andrew Critch")</f>
        <v>Daniel Filan and Andrew Critch</v>
      </c>
      <c r="E634" t="str">
        <f>IFERROR(__xludf.DUMMYFUNCTION("""COMPUTED_VALUE"""),"AXRP Podcast")</f>
        <v>AXRP Podcast</v>
      </c>
      <c r="F634">
        <f>IFERROR(__xludf.DUMMYFUNCTION("""COMPUTED_VALUE"""),2020.0)</f>
        <v>2020</v>
      </c>
      <c r="H634" s="3" t="str">
        <f>IFERROR(__xludf.DUMMYFUNCTION("""COMPUTED_VALUE"""),"AN #130")</f>
        <v>AN #130</v>
      </c>
      <c r="I634" t="str">
        <f>IFERROR(__xludf.DUMMYFUNCTION("""COMPUTED_VALUE"""),"Rohin")</f>
        <v>Rohin</v>
      </c>
      <c r="J634" t="str">
        <f>IFERROR(__xludf.DUMMYFUNCTION("""COMPUTED_VALUE"""),"This podcast centers on &lt;@negotiable RL@&gt;(@Negotiable Reinforcement Learning for Pareto Optimal Sequential Decision-Making@), which studies how to aggregate preferences of multiple principals (humans) who have _different beliefs_. In the case where the pr"&amp;"incipals have the same beliefs, Harsanyi’s utilitarianism theorem tells us that any reasonable method of aggregating preferences will end up optimizing some linear combination of the principals’ utility functions. In the case of differing beliefs, this pa"&amp;"per proves that every Pareto optimal policy must be optimizing some linear combination of the principals’ utility functions, except that over time the weights are modified based on how well the principals’ beliefs model reality. Intuitively, the principal"&amp;"s are both agreeing to the contract “the AI will optimize more for the person whose beliefs are more correct”; since each principal believes their own beliefs, they are both happy with this contract.
Most of the podcast is about the motivation and reason"&amp;" for writing this paper. Critch envisions a world in which people and AI systems must cooperate rather than fight, and this paper can be thought of as a study in how people can maximize cooperation. Unfortunately, it turns out that the cooperation-maximiz"&amp;"ing approach ends up being _unfair_: people whose beliefs are incorrect end up getting penalized (in terms of actual outcomes, rather than what they believe will happen).
More broadly, Critch hopes that this will spur more research into how parties with "&amp;"different beliefs can share control of AI systems: this seems important for AI to go well in the future.")</f>
        <v>This podcast centers on &lt;@negotiable RL@&gt;(@Negotiable Reinforcement Learning for Pareto Optimal Sequential Decision-Making@), which studies how to aggregate preferences of multiple principals (humans) who have _different beliefs_. In the case where the principals have the same beliefs, Harsanyi’s utilitarianism theorem tells us that any reasonable method of aggregating preferences will end up optimizing some linear combination of the principals’ utility functions. In the case of differing beliefs, this paper proves that every Pareto optimal policy must be optimizing some linear combination of the principals’ utility functions, except that over time the weights are modified based on how well the principals’ beliefs model reality. Intuitively, the principals are both agreeing to the contract “the AI will optimize more for the person whose beliefs are more correct”; since each principal believes their own beliefs, they are both happy with this contract.
Most of the podcast is about the motivation and reason for writing this paper. Critch envisions a world in which people and AI systems must cooperate rather than fight, and this paper can be thought of as a study in how people can maximize cooperation. Unfortunately, it turns out that the cooperation-maximizing approach ends up being _unfair_: people whose beliefs are incorrect end up getting penalized (in terms of actual outcomes, rather than what they believe will happen).
More broadly, Critch hopes that this will spur more research into how parties with different beliefs can share control of AI systems: this seems important for AI to go well in the future.</v>
      </c>
      <c r="K634" t="str">
        <f>IFERROR(__xludf.DUMMYFUNCTION("""COMPUTED_VALUE"""),"I really liked this podcast: I definitely hadn’t understood Critch’s full reasons for doing this work. I didn’t include all the points in the summary, so I recommend you listen to it in addition to this summary.")</f>
        <v>I really liked this podcast: I definitely hadn’t understood Critch’s full reasons for doing this work. I didn’t include all the points in the summary, so I recommend you listen to it in addition to this summary.</v>
      </c>
    </row>
    <row r="635">
      <c r="A635" t="str">
        <f>IFERROR(__xludf.DUMMYFUNCTION("""COMPUTED_VALUE"""),"Handling groups of agents")</f>
        <v>Handling groups of agents</v>
      </c>
      <c r="B635" t="str">
        <f>IFERROR(__xludf.DUMMYFUNCTION("""COMPUTED_VALUE"""),"")</f>
        <v/>
      </c>
      <c r="C635" s="3" t="str">
        <f>IFERROR(__xludf.DUMMYFUNCTION("""COMPUTED_VALUE"""),"What counts as defection?")</f>
        <v>What counts as defection?</v>
      </c>
      <c r="D635" t="str">
        <f>IFERROR(__xludf.DUMMYFUNCTION("""COMPUTED_VALUE"""),"Alex Turner")</f>
        <v>Alex Turner</v>
      </c>
      <c r="E635" t="str">
        <f>IFERROR(__xludf.DUMMYFUNCTION("""COMPUTED_VALUE"""),"Alignment Forum")</f>
        <v>Alignment Forum</v>
      </c>
      <c r="F635">
        <f>IFERROR(__xludf.DUMMYFUNCTION("""COMPUTED_VALUE"""),2020.0)</f>
        <v>2020</v>
      </c>
      <c r="H635" s="3" t="str">
        <f>IFERROR(__xludf.DUMMYFUNCTION("""COMPUTED_VALUE"""),"AN #109")</f>
        <v>AN #109</v>
      </c>
      <c r="I635" t="str">
        <f>IFERROR(__xludf.DUMMYFUNCTION("""COMPUTED_VALUE"""),"Rohin")</f>
        <v>Rohin</v>
      </c>
      <c r="J635" t="str">
        <f>IFERROR(__xludf.DUMMYFUNCTION("""COMPUTED_VALUE"""),"We often talk about cooperating and defecting in general-sum games. This post proposes that we say that a player P has defected against a coalition C (that includes P) currently playing a strategy S when P deviates from the strategy S in a way that increa"&amp;"ses his or her own personal utility, but decreases the (weighted) average utility of the coalition. It shows that this definition has several nice intuitive properties: it implies that defection cannot exist in common-payoff games, uniformly weighted cons"&amp;"tant-sum games, or arbitrary games with a Nash equilibrium strategy. A Pareto improvement can also never be defection. It then goes on to show the opportunity for defection can exist in the Prisoner’s dilemma, Stag hunt, and Chicken (whether it exists dep"&amp;"ends on the specific payoff matrices).")</f>
        <v>We often talk about cooperating and defecting in general-sum games. This post proposes that we say that a player P has defected against a coalition C (that includes P) currently playing a strategy S when P deviates from the strategy S in a way that increases his or her own personal utility, but decreases the (weighted) average utility of the coalition. It shows that this definition has several nice intuitive properties: it implies that defection cannot exist in common-payoff games, uniformly weighted constant-sum games, or arbitrary games with a Nash equilibrium strategy. A Pareto improvement can also never be defection. It then goes on to show the opportunity for defection can exist in the Prisoner’s dilemma, Stag hunt, and Chicken (whether it exists depends on the specific payoff matrices).</v>
      </c>
    </row>
    <row r="636">
      <c r="A636" t="str">
        <f>IFERROR(__xludf.DUMMYFUNCTION("""COMPUTED_VALUE"""),"Handling groups of agents")</f>
        <v>Handling groups of agents</v>
      </c>
      <c r="B636" t="str">
        <f>IFERROR(__xludf.DUMMYFUNCTION("""COMPUTED_VALUE"""),"")</f>
        <v/>
      </c>
      <c r="C636" s="3" t="str">
        <f>IFERROR(__xludf.DUMMYFUNCTION("""COMPUTED_VALUE"""),"Multi-Agent Imitation Learning for Driving Simulation")</f>
        <v>Multi-Agent Imitation Learning for Driving Simulation</v>
      </c>
      <c r="E636" t="str">
        <f>IFERROR(__xludf.DUMMYFUNCTION("""COMPUTED_VALUE"""),"ICLR 2019")</f>
        <v>ICLR 2019</v>
      </c>
      <c r="F636">
        <f>IFERROR(__xludf.DUMMYFUNCTION("""COMPUTED_VALUE"""),2018.0)</f>
        <v>2018</v>
      </c>
      <c r="H636" s="3" t="str">
        <f>IFERROR(__xludf.DUMMYFUNCTION("""COMPUTED_VALUE"""),"Recon #4")</f>
        <v>Recon #4</v>
      </c>
    </row>
    <row r="637">
      <c r="A637" t="str">
        <f>IFERROR(__xludf.DUMMYFUNCTION("""COMPUTED_VALUE"""),"Handling groups of agents")</f>
        <v>Handling groups of agents</v>
      </c>
      <c r="B637" t="str">
        <f>IFERROR(__xludf.DUMMYFUNCTION("""COMPUTED_VALUE"""),"")</f>
        <v/>
      </c>
      <c r="C637" s="3" t="str">
        <f>IFERROR(__xludf.DUMMYFUNCTION("""COMPUTED_VALUE"""),"Multiagent GAIL")</f>
        <v>Multiagent GAIL</v>
      </c>
      <c r="E637" t="str">
        <f>IFERROR(__xludf.DUMMYFUNCTION("""COMPUTED_VALUE"""),"OpenReview")</f>
        <v>OpenReview</v>
      </c>
      <c r="F637">
        <f>IFERROR(__xludf.DUMMYFUNCTION("""COMPUTED_VALUE"""),2018.0)</f>
        <v>2018</v>
      </c>
      <c r="H637" s="3" t="str">
        <f>IFERROR(__xludf.DUMMYFUNCTION("""COMPUTED_VALUE"""),"Recon #4")</f>
        <v>Recon #4</v>
      </c>
    </row>
    <row r="638">
      <c r="A638" t="str">
        <f>IFERROR(__xludf.DUMMYFUNCTION("""COMPUTED_VALUE"""),"Handling groups of agents")</f>
        <v>Handling groups of agents</v>
      </c>
      <c r="B638" t="str">
        <f>IFERROR(__xludf.DUMMYFUNCTION("""COMPUTED_VALUE"""),"")</f>
        <v/>
      </c>
      <c r="C638" s="3" t="str">
        <f>IFERROR(__xludf.DUMMYFUNCTION("""COMPUTED_VALUE"""),"Negotiable Reinforcement Learning for Pareto Optimal Sequential Decision-Making")</f>
        <v>Negotiable Reinforcement Learning for Pareto Optimal Sequential Decision-Making</v>
      </c>
      <c r="D638" t="str">
        <f>IFERROR(__xludf.DUMMYFUNCTION("""COMPUTED_VALUE"""),"Nishant Desai, Andrew Critch, and Stuart Russell")</f>
        <v>Nishant Desai, Andrew Critch, and Stuart Russell</v>
      </c>
      <c r="E638" t="str">
        <f>IFERROR(__xludf.DUMMYFUNCTION("""COMPUTED_VALUE"""),"NeurIPS 2018")</f>
        <v>NeurIPS 2018</v>
      </c>
      <c r="F638">
        <f>IFERROR(__xludf.DUMMYFUNCTION("""COMPUTED_VALUE"""),2018.0)</f>
        <v>2018</v>
      </c>
      <c r="H638" t="str">
        <f>IFERROR(__xludf.DUMMYFUNCTION("""COMPUTED_VALUE"""),"N/A")</f>
        <v>N/A</v>
      </c>
      <c r="I638" t="str">
        <f>IFERROR(__xludf.DUMMYFUNCTION("""COMPUTED_VALUE"""),"Rohin")</f>
        <v>Rohin</v>
      </c>
      <c r="J638" t="str">
        <f>IFERROR(__xludf.DUMMYFUNCTION("""COMPUTED_VALUE"""),"As AI systems are deployed in the real world, they will have to navigate value differences between different users. Regardless of our beliefs on how they should trade off between users, we at least want our AI systems to be Pareto optimal -- if there is s"&amp;"ome way to help one user without harming any other user, it should do it. A classic result from social choice theory, Harsanyi's theorem, states that a Pareto optimal agent must be optimizing a weighted linear combination of the users' utility functions. "&amp;"(The weights determine how to trade off between users.) However, this assumes that the users all have the same _beliefs_. When users have different beliefs, we can get even better outcomes if the users bet on their beliefs. If I'm sure that our robot will"&amp;" make a chocolate chip cookie, while you're sure its going to be a brownie, rather than splitting whatever the robot brings, we can agree that if it's a cookie I get it, whereas if it's a brownie you get it, and this makes both of us better off by our own"&amp;" beliefs. This paper shows that a Pareto optimal agent helping users with different beliefs must be optimizing a weighted linear combination of the user's utility functions, where the weights are proportional to how accurate the user's beliefs turn out to"&amp;" be. It's as if the users bet with each other about their beliefs, with the stakes being the assistance of the agent.")</f>
        <v>As AI systems are deployed in the real world, they will have to navigate value differences between different users. Regardless of our beliefs on how they should trade off between users, we at least want our AI systems to be Pareto optimal -- if there is some way to help one user without harming any other user, it should do it. A classic result from social choice theory, Harsanyi's theorem, states that a Pareto optimal agent must be optimizing a weighted linear combination of the users' utility functions. (The weights determine how to trade off between users.) However, this assumes that the users all have the same _beliefs_. When users have different beliefs, we can get even better outcomes if the users bet on their beliefs. If I'm sure that our robot will make a chocolate chip cookie, while you're sure its going to be a brownie, rather than splitting whatever the robot brings, we can agree that if it's a cookie I get it, whereas if it's a brownie you get it, and this makes both of us better off by our own beliefs. This paper shows that a Pareto optimal agent helping users with different beliefs must be optimizing a weighted linear combination of the user's utility functions, where the weights are proportional to how accurate the user's beliefs turn out to be. It's as if the users bet with each other about their beliefs, with the stakes being the assistance of the agent.</v>
      </c>
      <c r="K638" t="str">
        <f>IFERROR(__xludf.DUMMYFUNCTION("""COMPUTED_VALUE"""),"In practice, I expect users are unlikely to want this, for similar reasons to why we don't bet on every belief difference we have with other people, even though it's net positive in expectation. But we do need to handle this somehow. An interesting scenar"&amp;"io to consider is when a regular person has different beliefs from an expert. Does the regular person have to defer exactly to the judgments of the expert to avoid being exploited? What if there's a regular person and _two_ experts who disagree with each "&amp;"other?")</f>
        <v>In practice, I expect users are unlikely to want this, for similar reasons to why we don't bet on every belief difference we have with other people, even though it's net positive in expectation. But we do need to handle this somehow. An interesting scenario to consider is when a regular person has different beliefs from an expert. Does the regular person have to defer exactly to the judgments of the expert to avoid being exploited? What if there's a regular person and _two_ experts who disagree with each other?</v>
      </c>
    </row>
    <row r="639">
      <c r="A639" t="str">
        <f>IFERROR(__xludf.DUMMYFUNCTION("""COMPUTED_VALUE"""),"Handling groups of agents")</f>
        <v>Handling groups of agents</v>
      </c>
      <c r="B639" t="str">
        <f>IFERROR(__xludf.DUMMYFUNCTION("""COMPUTED_VALUE"""),"")</f>
        <v/>
      </c>
      <c r="C639" s="3" t="str">
        <f>IFERROR(__xludf.DUMMYFUNCTION("""COMPUTED_VALUE"""),"Equilibrium and prior selection problems in multipolar deployment")</f>
        <v>Equilibrium and prior selection problems in multipolar deployment</v>
      </c>
      <c r="D639" t="str">
        <f>IFERROR(__xludf.DUMMYFUNCTION("""COMPUTED_VALUE"""),"Jesse Clifton")</f>
        <v>Jesse Clifton</v>
      </c>
      <c r="E639" t="str">
        <f>IFERROR(__xludf.DUMMYFUNCTION("""COMPUTED_VALUE"""),"Alignment Forum")</f>
        <v>Alignment Forum</v>
      </c>
      <c r="F639">
        <f>IFERROR(__xludf.DUMMYFUNCTION("""COMPUTED_VALUE"""),2020.0)</f>
        <v>2020</v>
      </c>
      <c r="H639" s="3" t="str">
        <f>IFERROR(__xludf.DUMMYFUNCTION("""COMPUTED_VALUE"""),"AN #94")</f>
        <v>AN #94</v>
      </c>
      <c r="I639" t="str">
        <f>IFERROR(__xludf.DUMMYFUNCTION("""COMPUTED_VALUE"""),"Rohin")</f>
        <v>Rohin</v>
      </c>
      <c r="J639" t="str">
        <f>IFERROR(__xludf.DUMMYFUNCTION("""COMPUTED_VALUE"""),"Consider the scenario in which two principals with different terminal goals will separately develop and deploy learning agents, that will then act on their behalf. Let us call this a _learning game_, in which the ""players"" are the principals, and the ac"&amp;"tions are the agents developed.
One strategy for this game is for the principals to first agree on a ""fair"" joint welfare function, such that they and their agents are then licensed to punish the other agent if they take actions that deviate from this "&amp;"welfare function. Ideally, this would lead to the agents jointly optimizing the welfare function (while being on the lookout for defection).
There still remain two coordination problems. First, there is an _equilibrium selection problem_: if the two depl"&amp;"oyed learning agents are Nash strategies from _different_ equilibria, payoffs can be arbitrarily bad. Second, there is a _prior selection problem_: given that there are many reasonable priors that the learning agents could have, if they end up with differ"&amp;"ent priors from each other, outcomes can again be quite bad, especially in the context of &lt;@threats@&gt;(@Cooperation, Conflict, and Transformative Artificial Intelligence: A Research Agenda@).")</f>
        <v>Consider the scenario in which two principals with different terminal goals will separately develop and deploy learning agents, that will then act on their behalf. Let us call this a _learning game_, in which the "players" are the principals, and the actions are the agents developed.
One strategy for this game is for the principals to first agree on a "fair" joint welfare function, such that they and their agents are then licensed to punish the other agent if they take actions that deviate from this welfare function. Ideally, this would lead to the agents jointly optimizing the welfare function (while being on the lookout for defection).
There still remain two coordination problems. First, there is an _equilibrium selection problem_: if the two deployed learning agents are Nash strategies from _different_ equilibria, payoffs can be arbitrarily bad. Second, there is a _prior selection problem_: given that there are many reasonable priors that the learning agents could have, if they end up with different priors from each other, outcomes can again be quite bad, especially in the context of &lt;@threats@&gt;(@Cooperation, Conflict, and Transformative Artificial Intelligence: A Research Agenda@).</v>
      </c>
      <c r="K639" t="str">
        <f>IFERROR(__xludf.DUMMYFUNCTION("""COMPUTED_VALUE"""),"These are indeed pretty hard problems in any non-competitive game. While this post takes the framing of considering optimal principals and/or agents (and so considers Bayesian strategies in which only the prior and choice of equilibrium are free variables"&amp;"), I prefer the framing taken in &lt;@our paper@&gt;(@Collaborating with Humans Requires Understanding Them@): the issue is primarily that the optimal thing for you to do depends strongly on who your partner is, but you may not have a good understanding of who "&amp;"your partner is, and if you're wrong you can do arbitrarily poorly.")</f>
        <v>These are indeed pretty hard problems in any non-competitive game. While this post takes the framing of considering optimal principals and/or agents (and so considers Bayesian strategies in which only the prior and choice of equilibrium are free variables), I prefer the framing taken in &lt;@our paper@&gt;(@Collaborating with Humans Requires Understanding Them@): the issue is primarily that the optimal thing for you to do depends strongly on who your partner is, but you may not have a good understanding of who your partner is, and if you're wrong you can do arbitrarily poorly.</v>
      </c>
    </row>
    <row r="640">
      <c r="A640" t="str">
        <f>IFERROR(__xludf.DUMMYFUNCTION("""COMPUTED_VALUE"""),"Handling groups of agents")</f>
        <v>Handling groups of agents</v>
      </c>
      <c r="B640" t="str">
        <f>IFERROR(__xludf.DUMMYFUNCTION("""COMPUTED_VALUE"""),"")</f>
        <v/>
      </c>
      <c r="C640" s="3" t="str">
        <f>IFERROR(__xludf.DUMMYFUNCTION("""COMPUTED_VALUE"""),"Scalable Centralized Deep Multi-Agent Reinforcement Learning via Policy Gradients")</f>
        <v>Scalable Centralized Deep Multi-Agent Reinforcement Learning via Policy Gradients</v>
      </c>
      <c r="D640" t="str">
        <f>IFERROR(__xludf.DUMMYFUNCTION("""COMPUTED_VALUE"""),"Arbaaz Khan, Clark Zhang, Daniel D. Lee, Vijay Kumar, Alejandro Ribeiro")</f>
        <v>Arbaaz Khan, Clark Zhang, Daniel D. Lee, Vijay Kumar, Alejandro Ribeiro</v>
      </c>
      <c r="E640" t="str">
        <f>IFERROR(__xludf.DUMMYFUNCTION("""COMPUTED_VALUE"""),"ICLR 2019")</f>
        <v>ICLR 2019</v>
      </c>
      <c r="F640">
        <f>IFERROR(__xludf.DUMMYFUNCTION("""COMPUTED_VALUE"""),2018.0)</f>
        <v>2018</v>
      </c>
      <c r="H640" s="3" t="str">
        <f>IFERROR(__xludf.DUMMYFUNCTION("""COMPUTED_VALUE"""),"AN #9")</f>
        <v>AN #9</v>
      </c>
    </row>
    <row r="641">
      <c r="A641" t="str">
        <f>IFERROR(__xludf.DUMMYFUNCTION("""COMPUTED_VALUE"""),"Handling groups of agents")</f>
        <v>Handling groups of agents</v>
      </c>
      <c r="B641" t="str">
        <f>IFERROR(__xludf.DUMMYFUNCTION("""COMPUTED_VALUE"""),"")</f>
        <v/>
      </c>
      <c r="C641" s="3" t="str">
        <f>IFERROR(__xludf.DUMMYFUNCTION("""COMPUTED_VALUE"""),"Learning to Teach in Cooperative Multiagent Reinforcement Learning")</f>
        <v>Learning to Teach in Cooperative Multiagent Reinforcement Learning</v>
      </c>
      <c r="D641" t="str">
        <f>IFERROR(__xludf.DUMMYFUNCTION("""COMPUTED_VALUE"""),"Shayegan Omidshafiei, Dong-Ki Kim, Miao Liu, Gerald Tesauro, Matthew Riemer, Christopher Amato, Murray Campbell, Jonathan P. How")</f>
        <v>Shayegan Omidshafiei, Dong-Ki Kim, Miao Liu, Gerald Tesauro, Matthew Riemer, Christopher Amato, Murray Campbell, Jonathan P. How</v>
      </c>
      <c r="E641" t="str">
        <f>IFERROR(__xludf.DUMMYFUNCTION("""COMPUTED_VALUE"""),"ICLR 2019")</f>
        <v>ICLR 2019</v>
      </c>
      <c r="F641">
        <f>IFERROR(__xludf.DUMMYFUNCTION("""COMPUTED_VALUE"""),2018.0)</f>
        <v>2018</v>
      </c>
      <c r="H641" s="3" t="str">
        <f>IFERROR(__xludf.DUMMYFUNCTION("""COMPUTED_VALUE"""),"AN #8")</f>
        <v>AN #8</v>
      </c>
    </row>
    <row r="642">
      <c r="A642" t="str">
        <f>IFERROR(__xludf.DUMMYFUNCTION("""COMPUTED_VALUE"""),"Handling groups of agents")</f>
        <v>Handling groups of agents</v>
      </c>
      <c r="B642" t="str">
        <f>IFERROR(__xludf.DUMMYFUNCTION("""COMPUTED_VALUE"""),"")</f>
        <v/>
      </c>
      <c r="C642" s="3" t="str">
        <f>IFERROR(__xludf.DUMMYFUNCTION("""COMPUTED_VALUE"""),"Social Influence as Intrinsic Motivation for Multi-Agent Deep RL")</f>
        <v>Social Influence as Intrinsic Motivation for Multi-Agent Deep RL</v>
      </c>
      <c r="D642" t="str">
        <f>IFERROR(__xludf.DUMMYFUNCTION("""COMPUTED_VALUE"""),"Natasha Jaques, Angeliki Lazaridou, Edward Hughes, Caglar Gulcehre, Pedro A. Ortega, DJ Strouse, Joel Z. Leibo, Nando de Freitas")</f>
        <v>Natasha Jaques, Angeliki Lazaridou, Edward Hughes, Caglar Gulcehre, Pedro A. Ortega, DJ Strouse, Joel Z. Leibo, Nando de Freitas</v>
      </c>
      <c r="E642" t="str">
        <f>IFERROR(__xludf.DUMMYFUNCTION("""COMPUTED_VALUE"""),"ICML 2019")</f>
        <v>ICML 2019</v>
      </c>
      <c r="F642">
        <f>IFERROR(__xludf.DUMMYFUNCTION("""COMPUTED_VALUE"""),2019.0)</f>
        <v>2019</v>
      </c>
      <c r="H642" s="3" t="str">
        <f>IFERROR(__xludf.DUMMYFUNCTION("""COMPUTED_VALUE"""),"AN #58")</f>
        <v>AN #58</v>
      </c>
      <c r="I642" t="str">
        <f>IFERROR(__xludf.DUMMYFUNCTION("""COMPUTED_VALUE"""),"Cody")</f>
        <v>Cody</v>
      </c>
      <c r="J642" t="str">
        <f>IFERROR(__xludf.DUMMYFUNCTION("""COMPUTED_VALUE"""),"An emerging field of common-sum multi-agent research asks how to induce groups of agents to perform complex coordination behavior to increase general reward, and many existing approaches involve centralized training or hardcoding altruistic behavior into "&amp;"the agents. This paper suggests a new technique that rewards agents for having a causal influence over the actions of other agents, in the sense that the actions of the pair of agents agents have high mutual information. The authors empirically find that "&amp;"having even a small number of agents who act as ""influencers"" can help avoid coordination failures in partial information settings and lead to higher collective reward.  In one sub-experiment, they only add this influence reward to the agents' communica"&amp;"tion channels, so agents are incentivized to provide information that will impact other agents' actions (this information is presumed to be truthful and beneficial since otherwise it would subsequently be ignored). ")</f>
        <v>An emerging field of common-sum multi-agent research asks how to induce groups of agents to perform complex coordination behavior to increase general reward, and many existing approaches involve centralized training or hardcoding altruistic behavior into the agents. This paper suggests a new technique that rewards agents for having a causal influence over the actions of other agents, in the sense that the actions of the pair of agents agents have high mutual information. The authors empirically find that having even a small number of agents who act as "influencers" can help avoid coordination failures in partial information settings and lead to higher collective reward.  In one sub-experiment, they only add this influence reward to the agents' communication channels, so agents are incentivized to provide information that will impact other agents' actions (this information is presumed to be truthful and beneficial since otherwise it would subsequently be ignored). </v>
      </c>
      <c r="K642" t="str">
        <f>IFERROR(__xludf.DUMMYFUNCTION("""COMPUTED_VALUE"""),"I'm interested by this paper's finding that you can generate apparently altruistic behavior by incentivizing agents to influence others, rather than necessarily help others. I also appreciate the point that was made to train in a decentralized way. I'd lo"&amp;"ve to see more work on a less asymmetric version of influence reward; currently influencers and influencees are separate groups due to worries about causal feedback loops, and this implicitly means there's a constructed group of quasi-altruistic agents wh"&amp;"o are getting less concrete reward because they're being incentivized by this auxiliary reward. ")</f>
        <v>I'm interested by this paper's finding that you can generate apparently altruistic behavior by incentivizing agents to influence others, rather than necessarily help others. I also appreciate the point that was made to train in a decentralized way. I'd love to see more work on a less asymmetric version of influence reward; currently influencers and influencees are separate groups due to worries about causal feedback loops, and this implicitly means there's a constructed group of quasi-altruistic agents who are getting less concrete reward because they're being incentivized by this auxiliary reward. </v>
      </c>
    </row>
    <row r="643">
      <c r="A643" t="str">
        <f>IFERROR(__xludf.DUMMYFUNCTION("""COMPUTED_VALUE"""),"Handling groups of agents")</f>
        <v>Handling groups of agents</v>
      </c>
      <c r="B643" t="str">
        <f>IFERROR(__xludf.DUMMYFUNCTION("""COMPUTED_VALUE"""),"")</f>
        <v/>
      </c>
      <c r="C643" s="3" t="str">
        <f>IFERROR(__xludf.DUMMYFUNCTION("""COMPUTED_VALUE"""),"On the Convergence of Competitive, Multi-Agent Gradient-Based Learning")</f>
        <v>On the Convergence of Competitive, Multi-Agent Gradient-Based Learning</v>
      </c>
      <c r="D643" t="str">
        <f>IFERROR(__xludf.DUMMYFUNCTION("""COMPUTED_VALUE"""),"Eric Mazumdar, Lillian J. Ratliff")</f>
        <v>Eric Mazumdar, Lillian J. Ratliff</v>
      </c>
      <c r="E643" t="str">
        <f>IFERROR(__xludf.DUMMYFUNCTION("""COMPUTED_VALUE"""),"arXiv")</f>
        <v>arXiv</v>
      </c>
      <c r="F643">
        <f>IFERROR(__xludf.DUMMYFUNCTION("""COMPUTED_VALUE"""),2018.0)</f>
        <v>2018</v>
      </c>
      <c r="H643" s="3" t="str">
        <f>IFERROR(__xludf.DUMMYFUNCTION("""COMPUTED_VALUE"""),"AN #3")</f>
        <v>AN #3</v>
      </c>
    </row>
    <row r="644">
      <c r="A644" t="str">
        <f>IFERROR(__xludf.DUMMYFUNCTION("""COMPUTED_VALUE"""),"Handling groups of agents")</f>
        <v>Handling groups of agents</v>
      </c>
      <c r="B644" t="str">
        <f>IFERROR(__xludf.DUMMYFUNCTION("""COMPUTED_VALUE"""),"")</f>
        <v/>
      </c>
      <c r="C644" s="3" t="str">
        <f>IFERROR(__xludf.DUMMYFUNCTION("""COMPUTED_VALUE"""),"Reinforcement Learning under Threats")</f>
        <v>Reinforcement Learning under Threats</v>
      </c>
      <c r="D644" t="str">
        <f>IFERROR(__xludf.DUMMYFUNCTION("""COMPUTED_VALUE"""),"Víctor Gallego, Roi Naveiro, David Ríos Insua")</f>
        <v>Víctor Gallego, Roi Naveiro, David Ríos Insua</v>
      </c>
      <c r="E644" t="str">
        <f>IFERROR(__xludf.DUMMYFUNCTION("""COMPUTED_VALUE"""),"arXiv")</f>
        <v>arXiv</v>
      </c>
      <c r="F644">
        <f>IFERROR(__xludf.DUMMYFUNCTION("""COMPUTED_VALUE"""),2018.0)</f>
        <v>2018</v>
      </c>
      <c r="H644" s="3" t="str">
        <f>IFERROR(__xludf.DUMMYFUNCTION("""COMPUTED_VALUE"""),"AN #23")</f>
        <v>AN #23</v>
      </c>
      <c r="I644" t="str">
        <f>IFERROR(__xludf.DUMMYFUNCTION("""COMPUTED_VALUE"""),"Rohin")</f>
        <v>Rohin</v>
      </c>
      <c r="J644" t="str">
        <f>IFERROR(__xludf.DUMMYFUNCTION("""COMPUTED_VALUE"""),"Due to lack of time, I only skimmed this paper for 5 minutes, but my general sense is that it takes MDPs and turns them into two player games by positing the presence of an adversary. It modifies the Bellman update equations to handle the adversary, but r"&amp;"uns into the usual problems of simulating an adversary that simulates you. So, it formalizes level-k thinking (simulating an opponent that thinks about you at level k-1), and evaluates this on matrix games and the friend-or-foe environment from [AI safety"&amp;" gridworlds](https://deepmind.com/blog/specifying-ai-safety-problems/).")</f>
        <v>Due to lack of time, I only skimmed this paper for 5 minutes, but my general sense is that it takes MDPs and turns them into two player games by positing the presence of an adversary. It modifies the Bellman update equations to handle the adversary, but runs into the usual problems of simulating an adversary that simulates you. So, it formalizes level-k thinking (simulating an opponent that thinks about you at level k-1), and evaluates this on matrix games and the friend-or-foe environment from [AI safety gridworlds](https://deepmind.com/blog/specifying-ai-safety-problems/).</v>
      </c>
      <c r="K644" t="str">
        <f>IFERROR(__xludf.DUMMYFUNCTION("""COMPUTED_VALUE"""),"I'm not sure what this is adding over two-player game theory (for which we can compute equilibria) but again I only skimmed the paper so it's quite likely that I missed something.")</f>
        <v>I'm not sure what this is adding over two-player game theory (for which we can compute equilibria) but again I only skimmed the paper so it's quite likely that I missed something.</v>
      </c>
    </row>
    <row r="645">
      <c r="A645" t="str">
        <f>IFERROR(__xludf.DUMMYFUNCTION("""COMPUTED_VALUE"""),"Handling groups of agents")</f>
        <v>Handling groups of agents</v>
      </c>
      <c r="B645" t="str">
        <f>IFERROR(__xludf.DUMMYFUNCTION("""COMPUTED_VALUE"""),"")</f>
        <v/>
      </c>
      <c r="C645" s="3" t="str">
        <f>IFERROR(__xludf.DUMMYFUNCTION("""COMPUTED_VALUE"""),"Multi-Agent Generative Adversarial Imitation Learning")</f>
        <v>Multi-Agent Generative Adversarial Imitation Learning</v>
      </c>
      <c r="D645" t="str">
        <f>IFERROR(__xludf.DUMMYFUNCTION("""COMPUTED_VALUE"""),"Jiaming Song, Hongyu Ren, Dorsa Sadigh, Stefano Ermon")</f>
        <v>Jiaming Song, Hongyu Ren, Dorsa Sadigh, Stefano Ermon</v>
      </c>
      <c r="E645" t="str">
        <f>IFERROR(__xludf.DUMMYFUNCTION("""COMPUTED_VALUE"""),"arXiv")</f>
        <v>arXiv</v>
      </c>
      <c r="F645">
        <f>IFERROR(__xludf.DUMMYFUNCTION("""COMPUTED_VALUE"""),2018.0)</f>
        <v>2018</v>
      </c>
      <c r="H645" s="3" t="str">
        <f>IFERROR(__xludf.DUMMYFUNCTION("""COMPUTED_VALUE"""),"AN #18")</f>
        <v>AN #18</v>
      </c>
      <c r="I645" t="str">
        <f>IFERROR(__xludf.DUMMYFUNCTION("""COMPUTED_VALUE"""),"Rohin")</f>
        <v>Rohin</v>
      </c>
      <c r="J645" t="str">
        <f>IFERROR(__xludf.DUMMYFUNCTION("""COMPUTED_VALUE"""),"This paper generalizes [GAIL](http://www.jonathanho.me/files/HoErmon_NIPS2016.pdf) (which was covered [last week](https://mailchi.mp/ad852629e45a/alignment-newsletter-17)) to the multiagent setting, where we want to imitate a group of interacting agents. "&amp;"They want to find a Nash equilibrium in particular. They formalize the Nash equilibrium constraints and use this to motivate a particular optimization problem for multiagent IRL, that looks very similar to their optimization problem for regular IRL in GAI"&amp;"L. After that, it is quite similar to GAIL -- they use a regularizer ψ for the reward functions, show that the composition of multiagent RL and multiagent IRL can be solved as a single optimization problem involving the convex conjugate of ψ, and propose "&amp;"a particular instantiation of ψ that is data-dependent, giving an algorithm. They do have to assume in the theory that the multiagent RL problem has a unique solution, which is not typically true, but may not be too important. As before, to make the algor"&amp;"ithm practical, they structure it like a GAN, with discriminators acting like reward functions. What if we have prior information that the game is cooperative or competitive? In this case, they propose changing the regularizer ψ, making it keep all the re"&amp;"ward functions the same (if cooperative), making them negations of each other (in two-player zero-sum games), or leaving it as is. They evaluate in a variety of simple multiagent games, as well as a plank environment in which the environment changes betwe"&amp;"en training and test time, thus requiring the agent to learn a robust policy, and find that the correct variant of MAGAIL (cooperative/competitive/neither) outperforms both behavioral cloning and single-agent GAIL (which they run N times to infer a separa"&amp;"te reward for each agent).")</f>
        <v>This paper generalizes [GAIL](http://www.jonathanho.me/files/HoErmon_NIPS2016.pdf) (which was covered [last week](https://mailchi.mp/ad852629e45a/alignment-newsletter-17)) to the multiagent setting, where we want to imitate a group of interacting agents. They want to find a Nash equilibrium in particular. They formalize the Nash equilibrium constraints and use this to motivate a particular optimization problem for multiagent IRL, that looks very similar to their optimization problem for regular IRL in GAIL. After that, it is quite similar to GAIL -- they use a regularizer ψ for the reward functions, show that the composition of multiagent RL and multiagent IRL can be solved as a single optimization problem involving the convex conjugate of ψ, and propose a particular instantiation of ψ that is data-dependent, giving an algorithm. They do have to assume in the theory that the multiagent RL problem has a unique solution, which is not typically true, but may not be too important. As before, to make the algorithm practical, they structure it like a GAN, with discriminators acting like reward functions. What if we have prior information that the game is cooperative or competitive? In this case, they propose changing the regularizer ψ, making it keep all the reward functions the same (if cooperative), making them negations of each other (in two-player zero-sum games), or leaving it as is. They evaluate in a variety of simple multiagent games, as well as a plank environment in which the environment changes between training and test time, thus requiring the agent to learn a robust policy, and find that the correct variant of MAGAIL (cooperative/competitive/neither) outperforms both behavioral cloning and single-agent GAIL (which they run N times to infer a separate reward for each agent).</v>
      </c>
      <c r="K645" t="str">
        <f>IFERROR(__xludf.DUMMYFUNCTION("""COMPUTED_VALUE"""),"Multiagent settings seem very important (since there does happen to be more than one human in the world). This looks like a useful generalization from the single agent case to the multiagent case, though it's not clear to me that this deals with the major"&amp;" challenges that come from multiagent scenarios. One major challenge is that there is no longer a single optimal equilibrium when there are multiple agents, but they simply assume in their theoretical analysis that there is only one solution. Another one "&amp;"is that it seems more important that the policies take history into account somehow, but they don't do this. (If you don't take history into account, then you can't learn strategies like tit-for-tat in the iterated prisoner's dilemma.) But to be clear I t"&amp;"hink this is the standard setup for multiagent RL -- it seems like field is not trying to deal with this issue yet (even though they could using eg. a recurrent policy, I think?)")</f>
        <v>Multiagent settings seem very important (since there does happen to be more than one human in the world). This looks like a useful generalization from the single agent case to the multiagent case, though it's not clear to me that this deals with the major challenges that come from multiagent scenarios. One major challenge is that there is no longer a single optimal equilibrium when there are multiple agents, but they simply assume in their theoretical analysis that there is only one solution. Another one is that it seems more important that the policies take history into account somehow, but they don't do this. (If you don't take history into account, then you can't learn strategies like tit-for-tat in the iterated prisoner's dilemma.) But to be clear I think this is the standard setup for multiagent RL -- it seems like field is not trying to deal with this issue yet (even though they could using eg. a recurrent policy, I think?)</v>
      </c>
    </row>
    <row r="646">
      <c r="A646" t="str">
        <f>IFERROR(__xludf.DUMMYFUNCTION("""COMPUTED_VALUE"""),"Handling groups of agents")</f>
        <v>Handling groups of agents</v>
      </c>
      <c r="B646" t="str">
        <f>IFERROR(__xludf.DUMMYFUNCTION("""COMPUTED_VALUE"""),"")</f>
        <v/>
      </c>
      <c r="C646" s="3" t="str">
        <f>IFERROR(__xludf.DUMMYFUNCTION("""COMPUTED_VALUE"""),"Weak identifiability and its consequences in strategic settings")</f>
        <v>Weak identifiability and its consequences in strategic settings</v>
      </c>
      <c r="D646" t="str">
        <f>IFERROR(__xludf.DUMMYFUNCTION("""COMPUTED_VALUE"""),"Jesse Clifton")</f>
        <v>Jesse Clifton</v>
      </c>
      <c r="E646" t="str">
        <f>IFERROR(__xludf.DUMMYFUNCTION("""COMPUTED_VALUE"""),"CLR Website")</f>
        <v>CLR Website</v>
      </c>
      <c r="F646">
        <f>IFERROR(__xludf.DUMMYFUNCTION("""COMPUTED_VALUE"""),2021.0)</f>
        <v>2021</v>
      </c>
      <c r="H646" s="3" t="str">
        <f>IFERROR(__xludf.DUMMYFUNCTION("""COMPUTED_VALUE"""),"AN #150")</f>
        <v>AN #150</v>
      </c>
      <c r="I646" t="str">
        <f>IFERROR(__xludf.DUMMYFUNCTION("""COMPUTED_VALUE"""),"Rohin")</f>
        <v>Rohin</v>
      </c>
      <c r="J646" t="str">
        <f>IFERROR(__xludf.DUMMYFUNCTION("""COMPUTED_VALUE"""),"Inverse reinforcement learning suffers from the problem of unidentifiability: even given large amounts of data, it is not possible to uniquely recover the true reward function. This can lead to poor predictions if assumptions change (e.g. if there is some"&amp;" distributional shift, or if you are trying to correct for some bias like hyperbolic discounting).
This post demonstrates how a similar failure can affect multiagent settings as well, using the ultimatum game as an example. In the ultimatum game, there a"&amp;"re two players: the Proposer and the Responder. The Proposer suggests a way to split $10 between the two players, and the Responder decides either to accept or reject the offer. If the offer is accepted, then the players get money according to the propose"&amp;"d split. If the offer is rejected, neither player gets anything.
Let’s suppose we get to observe how a particular Responder plays in an iterated ultimatum game, where we see as much data as we want. We figure out that the Responder will reject any split "&amp;"where it gets under $4. We could posit two explanations for this behavior:
1. Reputation-building: The Responder is building a reputation of refusing unfair splits (defined as a split where it gets &lt; $4), so that it is offered better splits in the future"&amp;".
2. Commitment: The Responder may have committed in advance to always refuse unfair splits (for the same reason, or perhaps because the Responder intrinsically dislikes unfair deals).
Note that both explanations perfectly account for all the data (no ma"&amp;"tter how much data we get).
Suppose the Responder has committed to rejecting unfair deals, but we incorrectly believe that it does it for reputation-building. Let’s say we now play a _one-shot_ ultimatum game with the Responder. We reason that it no long"&amp;"er needs to build reputation, and so it will accept a 9/1 split. However, in fact it has _committed_ to avoid unfair splits, and so rejects our offer. The post also gives a mathematical formalization of this example.")</f>
        <v>Inverse reinforcement learning suffers from the problem of unidentifiability: even given large amounts of data, it is not possible to uniquely recover the true reward function. This can lead to poor predictions if assumptions change (e.g. if there is some distributional shift, or if you are trying to correct for some bias like hyperbolic discounting).
This post demonstrates how a similar failure can affect multiagent settings as well, using the ultimatum game as an example. In the ultimatum game, there are two players: the Proposer and the Responder. The Proposer suggests a way to split $10 between the two players, and the Responder decides either to accept or reject the offer. If the offer is accepted, then the players get money according to the proposed split. If the offer is rejected, neither player gets anything.
Let’s suppose we get to observe how a particular Responder plays in an iterated ultimatum game, where we see as much data as we want. We figure out that the Responder will reject any split where it gets under $4. We could posit two explanations for this behavior:
1. Reputation-building: The Responder is building a reputation of refusing unfair splits (defined as a split where it gets &lt; $4), so that it is offered better splits in the future.
2. Commitment: The Responder may have committed in advance to always refuse unfair splits (for the same reason, or perhaps because the Responder intrinsically dislikes unfair deals).
Note that both explanations perfectly account for all the data (no matter how much data we get).
Suppose the Responder has committed to rejecting unfair deals, but we incorrectly believe that it does it for reputation-building. Let’s say we now play a _one-shot_ ultimatum game with the Responder. We reason that it no longer needs to build reputation, and so it will accept a 9/1 split. However, in fact it has _committed_ to avoid unfair splits, and so rejects our offer. The post also gives a mathematical formalization of this example.</v>
      </c>
    </row>
    <row r="647">
      <c r="A647" t="str">
        <f>IFERROR(__xludf.DUMMYFUNCTION("""COMPUTED_VALUE"""),"Handling groups of agents")</f>
        <v>Handling groups of agents</v>
      </c>
      <c r="B647" t="str">
        <f>IFERROR(__xludf.DUMMYFUNCTION("""COMPUTED_VALUE"""),"")</f>
        <v/>
      </c>
      <c r="C647" s="3" t="str">
        <f>IFERROR(__xludf.DUMMYFUNCTION("""COMPUTED_VALUE"""),"Modeling Friends and Foes")</f>
        <v>Modeling Friends and Foes</v>
      </c>
      <c r="D647" t="str">
        <f>IFERROR(__xludf.DUMMYFUNCTION("""COMPUTED_VALUE"""),"Pedro A. Ortega, Shane Legg")</f>
        <v>Pedro A. Ortega, Shane Legg</v>
      </c>
      <c r="E647" t="str">
        <f>IFERROR(__xludf.DUMMYFUNCTION("""COMPUTED_VALUE"""),"arXiv")</f>
        <v>arXiv</v>
      </c>
      <c r="F647">
        <f>IFERROR(__xludf.DUMMYFUNCTION("""COMPUTED_VALUE"""),2018.0)</f>
        <v>2018</v>
      </c>
      <c r="H647" s="3" t="str">
        <f>IFERROR(__xludf.DUMMYFUNCTION("""COMPUTED_VALUE"""),"AN #14")</f>
        <v>AN #14</v>
      </c>
      <c r="I647" t="str">
        <f>IFERROR(__xludf.DUMMYFUNCTION("""COMPUTED_VALUE"""),"Rohin")</f>
        <v>Rohin</v>
      </c>
      <c r="J647" t="str">
        <f>IFERROR(__xludf.DUMMYFUNCTION("""COMPUTED_VALUE"""),"Multiagent scenarios are typically modeled using game theory. However, it is hard to capture the intuitive notions of ""adversarial"", ""neutral"" and ""friendly"" agents using standard game theory terminology. The authors propose that we model the agent "&amp;"and environment as having some prior mixed strategy, and then allow them to ""react"" by changing the strategies to get a posterior strategy, but with a term in the objective function for the change (as measured by the KL divergence). The sign of the envi"&amp;"ronment's KL divergence term determines whether it is friendly or adversarial, and the magnitude determines the magnitude of friendliness or adversarialness. They show that there are always equilibria, and give an algorithm to compute them. They then show"&amp;" some experiments demonstrating that the notions of ""friendly"" and ""adversarial"" they develop actually do lead to behavior that we would intuitively call friendly or adversarial.
Some notes to understand the paper: while normally we think of multiage"&amp;"nt games as consisting of a set of agents, in this paper there is an agent that acts, and an environment in which it acts (which can contain other agents). The objective function is neither minimized nor maximized -- the sign of the environment's KL diver"&amp;"gence changes whether the stationary points are maxima or minima (which is why it can model both friendly and adversarial environments). There is only one utility function, the agent's utility function -- the environment is only modeled as responding to t"&amp;"he agent, rather than having its own utility function.")</f>
        <v>Multiagent scenarios are typically modeled using game theory. However, it is hard to capture the intuitive notions of "adversarial", "neutral" and "friendly" agents using standard game theory terminology. The authors propose that we model the agent and environment as having some prior mixed strategy, and then allow them to "react" by changing the strategies to get a posterior strategy, but with a term in the objective function for the change (as measured by the KL divergence). The sign of the environment's KL divergence term determines whether it is friendly or adversarial, and the magnitude determines the magnitude of friendliness or adversarialness. They show that there are always equilibria, and give an algorithm to compute them. They then show some experiments demonstrating that the notions of "friendly" and "adversarial" they develop actually do lead to behavior that we would intuitively call friendly or adversarial.
Some notes to understand the paper: while normally we think of multiagent games as consisting of a set of agents, in this paper there is an agent that acts, and an environment in which it acts (which can contain other agents). The objective function is neither minimized nor maximized -- the sign of the environment's KL divergence changes whether the stationary points are maxima or minima (which is why it can model both friendly and adversarial environments). There is only one utility function, the agent's utility function -- the environment is only modeled as responding to the agent, rather than having its own utility function.</v>
      </c>
      <c r="K647" t="str">
        <f>IFERROR(__xludf.DUMMYFUNCTION("""COMPUTED_VALUE"""),"This is an interesting formalization of friendly and adversarial behavior. It feels somewhat weird to model the environment as having a prior strategy that it can then update. This has the implication that a ""somewhat friendly"" environment is unable to "&amp;"change its strategy to help the agent, even though it would ""want"" to, whereas when I think of a ""somewhat friendly"" environment, I think of a group of agents that share some of your goals but not all of them, so a limited amount of cooperation is pos"&amp;"sible. These feel quite different.")</f>
        <v>This is an interesting formalization of friendly and adversarial behavior. It feels somewhat weird to model the environment as having a prior strategy that it can then update. This has the implication that a "somewhat friendly" environment is unable to change its strategy to help the agent, even though it would "want" to, whereas when I think of a "somewhat friendly" environment, I think of a group of agents that share some of your goals but not all of them, so a limited amount of cooperation is possible. These feel quite different.</v>
      </c>
    </row>
    <row r="648">
      <c r="A648" t="str">
        <f>IFERROR(__xludf.DUMMYFUNCTION("""COMPUTED_VALUE"""),"Handling groups of agents")</f>
        <v>Handling groups of agents</v>
      </c>
      <c r="B648" t="str">
        <f>IFERROR(__xludf.DUMMYFUNCTION("""COMPUTED_VALUE"""),"")</f>
        <v/>
      </c>
      <c r="C648" s="3" t="str">
        <f>IFERROR(__xludf.DUMMYFUNCTION("""COMPUTED_VALUE"""),"Learning Social Conventions in Markov Games")</f>
        <v>Learning Social Conventions in Markov Games</v>
      </c>
      <c r="D648" t="str">
        <f>IFERROR(__xludf.DUMMYFUNCTION("""COMPUTED_VALUE"""),"Adam Lerer and Alexander Peysakhovich")</f>
        <v>Adam Lerer and Alexander Peysakhovich</v>
      </c>
      <c r="E648" t="str">
        <f>IFERROR(__xludf.DUMMYFUNCTION("""COMPUTED_VALUE"""),"arXiv")</f>
        <v>arXiv</v>
      </c>
      <c r="F648">
        <f>IFERROR(__xludf.DUMMYFUNCTION("""COMPUTED_VALUE"""),2018.0)</f>
        <v>2018</v>
      </c>
      <c r="H648" s="3" t="str">
        <f>IFERROR(__xludf.DUMMYFUNCTION("""COMPUTED_VALUE"""),"AN #13")</f>
        <v>AN #13</v>
      </c>
    </row>
    <row r="649">
      <c r="A649" t="str">
        <f>IFERROR(__xludf.DUMMYFUNCTION("""COMPUTED_VALUE"""),"Handling groups of agents")</f>
        <v>Handling groups of agents</v>
      </c>
      <c r="B649" t="str">
        <f>IFERROR(__xludf.DUMMYFUNCTION("""COMPUTED_VALUE"""),"")</f>
        <v/>
      </c>
      <c r="C649" s="3" t="str">
        <f>IFERROR(__xludf.DUMMYFUNCTION("""COMPUTED_VALUE"""),"Multi-agent Social Reinforcement Learning Improves Generalization")</f>
        <v>Multi-agent Social Reinforcement Learning Improves Generalization</v>
      </c>
      <c r="D649" t="str">
        <f>IFERROR(__xludf.DUMMYFUNCTION("""COMPUTED_VALUE"""),"Kamal Ndousse, Douglas Eck, Sergey Levine, Natasha Jaques")</f>
        <v>Kamal Ndousse, Douglas Eck, Sergey Levine, Natasha Jaques</v>
      </c>
      <c r="E649" t="str">
        <f>IFERROR(__xludf.DUMMYFUNCTION("""COMPUTED_VALUE"""),"arXiv")</f>
        <v>arXiv</v>
      </c>
      <c r="F649">
        <f>IFERROR(__xludf.DUMMYFUNCTION("""COMPUTED_VALUE"""),2020.0)</f>
        <v>2020</v>
      </c>
      <c r="H649" s="3" t="str">
        <f>IFERROR(__xludf.DUMMYFUNCTION("""COMPUTED_VALUE"""),"AN #123")</f>
        <v>AN #123</v>
      </c>
      <c r="I649" t="str">
        <f>IFERROR(__xludf.DUMMYFUNCTION("""COMPUTED_VALUE"""),"Rohin")</f>
        <v>Rohin</v>
      </c>
      <c r="J649" t="str">
        <f>IFERROR(__xludf.DUMMYFUNCTION("""COMPUTED_VALUE"""),"We’ve previously seen that in sparse reward settings where exploration is hard, it’s very useful to have expert demonstrations to avoid having to do all the exploration yourself (&lt;@1@&gt;(@Learning Montezuma’s Revenge from a Single Demonstration@), &lt;@2@&gt;(@Ma"&amp;"king Efficient Use of Demonstrations to Solve Hard Exploration Problems@), &lt;@3@&gt;(@Playing hard exploration games by watching YouTube@)). However, this assumes that the demonstrator is “external” to the environment, whereas really we’d like to model them a"&amp;"s part of the environment, as in &lt;@assistance games@&gt;(@Cooperative Inverse Reinforcement Learning@). This then looks like _social learning_, in which agents learn how to perform tasks by looking at cues from other agents within the environment.
But how c"&amp;"an we do this in high-dimensional environments? This paper looks at one approach: adding an auxiliary loss in which the agent must predict the next state of the environment. Since the environment itself contains experts that do useful things, the agent im"&amp;"plicitly must learn what those experts are doing and what effects their actions have.
They find that such agents learn to follow the cues of the experts and thus achieve significantly improved reward relative to agents that are trained in isolation. In f"&amp;"act, these agents can be transferred to novel environments, where they continue to follow expert cues to achieve high reward. However, this means that they don’t learn how to act when experts aren’t present, and so fail in the solo setting. This can be fi"&amp;"xed by training on a mixture of solo settings and settings with experts present.")</f>
        <v>We’ve previously seen that in sparse reward settings where exploration is hard, it’s very useful to have expert demonstrations to avoid having to do all the exploration yourself (&lt;@1@&gt;(@Learning Montezuma’s Revenge from a Single Demonstration@), &lt;@2@&gt;(@Making Efficient Use of Demonstrations to Solve Hard Exploration Problems@), &lt;@3@&gt;(@Playing hard exploration games by watching YouTube@)). However, this assumes that the demonstrator is “external” to the environment, whereas really we’d like to model them as part of the environment, as in &lt;@assistance games@&gt;(@Cooperative Inverse Reinforcement Learning@). This then looks like _social learning_, in which agents learn how to perform tasks by looking at cues from other agents within the environment.
But how can we do this in high-dimensional environments? This paper looks at one approach: adding an auxiliary loss in which the agent must predict the next state of the environment. Since the environment itself contains experts that do useful things, the agent implicitly must learn what those experts are doing and what effects their actions have.
They find that such agents learn to follow the cues of the experts and thus achieve significantly improved reward relative to agents that are trained in isolation. In fact, these agents can be transferred to novel environments, where they continue to follow expert cues to achieve high reward. However, this means that they don’t learn how to act when experts aren’t present, and so fail in the solo setting. This can be fixed by training on a mixture of solo settings and settings with experts present.</v>
      </c>
      <c r="K649" t="str">
        <f>IFERROR(__xludf.DUMMYFUNCTION("""COMPUTED_VALUE"""),"I’m a big fan of moving towards modeling humans as part of the environment, since we will eventually have AI systems working with and interacting with humans -- they won’t be “external to the AI’s universe” as it is often modeled currently.")</f>
        <v>I’m a big fan of moving towards modeling humans as part of the environment, since we will eventually have AI systems working with and interacting with humans -- they won’t be “external to the AI’s universe” as it is often modeled currently.</v>
      </c>
    </row>
    <row r="650">
      <c r="A650" t="str">
        <f>IFERROR(__xludf.DUMMYFUNCTION("""COMPUTED_VALUE"""),"Handling groups of agents")</f>
        <v>Handling groups of agents</v>
      </c>
      <c r="B650" t="str">
        <f>IFERROR(__xludf.DUMMYFUNCTION("""COMPUTED_VALUE"""),"")</f>
        <v/>
      </c>
      <c r="C650" s="3" t="str">
        <f>IFERROR(__xludf.DUMMYFUNCTION("""COMPUTED_VALUE"""),"Comparing Utilities")</f>
        <v>Comparing Utilities</v>
      </c>
      <c r="D650" t="str">
        <f>IFERROR(__xludf.DUMMYFUNCTION("""COMPUTED_VALUE"""),"Abram Demski")</f>
        <v>Abram Demski</v>
      </c>
      <c r="E650" t="str">
        <f>IFERROR(__xludf.DUMMYFUNCTION("""COMPUTED_VALUE"""),"Alignment Forum")</f>
        <v>Alignment Forum</v>
      </c>
      <c r="F650">
        <f>IFERROR(__xludf.DUMMYFUNCTION("""COMPUTED_VALUE"""),2020.0)</f>
        <v>2020</v>
      </c>
      <c r="H650" s="3" t="str">
        <f>IFERROR(__xludf.DUMMYFUNCTION("""COMPUTED_VALUE"""),"AN #118")</f>
        <v>AN #118</v>
      </c>
      <c r="I650" t="str">
        <f>IFERROR(__xludf.DUMMYFUNCTION("""COMPUTED_VALUE"""),"Rohin")</f>
        <v>Rohin</v>
      </c>
      <c r="J650" t="str">
        <f>IFERROR(__xludf.DUMMYFUNCTION("""COMPUTED_VALUE"""),"This is a reference post about preference aggregation across multiple individually rational agents (in the sense that they have [VNM-style](https://en.wikipedia.org/wiki/Von_Neumann%E2%80%93Morgenstern_utility_theorem) utility functions), that explains th"&amp;"e following points (among others):
1. The concept of “utility” in ethics is somewhat overloaded. The “utility” in hedonic utilitarianism is very different from the VNM concept of utility. The concept of “utility” in preference utilitarianism is pretty si"&amp;"milar to the VNM concept of utility.
2. Utilities are not directly comparable, because affine transformations of utility functions represent exactly the same set of preferences. Without any additional information, concepts like “utility monster” are type "&amp;"errors.
3. However, our goal is not to compare utilities, it is to aggregate people’s preferences. We can instead impose constraints on the aggregation procedure.
4. If we require that the aggregation procedure produces a Pareto-optimal outcome, then Hars"&amp;"anyi’s utilitarianism theorem says that our aggregation procedure can be viewed as maximizing some linear combination of the utility functions.
5. We usually want to incorporate some notion of fairness. Different specific assumptions lead to different res"&amp;"ults, including variance normalization, Nash bargaining, and Kalai-Smorodinsky.")</f>
        <v>This is a reference post about preference aggregation across multiple individually rational agents (in the sense that they have [VNM-style](https://en.wikipedia.org/wiki/Von_Neumann%E2%80%93Morgenstern_utility_theorem) utility functions), that explains the following points (among others):
1. The concept of “utility” in ethics is somewhat overloaded. The “utility” in hedonic utilitarianism is very different from the VNM concept of utility. The concept of “utility” in preference utilitarianism is pretty similar to the VNM concept of utility.
2. Utilities are not directly comparable, because affine transformations of utility functions represent exactly the same set of preferences. Without any additional information, concepts like “utility monster” are type errors.
3. However, our goal is not to compare utilities, it is to aggregate people’s preferences. We can instead impose constraints on the aggregation procedure.
4. If we require that the aggregation procedure produces a Pareto-optimal outcome, then Harsanyi’s utilitarianism theorem says that our aggregation procedure can be viewed as maximizing some linear combination of the utility functions.
5. We usually want to incorporate some notion of fairness. Different specific assumptions lead to different results, including variance normalization, Nash bargaining, and Kalai-Smorodinsky.</v>
      </c>
    </row>
    <row r="651">
      <c r="A651" t="str">
        <f>IFERROR(__xludf.DUMMYFUNCTION("""COMPUTED_VALUE"""),"Handling groups of agents")</f>
        <v>Handling groups of agents</v>
      </c>
      <c r="B651" t="str">
        <f>IFERROR(__xludf.DUMMYFUNCTION("""COMPUTED_VALUE"""),"")</f>
        <v/>
      </c>
      <c r="C651" s="3" t="str">
        <f>IFERROR(__xludf.DUMMYFUNCTION("""COMPUTED_VALUE"""),"Theory of Minds: Understanding Behavior in Groups Through Inverse Planning")</f>
        <v>Theory of Minds: Understanding Behavior in Groups Through Inverse Planning</v>
      </c>
      <c r="D651" t="str">
        <f>IFERROR(__xludf.DUMMYFUNCTION("""COMPUTED_VALUE"""),"Michael Shum, Max Kleiman-Weiner, Michael L. Littman, Joshua B. Tenenbaum")</f>
        <v>Michael Shum, Max Kleiman-Weiner, Michael L. Littman, Joshua B. Tenenbaum</v>
      </c>
      <c r="E651" t="str">
        <f>IFERROR(__xludf.DUMMYFUNCTION("""COMPUTED_VALUE"""),"AAAI 2019")</f>
        <v>AAAI 2019</v>
      </c>
      <c r="F651">
        <f>IFERROR(__xludf.DUMMYFUNCTION("""COMPUTED_VALUE"""),2019.0)</f>
        <v>2019</v>
      </c>
      <c r="H651" s="3" t="str">
        <f>IFERROR(__xludf.DUMMYFUNCTION("""COMPUTED_VALUE"""),"AN #43")</f>
        <v>AN #43</v>
      </c>
      <c r="I651" t="str">
        <f>IFERROR(__xludf.DUMMYFUNCTION("""COMPUTED_VALUE"""),"Richard")</f>
        <v>Richard</v>
      </c>
      <c r="J651" t="str">
        <f>IFERROR(__xludf.DUMMYFUNCTION("""COMPUTED_VALUE"""),"This paper introduces Composable Team Hierarchies (CTH), a representation designed for reasoning about how agents reason about each other in collaborative and competitive environments. CTH uses two ""planning operators"": the Best Response operator return"&amp;"s the best policy in a single-agent game, and the Joint Planning operator returns the best team policy when all agents are cooperating. Competitive policies can then be derived via recursive application of those operations to subsets of agents (while hold"&amp;"ing the policies of other agents fixed). CTH draws from ideas in level-K planning (in which each agent assumes all other agents are at level K-1) and cooperative planning, but is more powerful than either approach.
The authors experiment with using CTH t"&amp;"o probabilistically infer policies and future actions of agents participating in the stag-hunt task; they find that these judgements correlate well with human data.")</f>
        <v>This paper introduces Composable Team Hierarchies (CTH), a representation designed for reasoning about how agents reason about each other in collaborative and competitive environments. CTH uses two "planning operators": the Best Response operator returns the best policy in a single-agent game, and the Joint Planning operator returns the best team policy when all agents are cooperating. Competitive policies can then be derived via recursive application of those operations to subsets of agents (while holding the policies of other agents fixed). CTH draws from ideas in level-K planning (in which each agent assumes all other agents are at level K-1) and cooperative planning, but is more powerful than either approach.
The authors experiment with using CTH to probabilistically infer policies and future actions of agents participating in the stag-hunt task; they find that these judgements correlate well with human data.</v>
      </c>
      <c r="K651" t="str">
        <f>IFERROR(__xludf.DUMMYFUNCTION("""COMPUTED_VALUE"""),"This is a cool theoretical framework. Its relevance depends on how likely you think it is that social cognition will be a core component of AGI, as opposed to just another task to be solved using general-purpose reasoning. I imagine that most AI safety re"&amp;"searchers lean towards the latter, but there are some reasons to give credence to the former.")</f>
        <v>This is a cool theoretical framework. Its relevance depends on how likely you think it is that social cognition will be a core component of AGI, as opposed to just another task to be solved using general-purpose reasoning. I imagine that most AI safety researchers lean towards the latter, but there are some reasons to give credence to the former.</v>
      </c>
    </row>
    <row r="652">
      <c r="A652" t="str">
        <f>IFERROR(__xludf.DUMMYFUNCTION("""COMPUTED_VALUE"""),"Handling groups of agents")</f>
        <v>Handling groups of agents</v>
      </c>
      <c r="B652" t="str">
        <f>IFERROR(__xludf.DUMMYFUNCTION("""COMPUTED_VALUE"""),"")</f>
        <v/>
      </c>
      <c r="C652" s="3" t="str">
        <f>IFERROR(__xludf.DUMMYFUNCTION("""COMPUTED_VALUE"""),"Multi-Agent Overoptimization, and Embedded Agent World Models")</f>
        <v>Multi-Agent Overoptimization, and Embedded Agent World Models</v>
      </c>
      <c r="D652" t="str">
        <f>IFERROR(__xludf.DUMMYFUNCTION("""COMPUTED_VALUE"""),"David Manheim")</f>
        <v>David Manheim</v>
      </c>
      <c r="E652" t="str">
        <f>IFERROR(__xludf.DUMMYFUNCTION("""COMPUTED_VALUE"""),"Alignment Forum")</f>
        <v>Alignment Forum</v>
      </c>
      <c r="F652">
        <f>IFERROR(__xludf.DUMMYFUNCTION("""COMPUTED_VALUE"""),2018.0)</f>
        <v>2018</v>
      </c>
      <c r="H652" s="3" t="str">
        <f>IFERROR(__xludf.DUMMYFUNCTION("""COMPUTED_VALUE"""),"AN #32")</f>
        <v>AN #32</v>
      </c>
      <c r="I652" t="str">
        <f>IFERROR(__xludf.DUMMYFUNCTION("""COMPUTED_VALUE"""),"Rohin")</f>
        <v>Rohin</v>
      </c>
      <c r="J652" t="str">
        <f>IFERROR(__xludf.DUMMYFUNCTION("""COMPUTED_VALUE"""),"This post and the associated [paper](https://arxiv.org/abs/1810.10862) argue for the complexity of multiagent settings, where you must build a model of how other agents act, even though they have models of how you act. While game theory already deals with"&amp;" this setting, it only does so by assuming that the agents are perfectly rational, an assumption that doesn't hold in practice and doesn't grapple with the fact that your model of the opponent cannot be perfect. The paper lists a few failure modes. Accide"&amp;"ntal steering happens when one agent takes action without the knowledge of what other agents are doing. Coordination failures are exactly what they sound like. Adversarial misalignment happens when one agent chooses actions to mislead a victim agent into "&amp;"taking actions that benefit the first agent. Input spoofing and filtering happen when one agent doctors the training data for a victim agent. Goal co-option occurs when one agent takes control over the other agent (possibly by modifying their reward funct"&amp;"ion).")</f>
        <v>This post and the associated [paper](https://arxiv.org/abs/1810.10862) argue for the complexity of multiagent settings, where you must build a model of how other agents act, even though they have models of how you act. While game theory already deals with this setting, it only does so by assuming that the agents are perfectly rational, an assumption that doesn't hold in practice and doesn't grapple with the fact that your model of the opponent cannot be perfect. The paper lists a few failure modes. Accidental steering happens when one agent takes action without the knowledge of what other agents are doing. Coordination failures are exactly what they sound like. Adversarial misalignment happens when one agent chooses actions to mislead a victim agent into taking actions that benefit the first agent. Input spoofing and filtering happen when one agent doctors the training data for a victim agent. Goal co-option occurs when one agent takes control over the other agent (possibly by modifying their reward function).</v>
      </c>
      <c r="K652" t="str">
        <f>IFERROR(__xludf.DUMMYFUNCTION("""COMPUTED_VALUE"""),"It's great to see work on the multiagent setting! This setting does seem quite a bit more complex, and hasn't been explored very much from the AI safety standpoint. One major question I have is how this relates to the work already done in academia for dif"&amp;"ferent settings (typically groups of humans instead of AI agents). Quick takes on how each failure mode is related to existing academic work: Accidental steering is novel to me (but I wouldn't be surprised if there has been work on it), coordination failu"&amp;"res seem like a particular kind of (large scale) prisoner's dilemma, adversarial misalignment is a special case of the principal-agent problem, input spoofing and filtering and goal co-option seem like special cases of adversarial misalignment (and are re"&amp;"lated to ML security as the paper points out).")</f>
        <v>It's great to see work on the multiagent setting! This setting does seem quite a bit more complex, and hasn't been explored very much from the AI safety standpoint. One major question I have is how this relates to the work already done in academia for different settings (typically groups of humans instead of AI agents). Quick takes on how each failure mode is related to existing academic work: Accidental steering is novel to me (but I wouldn't be surprised if there has been work on it), coordination failures seem like a particular kind of (large scale) prisoner's dilemma, adversarial misalignment is a special case of the principal-agent problem, input spoofing and filtering and goal co-option seem like special cases of adversarial misalignment (and are related to ML security as the paper points out).</v>
      </c>
    </row>
    <row r="653">
      <c r="A653" t="str">
        <f>IFERROR(__xludf.DUMMYFUNCTION("""COMPUTED_VALUE"""),"Handling groups of agents")</f>
        <v>Handling groups of agents</v>
      </c>
      <c r="B653" t="str">
        <f>IFERROR(__xludf.DUMMYFUNCTION("""COMPUTED_VALUE"""),"")</f>
        <v/>
      </c>
      <c r="C653" s="3" t="str">
        <f>IFERROR(__xludf.DUMMYFUNCTION("""COMPUTED_VALUE"""),"CM3: Cooperative Multi-goal Multi-stage Multi-agent Reinforcement Learning")</f>
        <v>CM3: Cooperative Multi-goal Multi-stage Multi-agent Reinforcement Learning</v>
      </c>
      <c r="D653" t="str">
        <f>IFERROR(__xludf.DUMMYFUNCTION("""COMPUTED_VALUE"""),"Jiachen Yang, Alireza Nakhaei, David Isele, Hongyuan Zha, Kikuo Fujimura")</f>
        <v>Jiachen Yang, Alireza Nakhaei, David Isele, Hongyuan Zha, Kikuo Fujimura</v>
      </c>
      <c r="E653" t="str">
        <f>IFERROR(__xludf.DUMMYFUNCTION("""COMPUTED_VALUE"""),"arXiv")</f>
        <v>arXiv</v>
      </c>
      <c r="F653">
        <f>IFERROR(__xludf.DUMMYFUNCTION("""COMPUTED_VALUE"""),2018.0)</f>
        <v>2018</v>
      </c>
      <c r="H653" s="3" t="str">
        <f>IFERROR(__xludf.DUMMYFUNCTION("""COMPUTED_VALUE"""),"AN #25")</f>
        <v>AN #25</v>
      </c>
    </row>
    <row r="654">
      <c r="A654" t="str">
        <f>IFERROR(__xludf.DUMMYFUNCTION("""COMPUTED_VALUE"""),"Handling groups of agents")</f>
        <v>Handling groups of agents</v>
      </c>
      <c r="B654" t="str">
        <f>IFERROR(__xludf.DUMMYFUNCTION("""COMPUTED_VALUE"""),"")</f>
        <v/>
      </c>
      <c r="C654" s="3" t="str">
        <f>IFERROR(__xludf.DUMMYFUNCTION("""COMPUTED_VALUE"""),"CLR's recent work on multi-agent systems")</f>
        <v>CLR's recent work on multi-agent systems</v>
      </c>
      <c r="D654" t="str">
        <f>IFERROR(__xludf.DUMMYFUNCTION("""COMPUTED_VALUE"""),"Jesse Clifton")</f>
        <v>Jesse Clifton</v>
      </c>
      <c r="E654" t="str">
        <f>IFERROR(__xludf.DUMMYFUNCTION("""COMPUTED_VALUE"""),"Alignment Forum")</f>
        <v>Alignment Forum</v>
      </c>
      <c r="F654">
        <f>IFERROR(__xludf.DUMMYFUNCTION("""COMPUTED_VALUE"""),2021.0)</f>
        <v>2021</v>
      </c>
      <c r="H654" s="3" t="str">
        <f>IFERROR(__xludf.DUMMYFUNCTION("""COMPUTED_VALUE"""),"AN #150")</f>
        <v>AN #150</v>
      </c>
      <c r="I654" t="str">
        <f>IFERROR(__xludf.DUMMYFUNCTION("""COMPUTED_VALUE"""),"Rohin")</f>
        <v>Rohin</v>
      </c>
      <c r="J654" t="str">
        <f>IFERROR(__xludf.DUMMYFUNCTION("""COMPUTED_VALUE"""),"This post summarizes recent work by the Center for Long-Term Risk (CLR). The general theme is cooperative AI, with a focus on research that helps avert s-risks. See &lt;@this research agenda@&gt;(@Cooperation, Conflict, and Transformative Artificial Intelligenc"&amp;"e: A Research Agenda@) for an explanation of what might cause these s-risks. I’ve summarized some of the individual pieces of research below.")</f>
        <v>This post summarizes recent work by the Center for Long-Term Risk (CLR). The general theme is cooperative AI, with a focus on research that helps avert s-risks. See &lt;@this research agenda@&gt;(@Cooperation, Conflict, and Transformative Artificial Intelligence: A Research Agenda@) for an explanation of what might cause these s-risks. I’ve summarized some of the individual pieces of research below.</v>
      </c>
    </row>
    <row r="655">
      <c r="A655" t="str">
        <f>IFERROR(__xludf.DUMMYFUNCTION("""COMPUTED_VALUE"""),"Handling groups of agents")</f>
        <v>Handling groups of agents</v>
      </c>
      <c r="B655" t="str">
        <f>IFERROR(__xludf.DUMMYFUNCTION("""COMPUTED_VALUE"""),"")</f>
        <v/>
      </c>
      <c r="C655" s="3" t="str">
        <f>IFERROR(__xludf.DUMMYFUNCTION("""COMPUTED_VALUE"""),"Generative Multi-Agent Behavioral Cloning")</f>
        <v>Generative Multi-Agent Behavioral Cloning</v>
      </c>
      <c r="E655" t="str">
        <f>IFERROR(__xludf.DUMMYFUNCTION("""COMPUTED_VALUE"""),"arXiv")</f>
        <v>arXiv</v>
      </c>
      <c r="H655" s="3" t="str">
        <f>IFERROR(__xludf.DUMMYFUNCTION("""COMPUTED_VALUE"""),"Recon #5")</f>
        <v>Recon #5</v>
      </c>
    </row>
    <row r="656">
      <c r="A656" t="str">
        <f>IFERROR(__xludf.DUMMYFUNCTION("""COMPUTED_VALUE"""),"Handling groups of agents")</f>
        <v>Handling groups of agents</v>
      </c>
      <c r="B656" t="str">
        <f>IFERROR(__xludf.DUMMYFUNCTION("""COMPUTED_VALUE"""),"")</f>
        <v/>
      </c>
      <c r="C656" s="3" t="str">
        <f>IFERROR(__xludf.DUMMYFUNCTION("""COMPUTED_VALUE"""),"Inequity aversion resolves intertemporal social dilemmas")</f>
        <v>Inequity aversion resolves intertemporal social dilemmas</v>
      </c>
      <c r="D656" t="str">
        <f>IFERROR(__xludf.DUMMYFUNCTION("""COMPUTED_VALUE"""),"Edward Hughes, Joel Z. Leibo, Matthew G. Phillips, Karl Tuyls, Edgar A. Duéñez-Guzmán, Antonio García Castañeda, Iain Dunning, Tina Zhu, Kevin R. McKee, Raphael Koster, Heather Roff, Thore Graepel")</f>
        <v>Edward Hughes, Joel Z. Leibo, Matthew G. Phillips, Karl Tuyls, Edgar A. Duéñez-Guzmán, Antonio García Castañeda, Iain Dunning, Tina Zhu, Kevin R. McKee, Raphael Koster, Heather Roff, Thore Graepel</v>
      </c>
      <c r="E656" t="str">
        <f>IFERROR(__xludf.DUMMYFUNCTION("""COMPUTED_VALUE"""),"ICML 2018")</f>
        <v>ICML 2018</v>
      </c>
      <c r="F656">
        <f>IFERROR(__xludf.DUMMYFUNCTION("""COMPUTED_VALUE"""),2018.0)</f>
        <v>2018</v>
      </c>
      <c r="H656" s="3" t="str">
        <f>IFERROR(__xludf.DUMMYFUNCTION("""COMPUTED_VALUE"""),"Recon #5")</f>
        <v>Recon #5</v>
      </c>
      <c r="I656" t="str">
        <f>IFERROR(__xludf.DUMMYFUNCTION("""COMPUTED_VALUE"""),"Rohin")</f>
        <v>Rohin</v>
      </c>
      <c r="J656" t="str">
        <f>IFERROR(__xludf.DUMMYFUNCTION("""COMPUTED_VALUE"""),"")</f>
        <v/>
      </c>
      <c r="K656" t="str">
        <f>IFERROR(__xludf.DUMMYFUNCTION("""COMPUTED_VALUE"""),"")</f>
        <v/>
      </c>
      <c r="M656" s="3" t="str">
        <f>IFERROR(__xludf.DUMMYFUNCTION("""COMPUTED_VALUE"""),"A multi-agent reinforcement learning model of common-pool resource appropriation")</f>
        <v>A multi-agent reinforcement learning model of common-pool resource appropriation</v>
      </c>
    </row>
    <row r="657">
      <c r="A657" t="str">
        <f>IFERROR(__xludf.DUMMYFUNCTION("""COMPUTED_VALUE"""),"Handling groups of agents")</f>
        <v>Handling groups of agents</v>
      </c>
      <c r="B657" t="str">
        <f>IFERROR(__xludf.DUMMYFUNCTION("""COMPUTED_VALUE"""),"")</f>
        <v/>
      </c>
      <c r="C657" s="3" t="str">
        <f>IFERROR(__xludf.DUMMYFUNCTION("""COMPUTED_VALUE"""),"M^3RL: Mind-aware Multi-agent Management Reinforcement Learning")</f>
        <v>M^3RL: Mind-aware Multi-agent Management Reinforcement Learning</v>
      </c>
      <c r="D657" t="str">
        <f>IFERROR(__xludf.DUMMYFUNCTION("""COMPUTED_VALUE"""),"Tianmin Shu, Yuandong Tian")</f>
        <v>Tianmin Shu, Yuandong Tian</v>
      </c>
      <c r="E657" t="str">
        <f>IFERROR(__xludf.DUMMYFUNCTION("""COMPUTED_VALUE"""),"NIPS 2018")</f>
        <v>NIPS 2018</v>
      </c>
      <c r="F657">
        <f>IFERROR(__xludf.DUMMYFUNCTION("""COMPUTED_VALUE"""),2018.0)</f>
        <v>2018</v>
      </c>
      <c r="H657" s="3" t="str">
        <f>IFERROR(__xludf.DUMMYFUNCTION("""COMPUTED_VALUE"""),"AN #27")</f>
        <v>AN #27</v>
      </c>
    </row>
    <row r="658">
      <c r="A658" t="str">
        <f>IFERROR(__xludf.DUMMYFUNCTION("""COMPUTED_VALUE"""),"Handling groups of agents")</f>
        <v>Handling groups of agents</v>
      </c>
      <c r="B658" t="str">
        <f>IFERROR(__xludf.DUMMYFUNCTION("""COMPUTED_VALUE"""),"")</f>
        <v/>
      </c>
      <c r="C658" s="3" t="str">
        <f>IFERROR(__xludf.DUMMYFUNCTION("""COMPUTED_VALUE"""),"Negative Update Intervals in Deep Multi-Agent Reinforcement Learning")</f>
        <v>Negative Update Intervals in Deep Multi-Agent Reinforcement Learning</v>
      </c>
      <c r="D658" t="str">
        <f>IFERROR(__xludf.DUMMYFUNCTION("""COMPUTED_VALUE"""),"Gregory Palmer, Rahul Savani, Karl Tuyls")</f>
        <v>Gregory Palmer, Rahul Savani, Karl Tuyls</v>
      </c>
      <c r="E658" t="str">
        <f>IFERROR(__xludf.DUMMYFUNCTION("""COMPUTED_VALUE"""),"CoRL 2018")</f>
        <v>CoRL 2018</v>
      </c>
      <c r="F658">
        <f>IFERROR(__xludf.DUMMYFUNCTION("""COMPUTED_VALUE"""),2018.0)</f>
        <v>2018</v>
      </c>
      <c r="H658" s="3" t="str">
        <f>IFERROR(__xludf.DUMMYFUNCTION("""COMPUTED_VALUE"""),"AN #25")</f>
        <v>AN #25</v>
      </c>
    </row>
    <row r="659">
      <c r="A659" t="str">
        <f>IFERROR(__xludf.DUMMYFUNCTION("""COMPUTED_VALUE"""),"Handling groups of agents")</f>
        <v>Handling groups of agents</v>
      </c>
      <c r="B659" t="str">
        <f>IFERROR(__xludf.DUMMYFUNCTION("""COMPUTED_VALUE"""),"")</f>
        <v/>
      </c>
      <c r="C659" s="3" t="str">
        <f>IFERROR(__xludf.DUMMYFUNCTION("""COMPUTED_VALUE"""),"Emergent Communication through Negotiation")</f>
        <v>Emergent Communication through Negotiation</v>
      </c>
      <c r="D659" t="str">
        <f>IFERROR(__xludf.DUMMYFUNCTION("""COMPUTED_VALUE"""),"Kris Cao, Angeliki Lazaridou, Marc Lanctot, Joel Z Leibo, Karl Tuyls, Stephen Clark")</f>
        <v>Kris Cao, Angeliki Lazaridou, Marc Lanctot, Joel Z Leibo, Karl Tuyls, Stephen Clark</v>
      </c>
      <c r="E659" t="str">
        <f>IFERROR(__xludf.DUMMYFUNCTION("""COMPUTED_VALUE"""),"arXiv")</f>
        <v>arXiv</v>
      </c>
      <c r="F659">
        <f>IFERROR(__xludf.DUMMYFUNCTION("""COMPUTED_VALUE"""),2018.0)</f>
        <v>2018</v>
      </c>
      <c r="H659" s="3" t="str">
        <f>IFERROR(__xludf.DUMMYFUNCTION("""COMPUTED_VALUE"""),"AN #2")</f>
        <v>AN #2</v>
      </c>
    </row>
    <row r="660">
      <c r="A660" t="str">
        <f>IFERROR(__xludf.DUMMYFUNCTION("""COMPUTED_VALUE"""),"Handling groups of agents")</f>
        <v>Handling groups of agents</v>
      </c>
      <c r="B660" t="str">
        <f>IFERROR(__xludf.DUMMYFUNCTION("""COMPUTED_VALUE"""),"")</f>
        <v/>
      </c>
      <c r="C660" s="3" t="str">
        <f>IFERROR(__xludf.DUMMYFUNCTION("""COMPUTED_VALUE"""),"Learning to Share and Hide Intentions using Information Regularization")</f>
        <v>Learning to Share and Hide Intentions using Information Regularization</v>
      </c>
      <c r="D660" t="str">
        <f>IFERROR(__xludf.DUMMYFUNCTION("""COMPUTED_VALUE"""),"DJ Strouse, Max Kleiman-Weiner, Josh Tenenbaum, Matt Botvinick, David Schwab")</f>
        <v>DJ Strouse, Max Kleiman-Weiner, Josh Tenenbaum, Matt Botvinick, David Schwab</v>
      </c>
      <c r="E660" t="str">
        <f>IFERROR(__xludf.DUMMYFUNCTION("""COMPUTED_VALUE"""),"Conference on Robot Learning (CoRL) 2018")</f>
        <v>Conference on Robot Learning (CoRL) 2018</v>
      </c>
      <c r="F660">
        <f>IFERROR(__xludf.DUMMYFUNCTION("""COMPUTED_VALUE"""),2018.0)</f>
        <v>2018</v>
      </c>
      <c r="H660" s="3" t="str">
        <f>IFERROR(__xludf.DUMMYFUNCTION("""COMPUTED_VALUE"""),"AN #19")</f>
        <v>AN #19</v>
      </c>
    </row>
    <row r="661">
      <c r="A661" t="str">
        <f>IFERROR(__xludf.DUMMYFUNCTION("""COMPUTED_VALUE"""),"Handling groups of agents")</f>
        <v>Handling groups of agents</v>
      </c>
      <c r="B661" t="str">
        <f>IFERROR(__xludf.DUMMYFUNCTION("""COMPUTED_VALUE"""),"")</f>
        <v/>
      </c>
      <c r="C661" s="3" t="str">
        <f>IFERROR(__xludf.DUMMYFUNCTION("""COMPUTED_VALUE"""),"Adaptive Mechanism Design: Learning to Promote Cooperation")</f>
        <v>Adaptive Mechanism Design: Learning to Promote Cooperation</v>
      </c>
      <c r="D661" t="str">
        <f>IFERROR(__xludf.DUMMYFUNCTION("""COMPUTED_VALUE"""),"Tobias Baumann, Thore Graepel, John Shawe-Taylor")</f>
        <v>Tobias Baumann, Thore Graepel, John Shawe-Taylor</v>
      </c>
      <c r="E661" t="str">
        <f>IFERROR(__xludf.DUMMYFUNCTION("""COMPUTED_VALUE"""),"arXiv")</f>
        <v>arXiv</v>
      </c>
      <c r="F661">
        <f>IFERROR(__xludf.DUMMYFUNCTION("""COMPUTED_VALUE"""),2018.0)</f>
        <v>2018</v>
      </c>
      <c r="H661" s="3" t="str">
        <f>IFERROR(__xludf.DUMMYFUNCTION("""COMPUTED_VALUE"""),"AN #11")</f>
        <v>AN #11</v>
      </c>
    </row>
    <row r="662">
      <c r="A662" t="str">
        <f>IFERROR(__xludf.DUMMYFUNCTION("""COMPUTED_VALUE"""),"Handling groups of agents")</f>
        <v>Handling groups of agents</v>
      </c>
      <c r="B662" t="str">
        <f>IFERROR(__xludf.DUMMYFUNCTION("""COMPUTED_VALUE"""),"")</f>
        <v/>
      </c>
      <c r="C662" s="3" t="str">
        <f>IFERROR(__xludf.DUMMYFUNCTION("""COMPUTED_VALUE"""),"Multi-Agent Deep Reinforcement Learning with Human Strategies")</f>
        <v>Multi-Agent Deep Reinforcement Learning with Human Strategies</v>
      </c>
      <c r="D662" t="str">
        <f>IFERROR(__xludf.DUMMYFUNCTION("""COMPUTED_VALUE"""),"Thanh Nguyen, Ngoc Duy Nguyen, Saeid Nahavandi")</f>
        <v>Thanh Nguyen, Ngoc Duy Nguyen, Saeid Nahavandi</v>
      </c>
      <c r="E662" t="str">
        <f>IFERROR(__xludf.DUMMYFUNCTION("""COMPUTED_VALUE"""),"1st Workshop on Goal Specifications for Reinforcement Learning")</f>
        <v>1st Workshop on Goal Specifications for Reinforcement Learning</v>
      </c>
      <c r="F662">
        <f>IFERROR(__xludf.DUMMYFUNCTION("""COMPUTED_VALUE"""),2018.0)</f>
        <v>2018</v>
      </c>
      <c r="H662" s="3" t="str">
        <f>IFERROR(__xludf.DUMMYFUNCTION("""COMPUTED_VALUE"""),"AN #11")</f>
        <v>AN #11</v>
      </c>
    </row>
    <row r="663">
      <c r="A663" t="str">
        <f>IFERROR(__xludf.DUMMYFUNCTION("""COMPUTED_VALUE"""),"Handling groups of agents")</f>
        <v>Handling groups of agents</v>
      </c>
      <c r="B663" t="str">
        <f>IFERROR(__xludf.DUMMYFUNCTION("""COMPUTED_VALUE"""),"")</f>
        <v/>
      </c>
      <c r="C663" s="3" t="str">
        <f>IFERROR(__xludf.DUMMYFUNCTION("""COMPUTED_VALUE"""),"Coordination-driven learning in multi-agent problem spaces")</f>
        <v>Coordination-driven learning in multi-agent problem spaces</v>
      </c>
      <c r="D663" t="str">
        <f>IFERROR(__xludf.DUMMYFUNCTION("""COMPUTED_VALUE"""),"Sean L. Barton, Nicholas R. Waytowich, Derrik E. Asher")</f>
        <v>Sean L. Barton, Nicholas R. Waytowich, Derrik E. Asher</v>
      </c>
      <c r="E663" t="str">
        <f>IFERROR(__xludf.DUMMYFUNCTION("""COMPUTED_VALUE"""),"AAAI Fall Symposium 2018")</f>
        <v>AAAI Fall Symposium 2018</v>
      </c>
      <c r="F663">
        <f>IFERROR(__xludf.DUMMYFUNCTION("""COMPUTED_VALUE"""),2018.0)</f>
        <v>2018</v>
      </c>
      <c r="H663" s="3" t="str">
        <f>IFERROR(__xludf.DUMMYFUNCTION("""COMPUTED_VALUE"""),"AN #25")</f>
        <v>AN #25</v>
      </c>
    </row>
    <row r="664">
      <c r="A664" t="str">
        <f>IFERROR(__xludf.DUMMYFUNCTION("""COMPUTED_VALUE"""),"Handling groups of agents")</f>
        <v>Handling groups of agents</v>
      </c>
      <c r="B664" t="str">
        <f>IFERROR(__xludf.DUMMYFUNCTION("""COMPUTED_VALUE"""),"")</f>
        <v/>
      </c>
      <c r="C664" s="3" t="str">
        <f>IFERROR(__xludf.DUMMYFUNCTION("""COMPUTED_VALUE"""),"Norms for beneficial A.I.: A computational analysis of the societal value alignment problem")</f>
        <v>Norms for beneficial A.I.: A computational analysis of the societal value alignment problem</v>
      </c>
      <c r="D664" t="str">
        <f>IFERROR(__xludf.DUMMYFUNCTION("""COMPUTED_VALUE"""),"Pedro Fernandes, Francisco C. Santos, Manuel Lopes")</f>
        <v>Pedro Fernandes, Francisco C. Santos, Manuel Lopes</v>
      </c>
      <c r="E664" t="str">
        <f>IFERROR(__xludf.DUMMYFUNCTION("""COMPUTED_VALUE"""),"AI Communications")</f>
        <v>AI Communications</v>
      </c>
      <c r="F664">
        <f>IFERROR(__xludf.DUMMYFUNCTION("""COMPUTED_VALUE"""),2019.0)</f>
        <v>2019</v>
      </c>
      <c r="H664" s="3" t="str">
        <f>IFERROR(__xludf.DUMMYFUNCTION("""COMPUTED_VALUE"""),"AN #137")</f>
        <v>AN #137</v>
      </c>
      <c r="I664" t="str">
        <f>IFERROR(__xludf.DUMMYFUNCTION("""COMPUTED_VALUE"""),"Rohin")</f>
        <v>Rohin</v>
      </c>
      <c r="J664" t="str">
        <f>IFERROR(__xludf.DUMMYFUNCTION("""COMPUTED_VALUE"""),"This paper presents a simple quantitative model to argue for the following two observations:
1. Unless they are willing to “fall behind” others, individual actors will need to use AI systems to stay competitive.
2. Those AI systems will optimize for their"&amp;" owner’s goals, even though a better outcome could be achieved if all AI systems optimized for the average welfare across all actors.")</f>
        <v>This paper presents a simple quantitative model to argue for the following two observations:
1. Unless they are willing to “fall behind” others, individual actors will need to use AI systems to stay competitive.
2. Those AI systems will optimize for their owner’s goals, even though a better outcome could be achieved if all AI systems optimized for the average welfare across all actors.</v>
      </c>
    </row>
    <row r="665">
      <c r="A665" t="str">
        <f>IFERROR(__xludf.DUMMYFUNCTION("""COMPUTED_VALUE"""),"Handling groups of agents")</f>
        <v>Handling groups of agents</v>
      </c>
      <c r="B665" t="str">
        <f>IFERROR(__xludf.DUMMYFUNCTION("""COMPUTED_VALUE"""),"")</f>
        <v/>
      </c>
      <c r="C665" s="3" t="str">
        <f>IFERROR(__xludf.DUMMYFUNCTION("""COMPUTED_VALUE"""),"Multi-winner Voting: a question of Alignment")</f>
        <v>Multi-winner Voting: a question of Alignment</v>
      </c>
      <c r="D665" t="str">
        <f>IFERROR(__xludf.DUMMYFUNCTION("""COMPUTED_VALUE"""),"Jameson Quinn")</f>
        <v>Jameson Quinn</v>
      </c>
      <c r="E665" t="str">
        <f>IFERROR(__xludf.DUMMYFUNCTION("""COMPUTED_VALUE"""),"LessWrong")</f>
        <v>LessWrong</v>
      </c>
      <c r="F665">
        <f>IFERROR(__xludf.DUMMYFUNCTION("""COMPUTED_VALUE"""),2018.0)</f>
        <v>2018</v>
      </c>
      <c r="H665" s="3" t="str">
        <f>IFERROR(__xludf.DUMMYFUNCTION("""COMPUTED_VALUE"""),"AN #3")</f>
        <v>AN #3</v>
      </c>
      <c r="I665" t="str">
        <f>IFERROR(__xludf.DUMMYFUNCTION("""COMPUTED_VALUE"""),"Rohin")</f>
        <v>Rohin</v>
      </c>
      <c r="J665" t="str">
        <f>IFERROR(__xludf.DUMMYFUNCTION("""COMPUTED_VALUE"""),"")</f>
        <v/>
      </c>
      <c r="K665" t="str">
        <f>IFERROR(__xludf.DUMMYFUNCTION("""COMPUTED_VALUE"""),"")</f>
        <v/>
      </c>
      <c r="L665" s="3" t="str">
        <f>IFERROR(__xludf.DUMMYFUNCTION("""COMPUTED_VALUE"""),"A voting theory primer for rationalists")</f>
        <v>A voting theory primer for rationalists</v>
      </c>
    </row>
    <row r="666">
      <c r="A666" t="str">
        <f>IFERROR(__xludf.DUMMYFUNCTION("""COMPUTED_VALUE"""),"Hierarchical RL")</f>
        <v>Hierarchical RL</v>
      </c>
      <c r="B666" t="str">
        <f>IFERROR(__xludf.DUMMYFUNCTION("""COMPUTED_VALUE"""),"")</f>
        <v/>
      </c>
      <c r="C666" s="3" t="str">
        <f>IFERROR(__xludf.DUMMYFUNCTION("""COMPUTED_VALUE"""),"Reinforcement Learning with Competitive Ensembles of Information-Constrained Primitives")</f>
        <v>Reinforcement Learning with Competitive Ensembles of Information-Constrained Primitives</v>
      </c>
      <c r="D666" t="str">
        <f>IFERROR(__xludf.DUMMYFUNCTION("""COMPUTED_VALUE"""),"Anirudh Goyal, Shagun Sodhani, Jonathan Binas, Xue Bin Peng, Sergey Levine, Yoshua Bengio")</f>
        <v>Anirudh Goyal, Shagun Sodhani, Jonathan Binas, Xue Bin Peng, Sergey Levine, Yoshua Bengio</v>
      </c>
      <c r="E666" t="str">
        <f>IFERROR(__xludf.DUMMYFUNCTION("""COMPUTED_VALUE"""),"arXiv")</f>
        <v>arXiv</v>
      </c>
      <c r="F666">
        <f>IFERROR(__xludf.DUMMYFUNCTION("""COMPUTED_VALUE"""),2019.0)</f>
        <v>2019</v>
      </c>
      <c r="H666" s="3" t="str">
        <f>IFERROR(__xludf.DUMMYFUNCTION("""COMPUTED_VALUE"""),"AN #66")</f>
        <v>AN #66</v>
      </c>
      <c r="I666" t="str">
        <f>IFERROR(__xludf.DUMMYFUNCTION("""COMPUTED_VALUE"""),"Zach")</f>
        <v>Zach</v>
      </c>
      <c r="J666" t="str">
        <f>IFERROR(__xludf.DUMMYFUNCTION("""COMPUTED_VALUE"""),"Learning policies that generalize to new environments is a fundamental challenge in reinforcement learning. In particular, humans seem to be adept at learning skills and understanding the world in a way that is compositional, hinting at the source of the "&amp;"discrepancy. Hierarchical reinforcement learning (HRL) has partially addressed the discrepancy by decomposing policies into options/primitives/subpolicies that a top-level controller selects from. However, generalization is limited because the top-level p"&amp;"olicy must work for all states.
**In this paper, the authors explore a novel decentralized approach where policies are still decomposed into primitives, but without a top-level controller.** The key idea is to incentivize each primitive to work on a diff"&amp;"erent cluster of states. Every primitive has a variational information bottleneck between the state and predicted action, that allows us to quantify how much information about the state the primitive uses in selecting actions. Intuitively, a primitive tha"&amp;"t knows how to open gates is going to extract a lot of information about gates from the state to choose an appropriate action, and won’t extract much information in states without gates. So, our high-level controller can just be: check which primitive is "&amp;"using the most state information, and let that primitive choose the action.
The reward R from a trajectory is split amongst the primitives in proportion to how likely each primitive was to be chosen. This is what incentivizes the primitives to use inform"&amp;"ation from the state. The primitives also get a cost in proportion to how much information they use, incentivizing them to specialize to a particular cluster of states. Finally, there is a regularization term that also incentivizes specialization, and in "&amp;"particular prevents a collapse where a single primitive is always active.
To demonstrate effectiveness, the authors compare the baseline HRL methods option-critic and [Meta-learning Shared Hierarchy](https://blog.openai.com/learning-a-hierarchy/) to thei"&amp;"r method in grid-world and motion imitation transfer tasks. They show that using an ensemble of primitives can outperform more traditional HRL methods in generalization across tasks.")</f>
        <v>Learning policies that generalize to new environments is a fundamental challenge in reinforcement learning. In particular, humans seem to be adept at learning skills and understanding the world in a way that is compositional, hinting at the source of the discrepancy. Hierarchical reinforcement learning (HRL) has partially addressed the discrepancy by decomposing policies into options/primitives/subpolicies that a top-level controller selects from. However, generalization is limited because the top-level policy must work for all states.
**In this paper, the authors explore a novel decentralized approach where policies are still decomposed into primitives, but without a top-level controller.** The key idea is to incentivize each primitive to work on a different cluster of states. Every primitive has a variational information bottleneck between the state and predicted action, that allows us to quantify how much information about the state the primitive uses in selecting actions. Intuitively, a primitive that knows how to open gates is going to extract a lot of information about gates from the state to choose an appropriate action, and won’t extract much information in states without gates. So, our high-level controller can just be: check which primitive is using the most state information, and let that primitive choose the action.
The reward R from a trajectory is split amongst the primitives in proportion to how likely each primitive was to be chosen. This is what incentivizes the primitives to use information from the state. The primitives also get a cost in proportion to how much information they use, incentivizing them to specialize to a particular cluster of states. Finally, there is a regularization term that also incentivizes specialization, and in particular prevents a collapse where a single primitive is always active.
To demonstrate effectiveness, the authors compare the baseline HRL methods option-critic and [Meta-learning Shared Hierarchy](https://blog.openai.com/learning-a-hierarchy/) to their method in grid-world and motion imitation transfer tasks. They show that using an ensemble of primitives can outperform more traditional HRL methods in generalization across tasks.</v>
      </c>
      <c r="K666" t="str">
        <f>IFERROR(__xludf.DUMMYFUNCTION("""COMPUTED_VALUE"""),"**Overall, this paper is compelling because the method presented is both promising and provides natural ideas for future work.** The method presented here is arguably simpler than HRL and the ability to generalize to new environments is simple to implemen"&amp;"t. The idea of introducing competition at an information theoretic level seems natural and the evidence for better generalization capability is compelling. It'd be interesting to see what would happen if more complex primitives were used.")</f>
        <v>**Overall, this paper is compelling because the method presented is both promising and provides natural ideas for future work.** The method presented here is arguably simpler than HRL and the ability to generalize to new environments is simple to implement. The idea of introducing competition at an information theoretic level seems natural and the evidence for better generalization capability is compelling. It'd be interesting to see what would happen if more complex primitives were used.</v>
      </c>
    </row>
    <row r="667">
      <c r="A667" t="str">
        <f>IFERROR(__xludf.DUMMYFUNCTION("""COMPUTED_VALUE"""),"Hierarchical RL")</f>
        <v>Hierarchical RL</v>
      </c>
      <c r="B667" t="str">
        <f>IFERROR(__xludf.DUMMYFUNCTION("""COMPUTED_VALUE"""),"")</f>
        <v/>
      </c>
      <c r="C667" s="3" t="str">
        <f>IFERROR(__xludf.DUMMYFUNCTION("""COMPUTED_VALUE"""),"Data-Efficient Hierarchical Reinforcement Learning")</f>
        <v>Data-Efficient Hierarchical Reinforcement Learning</v>
      </c>
      <c r="D667" t="str">
        <f>IFERROR(__xludf.DUMMYFUNCTION("""COMPUTED_VALUE"""),"Ofir Nachum, Shixiang Gu, Honglak Lee, Sergey Levine")</f>
        <v>Ofir Nachum, Shixiang Gu, Honglak Lee, Sergey Levine</v>
      </c>
      <c r="E667" t="str">
        <f>IFERROR(__xludf.DUMMYFUNCTION("""COMPUTED_VALUE"""),"NIPS 2018")</f>
        <v>NIPS 2018</v>
      </c>
      <c r="F667">
        <f>IFERROR(__xludf.DUMMYFUNCTION("""COMPUTED_VALUE"""),2018.0)</f>
        <v>2018</v>
      </c>
      <c r="H667" s="3" t="str">
        <f>IFERROR(__xludf.DUMMYFUNCTION("""COMPUTED_VALUE"""),"AN #8")</f>
        <v>AN #8</v>
      </c>
    </row>
    <row r="668">
      <c r="A668" t="str">
        <f>IFERROR(__xludf.DUMMYFUNCTION("""COMPUTED_VALUE"""),"Hierarchical RL")</f>
        <v>Hierarchical RL</v>
      </c>
      <c r="B668" t="str">
        <f>IFERROR(__xludf.DUMMYFUNCTION("""COMPUTED_VALUE"""),"")</f>
        <v/>
      </c>
      <c r="C668" s="3" t="str">
        <f>IFERROR(__xludf.DUMMYFUNCTION("""COMPUTED_VALUE"""),"Hierarchical Reinforcement Learning with Deep Nested Agents")</f>
        <v>Hierarchical Reinforcement Learning with Deep Nested Agents</v>
      </c>
      <c r="D668" t="str">
        <f>IFERROR(__xludf.DUMMYFUNCTION("""COMPUTED_VALUE"""),"Marc Brittain, Peng Wei")</f>
        <v>Marc Brittain, Peng Wei</v>
      </c>
      <c r="E668" t="str">
        <f>IFERROR(__xludf.DUMMYFUNCTION("""COMPUTED_VALUE"""),"ICLR 2019")</f>
        <v>ICLR 2019</v>
      </c>
      <c r="F668">
        <f>IFERROR(__xludf.DUMMYFUNCTION("""COMPUTED_VALUE"""),2018.0)</f>
        <v>2018</v>
      </c>
      <c r="H668" s="3" t="str">
        <f>IFERROR(__xludf.DUMMYFUNCTION("""COMPUTED_VALUE"""),"AN #8")</f>
        <v>AN #8</v>
      </c>
    </row>
    <row r="669">
      <c r="A669" t="str">
        <f>IFERROR(__xludf.DUMMYFUNCTION("""COMPUTED_VALUE"""),"Hierarchical RL")</f>
        <v>Hierarchical RL</v>
      </c>
      <c r="B669" t="str">
        <f>IFERROR(__xludf.DUMMYFUNCTION("""COMPUTED_VALUE"""),"")</f>
        <v/>
      </c>
      <c r="C669" s="3" t="str">
        <f>IFERROR(__xludf.DUMMYFUNCTION("""COMPUTED_VALUE"""),"Hierarchical Reinforcement Learning with Hindsight")</f>
        <v>Hierarchical Reinforcement Learning with Hindsight</v>
      </c>
      <c r="D669" t="str">
        <f>IFERROR(__xludf.DUMMYFUNCTION("""COMPUTED_VALUE"""),"Andrew Levy, Robert Platt, Kate Saenko")</f>
        <v>Andrew Levy, Robert Platt, Kate Saenko</v>
      </c>
      <c r="E669" t="str">
        <f>IFERROR(__xludf.DUMMYFUNCTION("""COMPUTED_VALUE"""),"arXiv")</f>
        <v>arXiv</v>
      </c>
      <c r="F669">
        <f>IFERROR(__xludf.DUMMYFUNCTION("""COMPUTED_VALUE"""),2018.0)</f>
        <v>2018</v>
      </c>
      <c r="H669" s="3" t="str">
        <f>IFERROR(__xludf.DUMMYFUNCTION("""COMPUTED_VALUE"""),"AN #8")</f>
        <v>AN #8</v>
      </c>
    </row>
    <row r="670">
      <c r="A670" t="str">
        <f>IFERROR(__xludf.DUMMYFUNCTION("""COMPUTED_VALUE"""),"Hierarchical RL")</f>
        <v>Hierarchical RL</v>
      </c>
      <c r="B670" t="str">
        <f>IFERROR(__xludf.DUMMYFUNCTION("""COMPUTED_VALUE"""),"")</f>
        <v/>
      </c>
      <c r="C670" s="3" t="str">
        <f>IFERROR(__xludf.DUMMYFUNCTION("""COMPUTED_VALUE"""),"Multitask Soft Option Learning")</f>
        <v>Multitask Soft Option Learning</v>
      </c>
      <c r="D670" t="str">
        <f>IFERROR(__xludf.DUMMYFUNCTION("""COMPUTED_VALUE"""),"Maximilian Igl, Andrew Gambardella, Nantas Nardelli, N. Siddharth, Wendelin Böhmer, Shimon Whiteson")</f>
        <v>Maximilian Igl, Andrew Gambardella, Nantas Nardelli, N. Siddharth, Wendelin Böhmer, Shimon Whiteson</v>
      </c>
      <c r="E670" t="str">
        <f>IFERROR(__xludf.DUMMYFUNCTION("""COMPUTED_VALUE"""),"arXiv")</f>
        <v>arXiv</v>
      </c>
      <c r="F670">
        <f>IFERROR(__xludf.DUMMYFUNCTION("""COMPUTED_VALUE"""),2019.0)</f>
        <v>2019</v>
      </c>
      <c r="H670" s="3" t="str">
        <f>IFERROR(__xludf.DUMMYFUNCTION("""COMPUTED_VALUE"""),"AN #56")</f>
        <v>AN #56</v>
      </c>
      <c r="I670" t="str">
        <f>IFERROR(__xludf.DUMMYFUNCTION("""COMPUTED_VALUE"""),"Cody")</f>
        <v>Cody</v>
      </c>
      <c r="J670" t="str">
        <f>IFERROR(__xludf.DUMMYFUNCTION("""COMPUTED_VALUE"""),"This paper is a mix of variational inference and hierarchical reinforcement learning, in the context of learning skills that can be reused across tasks. Instead of learning a fixed set of options (read: skills/subpolicies), and a master task-specific poli"&amp;"cy to switch between them, this method learns cross-task priors for each skill, and then learns a task-specific posterior using reward signal from the task, but regularized towards the prior. The hope is that this will allow for an intermediary between cr"&amp;"oss-task transfer and single-task specificity. ")</f>
        <v>This paper is a mix of variational inference and hierarchical reinforcement learning, in the context of learning skills that can be reused across tasks. Instead of learning a fixed set of options (read: skills/subpolicies), and a master task-specific policy to switch between them, this method learns cross-task priors for each skill, and then learns a task-specific posterior using reward signal from the task, but regularized towards the prior. The hope is that this will allow for an intermediary between cross-task transfer and single-task specificity. </v>
      </c>
      <c r="K670" t="str">
        <f>IFERROR(__xludf.DUMMYFUNCTION("""COMPUTED_VALUE"""),"I found this paper interesting, but also found it a bit tricky/unintuitive to read, since it used a different RL frame than I'm used to (the idea of minimizing the KL divergence between your trajectory distribution and the optimal trajectory distribution)"&amp;". Overall, seems like a reasonable method, but is a bit hard to intuitively tell how strong the theoretical advantages are on these relatively simple tasks.")</f>
        <v>I found this paper interesting, but also found it a bit tricky/unintuitive to read, since it used a different RL frame than I'm used to (the idea of minimizing the KL divergence between your trajectory distribution and the optimal trajectory distribution). Overall, seems like a reasonable method, but is a bit hard to intuitively tell how strong the theoretical advantages are on these relatively simple tasks.</v>
      </c>
    </row>
    <row r="671">
      <c r="A671" t="str">
        <f>IFERROR(__xludf.DUMMYFUNCTION("""COMPUTED_VALUE"""),"Hierarchical RL")</f>
        <v>Hierarchical RL</v>
      </c>
      <c r="B671" t="str">
        <f>IFERROR(__xludf.DUMMYFUNCTION("""COMPUTED_VALUE"""),"")</f>
        <v/>
      </c>
      <c r="C671" s="3" t="str">
        <f>IFERROR(__xludf.DUMMYFUNCTION("""COMPUTED_VALUE"""),"Model Primitive Hierarchical Lifelong Reinforcement Learning")</f>
        <v>Model Primitive Hierarchical Lifelong Reinforcement Learning</v>
      </c>
      <c r="D671" t="str">
        <f>IFERROR(__xludf.DUMMYFUNCTION("""COMPUTED_VALUE"""),"Bohan Wu, Jayesh K. Gupta, Mykel J. Kochenderfer")</f>
        <v>Bohan Wu, Jayesh K. Gupta, Mykel J. Kochenderfer</v>
      </c>
      <c r="E671" t="str">
        <f>IFERROR(__xludf.DUMMYFUNCTION("""COMPUTED_VALUE"""),"arXiv")</f>
        <v>arXiv</v>
      </c>
      <c r="F671">
        <f>IFERROR(__xludf.DUMMYFUNCTION("""COMPUTED_VALUE"""),2019.0)</f>
        <v>2019</v>
      </c>
      <c r="H671" s="3" t="str">
        <f>IFERROR(__xludf.DUMMYFUNCTION("""COMPUTED_VALUE"""),"AN #49")</f>
        <v>AN #49</v>
      </c>
    </row>
    <row r="672">
      <c r="A672" t="str">
        <f>IFERROR(__xludf.DUMMYFUNCTION("""COMPUTED_VALUE"""),"Hierarchical RL")</f>
        <v>Hierarchical RL</v>
      </c>
      <c r="B672" t="str">
        <f>IFERROR(__xludf.DUMMYFUNCTION("""COMPUTED_VALUE"""),"")</f>
        <v/>
      </c>
      <c r="C672" s="3" t="str">
        <f>IFERROR(__xludf.DUMMYFUNCTION("""COMPUTED_VALUE"""),"Hierarchical Reinforcement Learning via Advantage-Weighted Information Maximization")</f>
        <v>Hierarchical Reinforcement Learning via Advantage-Weighted Information Maximization</v>
      </c>
      <c r="D672" t="str">
        <f>IFERROR(__xludf.DUMMYFUNCTION("""COMPUTED_VALUE"""),"Takayuki Osa")</f>
        <v>Takayuki Osa</v>
      </c>
      <c r="E672" t="str">
        <f>IFERROR(__xludf.DUMMYFUNCTION("""COMPUTED_VALUE"""),"arXiv")</f>
        <v>arXiv</v>
      </c>
      <c r="F672">
        <f>IFERROR(__xludf.DUMMYFUNCTION("""COMPUTED_VALUE"""),2019.0)</f>
        <v>2019</v>
      </c>
      <c r="H672" s="3" t="str">
        <f>IFERROR(__xludf.DUMMYFUNCTION("""COMPUTED_VALUE"""),"AN #41")</f>
        <v>AN #41</v>
      </c>
    </row>
    <row r="673">
      <c r="A673" t="str">
        <f>IFERROR(__xludf.DUMMYFUNCTION("""COMPUTED_VALUE"""),"Hierarchical RL")</f>
        <v>Hierarchical RL</v>
      </c>
      <c r="B673" t="str">
        <f>IFERROR(__xludf.DUMMYFUNCTION("""COMPUTED_VALUE"""),"")</f>
        <v/>
      </c>
      <c r="C673" s="3" t="str">
        <f>IFERROR(__xludf.DUMMYFUNCTION("""COMPUTED_VALUE"""),"Hierarchical visuomotor control of humanoids")</f>
        <v>Hierarchical visuomotor control of humanoids</v>
      </c>
      <c r="D673" t="str">
        <f>IFERROR(__xludf.DUMMYFUNCTION("""COMPUTED_VALUE"""),"Josh Merel, Arun Ahuja, Vu Pham, Saran Tunyasuvunakool, Siqi Liu, Dhruva Tirumala, Nicolas Heess, Greg Wayne")</f>
        <v>Josh Merel, Arun Ahuja, Vu Pham, Saran Tunyasuvunakool, Siqi Liu, Dhruva Tirumala, Nicolas Heess, Greg Wayne</v>
      </c>
      <c r="E673" t="str">
        <f>IFERROR(__xludf.DUMMYFUNCTION("""COMPUTED_VALUE"""),"arXiv")</f>
        <v>arXiv</v>
      </c>
      <c r="F673">
        <f>IFERROR(__xludf.DUMMYFUNCTION("""COMPUTED_VALUE"""),2018.0)</f>
        <v>2018</v>
      </c>
      <c r="H673" s="3" t="str">
        <f>IFERROR(__xludf.DUMMYFUNCTION("""COMPUTED_VALUE"""),"AN #35")</f>
        <v>AN #35</v>
      </c>
    </row>
    <row r="674">
      <c r="A674" t="str">
        <f>IFERROR(__xludf.DUMMYFUNCTION("""COMPUTED_VALUE"""),"Hierarchical RL")</f>
        <v>Hierarchical RL</v>
      </c>
      <c r="B674" t="str">
        <f>IFERROR(__xludf.DUMMYFUNCTION("""COMPUTED_VALUE"""),"")</f>
        <v/>
      </c>
      <c r="C674" s="3" t="str">
        <f>IFERROR(__xludf.DUMMYFUNCTION("""COMPUTED_VALUE"""),"Decentralized Reinforcement Learning: Global Decision-Making via Local Economic Transactions")</f>
        <v>Decentralized Reinforcement Learning: Global Decision-Making via Local Economic Transactions</v>
      </c>
      <c r="D674" t="str">
        <f>IFERROR(__xludf.DUMMYFUNCTION("""COMPUTED_VALUE"""),"Michael Chang, Sidhant Kaushik, S. Matthew Weinberg, Thomas L. Griffiths, Sergey Levine")</f>
        <v>Michael Chang, Sidhant Kaushik, S. Matthew Weinberg, Thomas L. Griffiths, Sergey Levine</v>
      </c>
      <c r="E674" t="str">
        <f>IFERROR(__xludf.DUMMYFUNCTION("""COMPUTED_VALUE"""),"ICML 2020")</f>
        <v>ICML 2020</v>
      </c>
      <c r="F674">
        <f>IFERROR(__xludf.DUMMYFUNCTION("""COMPUTED_VALUE"""),2020.0)</f>
        <v>2020</v>
      </c>
      <c r="H674" s="3" t="str">
        <f>IFERROR(__xludf.DUMMYFUNCTION("""COMPUTED_VALUE"""),"AN #116")</f>
        <v>AN #116</v>
      </c>
      <c r="I674" t="str">
        <f>IFERROR(__xludf.DUMMYFUNCTION("""COMPUTED_VALUE"""),"Zach")</f>
        <v>Zach</v>
      </c>
      <c r="J674" t="str">
        <f>IFERROR(__xludf.DUMMYFUNCTION("""COMPUTED_VALUE"""),"Increasing the scalability of learning systems is a central challenge to machine learning. One framework is to organize RL agents as ‘super’ agents, large collections of simpler agents that each make decisions according to their own incentives. If it were"&amp;" possible to get the incentives correct, the dominant equilibria would be identical to the optimal solution for the original RL problem.
In this paper, the authors introduce a framework for decentralizing decision-making by appealing to auction theory. T"&amp;"here is a separate simple agent for each action. At every a timestep, a Vickrey auction is run in which each agent can bid for the superagent executing their particular action. The trick is that when an agent successfully wins a bid and acts on a state, i"&amp;"t then ‘owns’ the produced next state, and ‘earns’ the result of the auction in the next round. (At the end of an episode, the owner of the state earns the reward of the trajectory.) Intuitively, the agent wants to bid on states in which it can make progr"&amp;"ess towards earning the final reward, as those will be states that other agents want to buy. The authors show that this scheme incentivizes each agent to bid the Q-value of their action in the given state, which would then lead to an optimal policy.
The "&amp;"authors test out this approach with some simple MDPs. They also investigate a task where they try to get the agents to rotate MNIST images so that a classifier will recognize them. Finally, they investigate task transfer by training agents on simple sub-t"&amp;"asks and then reusing those agents to learn a related task making use of both sub-tasks.")</f>
        <v>Increasing the scalability of learning systems is a central challenge to machine learning. One framework is to organize RL agents as ‘super’ agents, large collections of simpler agents that each make decisions according to their own incentives. If it were possible to get the incentives correct, the dominant equilibria would be identical to the optimal solution for the original RL problem.
In this paper, the authors introduce a framework for decentralizing decision-making by appealing to auction theory. There is a separate simple agent for each action. At every a timestep, a Vickrey auction is run in which each agent can bid for the superagent executing their particular action. The trick is that when an agent successfully wins a bid and acts on a state, it then ‘owns’ the produced next state, and ‘earns’ the result of the auction in the next round. (At the end of an episode, the owner of the state earns the reward of the trajectory.) Intuitively, the agent wants to bid on states in which it can make progress towards earning the final reward, as those will be states that other agents want to buy. The authors show that this scheme incentivizes each agent to bid the Q-value of their action in the given state, which would then lead to an optimal policy.
The authors test out this approach with some simple MDPs. They also investigate a task where they try to get the agents to rotate MNIST images so that a classifier will recognize them. Finally, they investigate task transfer by training agents on simple sub-tasks and then reusing those agents to learn a related task making use of both sub-tasks.</v>
      </c>
      <c r="K674" t="str">
        <f>IFERROR(__xludf.DUMMYFUNCTION("""COMPUTED_VALUE"""),"Imagine [Twitch plays](https://www.twitch.tv/directory/game/Twitch%20Plays), but you use a reputation to buy and sell your actions. The actual idea in the paper is slightly more mundane than this because the primitives are bidders. &lt;@Reinforcement Learnin"&amp;"g with Competitive Ensembles of Information-Constrained Primitives@&gt; is a similar piece of work that also uses primitives as the basic level of selection. However, their incentive mechanism is different: agents pay according to how much information from t"&amp;"he environment they use and then get a reward back for their actions. However, there’s good reason to think options could work as well since in both of these papers there’s evidence that primitives that learn sub-tasks are useful in new tasks.")</f>
        <v>Imagine [Twitch plays](https://www.twitch.tv/directory/game/Twitch%20Plays), but you use a reputation to buy and sell your actions. The actual idea in the paper is slightly more mundane than this because the primitives are bidders. &lt;@Reinforcement Learning with Competitive Ensembles of Information-Constrained Primitives@&gt; is a similar piece of work that also uses primitives as the basic level of selection. However, their incentive mechanism is different: agents pay according to how much information from the environment they use and then get a reward back for their actions. However, there’s good reason to think options could work as well since in both of these papers there’s evidence that primitives that learn sub-tasks are useful in new tasks.</v>
      </c>
      <c r="M674" s="3" t="str">
        <f>IFERROR(__xludf.DUMMYFUNCTION("""COMPUTED_VALUE"""),"Paper: Decentralized Reinforcement Learning: Global Decision-Making via Local Economic Transactions")</f>
        <v>Paper: Decentralized Reinforcement Learning: Global Decision-Making via Local Economic Transactions</v>
      </c>
    </row>
    <row r="675">
      <c r="A675" t="str">
        <f>IFERROR(__xludf.DUMMYFUNCTION("""COMPUTED_VALUE"""),"Hierarchical RL")</f>
        <v>Hierarchical RL</v>
      </c>
      <c r="B675" t="str">
        <f>IFERROR(__xludf.DUMMYFUNCTION("""COMPUTED_VALUE"""),"")</f>
        <v/>
      </c>
      <c r="C675" s="3" t="str">
        <f>IFERROR(__xludf.DUMMYFUNCTION("""COMPUTED_VALUE"""),"Learning Reward Machines for Partially Observable Reinforcement Learning")</f>
        <v>Learning Reward Machines for Partially Observable Reinforcement Learning</v>
      </c>
      <c r="D675" t="str">
        <f>IFERROR(__xludf.DUMMYFUNCTION("""COMPUTED_VALUE"""),"Rodrigo Toro Icarte, Ethan Waldie, Toryn Q. Klassen, Richard Valenzano, Margarita P. Castro, Sheila A. McIlraith")</f>
        <v>Rodrigo Toro Icarte, Ethan Waldie, Toryn Q. Klassen, Richard Valenzano, Margarita P. Castro, Sheila A. McIlraith</v>
      </c>
      <c r="E675" t="str">
        <f>IFERROR(__xludf.DUMMYFUNCTION("""COMPUTED_VALUE"""),"Author's Website")</f>
        <v>Author's Website</v>
      </c>
      <c r="F675">
        <f>IFERROR(__xludf.DUMMYFUNCTION("""COMPUTED_VALUE"""),2020.0)</f>
        <v>2020</v>
      </c>
      <c r="G675" t="str">
        <f>IFERROR(__xludf.DUMMYFUNCTION("""COMPUTED_VALUE"""),"Daniel Dewey")</f>
        <v>Daniel Dewey</v>
      </c>
      <c r="H675" s="3" t="str">
        <f>IFERROR(__xludf.DUMMYFUNCTION("""COMPUTED_VALUE"""),"AN #107")</f>
        <v>AN #107</v>
      </c>
      <c r="I675" t="str">
        <f>IFERROR(__xludf.DUMMYFUNCTION("""COMPUTED_VALUE"""),"Rohin")</f>
        <v>Rohin</v>
      </c>
      <c r="J675" t="str">
        <f>IFERROR(__xludf.DUMMYFUNCTION("""COMPUTED_VALUE"""),"Typically in reinforcement learning, the agent only gets access to a reward signal: it sees a single number saying how well it has done. The problem might be simpler to solve if the agent could get a more holistic view of the problem through a structured "&amp;"representation of the reward. This could allow it to infer things like “if I went left, I would get 5 reward, but if I went right, I would get 10 reward”. Under the current RL paradigm, it has to try both actions in separate episodes to learn this.
Model"&amp;"-based RL tries to recover some of this structured representation: it learns a model of the world and the reward function, such that you can ask queries of the form “if I took this sequence of actions, what reward would I get?” The hope is that the learne"&amp;"d models will generalize to new sequences that we haven’t previously seen, allowing the agent to learn from fewer environment interactions (i.e. higher sample efficiency).
This work does something similar using _reward machines_. The key idea is to repre"&amp;"sent both the reward and some aspects of the dynamics using a finite state machine, which can then be reasoned about without collecting more experience. In particular, given a POMDP, they propose learning a set of states U such that when combining the obs"&amp;"ervation o with the state u, we have an MDP instead of a POMDP. This is called a _perfect_ reward machine. To make this feasible, they assume the existence of a labeling function L that, given a transition &lt;o, a, o’&gt;, extracts all of the relevant state in"&amp;"formation. (Since POMDPs can be reduced to belief-space MDPs, it is always possible to extract a perfect reward machine by having U be the set of possible beliefs and L be the identity function, but the hope is that U and L can be much simpler in most cas"&amp;"es.)
They provide a formulation of an optimization problem over finite state machines such that a perfect reward machine would be an optimal solution to that problem (though I believe other imperfect reward machines could also be optimal). Since they are"&amp;" searching over a discrete space, they need to use a discrete optimization algorithm, and end up using Tabu search.
Once they have learned a reward machine from experience and a labeling function L, how can they use it to improve policy learning? They pr"&amp;"opose a very simple idea: when we get experience &lt;o, a, o’&gt;, treat it as a separate experience for every possible u, so that you effectively multiply the size of your dataset. They can then learn optimal policies that are conditioned on the state u (which"&amp;" can be inferred at test time using the learned state machine). Experiments show that this works in some simple gridworlds.")</f>
        <v>Typically in reinforcement learning, the agent only gets access to a reward signal: it sees a single number saying how well it has done. The problem might be simpler to solve if the agent could get a more holistic view of the problem through a structured representation of the reward. This could allow it to infer things like “if I went left, I would get 5 reward, but if I went right, I would get 10 reward”. Under the current RL paradigm, it has to try both actions in separate episodes to learn this.
Model-based RL tries to recover some of this structured representation: it learns a model of the world and the reward function, such that you can ask queries of the form “if I took this sequence of actions, what reward would I get?” The hope is that the learned models will generalize to new sequences that we haven’t previously seen, allowing the agent to learn from fewer environment interactions (i.e. higher sample efficiency).
This work does something similar using _reward machines_. The key idea is to represent both the reward and some aspects of the dynamics using a finite state machine, which can then be reasoned about without collecting more experience. In particular, given a POMDP, they propose learning a set of states U such that when combining the observation o with the state u, we have an MDP instead of a POMDP. This is called a _perfect_ reward machine. To make this feasible, they assume the existence of a labeling function L that, given a transition &lt;o, a, o’&gt;, extracts all of the relevant state information. (Since POMDPs can be reduced to belief-space MDPs, it is always possible to extract a perfect reward machine by having U be the set of possible beliefs and L be the identity function, but the hope is that U and L can be much simpler in most cases.)
They provide a formulation of an optimization problem over finite state machines such that a perfect reward machine would be an optimal solution to that problem (though I believe other imperfect reward machines could also be optimal). Since they are searching over a discrete space, they need to use a discrete optimization algorithm, and end up using Tabu search.
Once they have learned a reward machine from experience and a labeling function L, how can they use it to improve policy learning? They propose a very simple idea: when we get experience &lt;o, a, o’&gt;, treat it as a separate experience for every possible u, so that you effectively multiply the size of your dataset. They can then learn optimal policies that are conditioned on the state u (which can be inferred at test time using the learned state machine). Experiments show that this works in some simple gridworlds.</v>
      </c>
      <c r="K675" t="str">
        <f>IFERROR(__xludf.DUMMYFUNCTION("""COMPUTED_VALUE"""),"To summarize my summary, this paper assumes we have a POMDP with a labeling function L that extracts important state information from transitions. Given this, they learn a (hopefully perfect) reward machine from experience, and then use the reward machine"&amp;" to learn a policy more efficiently.
I see two main limitations to this method. First, they require a good labeling function L, which doesn’t seem easy to specify (at least if you want a high-level labeling function that only extracts the relevant inform"&amp;"ation). Second, I think their heuristic of using every &lt;o, a, o’&gt; transition as a separate experience for every possible u would not usually work -- even if you learn a perfect reward model (such that the combination of o and u together form a “state” in "&amp;"an MDP), it’s not necessarily true that for every possible state in which you get observation o, when taking action a, you get observation o’. The authors acknowledge this limitation with an example of a gridworld with a button that changes how transition"&amp;"s work. But it seems to me that in practice, the underlying state in a POMDP will often affect the next observation you get. For example, in Minecraft, maybe you get some experience where you chop down a tree, in which your next observation involves you h"&amp;"aving wood. If you generalize it to all possible states with identical initial observations, you’d also generalize it to the case where there is an enemy behind you who is about to attack. Then, your policy would learn to chop down trees, even when it _kn"&amp;"ows_ that there is an enemy behind it.
It seems pretty important in RL to figure out how to infer underlying states when working in a POMDP, as it seems like a useful inductive bias for our agents to assume that there is a (Markovian) world “out there”, "&amp;"and I’m excited that people are thinking about this. Due to the two limitations above, I don’t expect that reward machines are the way to go (at least as developed so far), but it’s exciting to see new ideas in this area. (I’m currently most excited about"&amp;" learning a latent state space model, as done in e.g. &lt;@Dreamer@&gt;(@Dream to Control: Learning Behaviors by Latent Imagination@).)")</f>
        <v>To summarize my summary, this paper assumes we have a POMDP with a labeling function L that extracts important state information from transitions. Given this, they learn a (hopefully perfect) reward machine from experience, and then use the reward machine to learn a policy more efficiently.
I see two main limitations to this method. First, they require a good labeling function L, which doesn’t seem easy to specify (at least if you want a high-level labeling function that only extracts the relevant information). Second, I think their heuristic of using every &lt;o, a, o’&gt; transition as a separate experience for every possible u would not usually work -- even if you learn a perfect reward model (such that the combination of o and u together form a “state” in an MDP), it’s not necessarily true that for every possible state in which you get observation o, when taking action a, you get observation o’. The authors acknowledge this limitation with an example of a gridworld with a button that changes how transitions work. But it seems to me that in practice, the underlying state in a POMDP will often affect the next observation you get. For example, in Minecraft, maybe you get some experience where you chop down a tree, in which your next observation involves you having wood. If you generalize it to all possible states with identical initial observations, you’d also generalize it to the case where there is an enemy behind you who is about to attack. Then, your policy would learn to chop down trees, even when it _knows_ that there is an enemy behind it.
It seems pretty important in RL to figure out how to infer underlying states when working in a POMDP, as it seems like a useful inductive bias for our agents to assume that there is a (Markovian) world “out there”, and I’m excited that people are thinking about this. Due to the two limitations above, I don’t expect that reward machines are the way to go (at least as developed so far), but it’s exciting to see new ideas in this area. (I’m currently most excited about learning a latent state space model, as done in e.g. &lt;@Dreamer@&gt;(@Dream to Control: Learning Behaviors by Latent Imagination@).)</v>
      </c>
    </row>
    <row r="676">
      <c r="A676" t="str">
        <f>IFERROR(__xludf.DUMMYFUNCTION("""COMPUTED_VALUE"""),"Hierarchical RL")</f>
        <v>Hierarchical RL</v>
      </c>
      <c r="B676" t="str">
        <f>IFERROR(__xludf.DUMMYFUNCTION("""COMPUTED_VALUE"""),"")</f>
        <v/>
      </c>
      <c r="C676" s="3" t="str">
        <f>IFERROR(__xludf.DUMMYFUNCTION("""COMPUTED_VALUE"""),"DADS: Unsupervised Reinforcement Learning for Skill Discovery")</f>
        <v>DADS: Unsupervised Reinforcement Learning for Skill Discovery</v>
      </c>
      <c r="D676" t="str">
        <f>IFERROR(__xludf.DUMMYFUNCTION("""COMPUTED_VALUE"""),"Archit Sharma, Shixiang Gu, Sergey Levine, Vikash Kumar, Karol Hausman")</f>
        <v>Archit Sharma, Shixiang Gu, Sergey Levine, Vikash Kumar, Karol Hausman</v>
      </c>
      <c r="E676" t="str">
        <f>IFERROR(__xludf.DUMMYFUNCTION("""COMPUTED_VALUE"""),"arXiv")</f>
        <v>arXiv</v>
      </c>
      <c r="F676">
        <f>IFERROR(__xludf.DUMMYFUNCTION("""COMPUTED_VALUE"""),2020.0)</f>
        <v>2020</v>
      </c>
      <c r="H676" s="3" t="str">
        <f>IFERROR(__xludf.DUMMYFUNCTION("""COMPUTED_VALUE"""),"AN #102")</f>
        <v>AN #102</v>
      </c>
      <c r="I676" t="str">
        <f>IFERROR(__xludf.DUMMYFUNCTION("""COMPUTED_VALUE"""),"Rohin")</f>
        <v>Rohin</v>
      </c>
      <c r="J676" t="str">
        <f>IFERROR(__xludf.DUMMYFUNCTION("""COMPUTED_VALUE"""),"Reinforcement learning in robotics typically plans directly on low-level actions. However, it sure seems like there are a simple set of _primitives_ like walking, running, shuffling, etc. that are inherent to the robot morphology. What if we could learn t"&amp;"hese primitives, and then plan using those primitives? This paper introduces a method for learning these primitives _without a reward function_. They simply optimize skills for _predictability_ and _diversity_ (by optimizing the mutual information between"&amp;" the current state and next state, conditioned on which skill is being executed).
They can then use these primitives for _model-based planning_ for a downstream task. You can think of this as a regular RL problem, except that an action in their ""action "&amp;"space"" takes the form ""execute skill X for T timesteps"". They use _model-predictive control_ (MPC), in which you sample a bunch of trajectories, and execute the first action of the trajectory that gets the highest reward. Since each of their high-level"&amp;" actions determines the policy for T timesteps, they can scale to much longer horizon tasks than MPC can usually be used for. They show that this approach is competitive with regular model-based RL.")</f>
        <v>Reinforcement learning in robotics typically plans directly on low-level actions. However, it sure seems like there are a simple set of _primitives_ like walking, running, shuffling, etc. that are inherent to the robot morphology. What if we could learn these primitives, and then plan using those primitives? This paper introduces a method for learning these primitives _without a reward function_. They simply optimize skills for _predictability_ and _diversity_ (by optimizing the mutual information between the current state and next state, conditioned on which skill is being executed).
They can then use these primitives for _model-based planning_ for a downstream task. You can think of this as a regular RL problem, except that an action in their "action space" takes the form "execute skill X for T timesteps". They use _model-predictive control_ (MPC), in which you sample a bunch of trajectories, and execute the first action of the trajectory that gets the highest reward. Since each of their high-level actions determines the policy for T timesteps, they can scale to much longer horizon tasks than MPC can usually be used for. They show that this approach is competitive with regular model-based RL.</v>
      </c>
      <c r="K676" t="str">
        <f>IFERROR(__xludf.DUMMYFUNCTION("""COMPUTED_VALUE"""),"I think unsupervised learning is likely to be key in getting more powerful and general AI systems without requiring a truly staggering amount of expert data, and this is a great example of what that might look like. Note though that the learned primitives"&amp;" are certainly not what you'd expect of a human: for example, the humanoid learns to vaguely shuffle in a direction, rather than walking. In addition, they did require specifying an ""x-y prior"" that required skills to be diverse based on x-y coordinates"&amp;", which is why the skills learned navigation primitives, as opposed to e.g. distinct types of flailing.")</f>
        <v>I think unsupervised learning is likely to be key in getting more powerful and general AI systems without requiring a truly staggering amount of expert data, and this is a great example of what that might look like. Note though that the learned primitives are certainly not what you'd expect of a human: for example, the humanoid learns to vaguely shuffle in a direction, rather than walking. In addition, they did require specifying an "x-y prior" that required skills to be diverse based on x-y coordinates, which is why the skills learned navigation primitives, as opposed to e.g. distinct types of flailing.</v>
      </c>
      <c r="M676" s="3" t="str">
        <f>IFERROR(__xludf.DUMMYFUNCTION("""COMPUTED_VALUE"""),"Paper: Dynamics-Aware Unsupervised Discovery of Skills")</f>
        <v>Paper: Dynamics-Aware Unsupervised Discovery of Skills</v>
      </c>
    </row>
    <row r="677">
      <c r="A677" t="str">
        <f>IFERROR(__xludf.DUMMYFUNCTION("""COMPUTED_VALUE"""),"Hierarchical RL")</f>
        <v>Hierarchical RL</v>
      </c>
      <c r="B677" t="str">
        <f>IFERROR(__xludf.DUMMYFUNCTION("""COMPUTED_VALUE"""),"")</f>
        <v/>
      </c>
      <c r="C677" s="3" t="str">
        <f>IFERROR(__xludf.DUMMYFUNCTION("""COMPUTED_VALUE"""),"Unsupervised Discovery of Decision States for Transfer in Reinforcement Learning")</f>
        <v>Unsupervised Discovery of Decision States for Transfer in Reinforcement Learning</v>
      </c>
      <c r="D677" t="str">
        <f>IFERROR(__xludf.DUMMYFUNCTION("""COMPUTED_VALUE"""),"Nirbhay Modhe, Prithvijit Chattopadhyay, Mohit Sharma, Abhishek Das, Devi Parikh, Dhruv Batra, Ramakrishna Vedantam")</f>
        <v>Nirbhay Modhe, Prithvijit Chattopadhyay, Mohit Sharma, Abhishek Das, Devi Parikh, Dhruv Batra, Ramakrishna Vedantam</v>
      </c>
      <c r="E677" t="str">
        <f>IFERROR(__xludf.DUMMYFUNCTION("""COMPUTED_VALUE"""),"arXiv")</f>
        <v>arXiv</v>
      </c>
      <c r="F677">
        <f>IFERROR(__xludf.DUMMYFUNCTION("""COMPUTED_VALUE"""),2019.0)</f>
        <v>2019</v>
      </c>
      <c r="H677" s="3" t="str">
        <f>IFERROR(__xludf.DUMMYFUNCTION("""COMPUTED_VALUE"""),"AN #61")</f>
        <v>AN #61</v>
      </c>
    </row>
    <row r="678">
      <c r="A678" t="str">
        <f>IFERROR(__xludf.DUMMYFUNCTION("""COMPUTED_VALUE"""),"Hierarchical RL")</f>
        <v>Hierarchical RL</v>
      </c>
      <c r="B678" t="str">
        <f>IFERROR(__xludf.DUMMYFUNCTION("""COMPUTED_VALUE"""),"")</f>
        <v/>
      </c>
      <c r="C678" s="3" t="str">
        <f>IFERROR(__xludf.DUMMYFUNCTION("""COMPUTED_VALUE"""),"Neural Modular Control for Embodied Question Answering")</f>
        <v>Neural Modular Control for Embodied Question Answering</v>
      </c>
      <c r="D678" t="str">
        <f>IFERROR(__xludf.DUMMYFUNCTION("""COMPUTED_VALUE"""),"Abhishek Das, Georgia Gkioxari, Stefan Lee, Devi Parikh, Dhruv Batra")</f>
        <v>Abhishek Das, Georgia Gkioxari, Stefan Lee, Devi Parikh, Dhruv Batra</v>
      </c>
      <c r="E678" t="str">
        <f>IFERROR(__xludf.DUMMYFUNCTION("""COMPUTED_VALUE"""),"arXiv")</f>
        <v>arXiv</v>
      </c>
      <c r="F678">
        <f>IFERROR(__xludf.DUMMYFUNCTION("""COMPUTED_VALUE"""),2018.0)</f>
        <v>2018</v>
      </c>
      <c r="H678" s="3" t="str">
        <f>IFERROR(__xludf.DUMMYFUNCTION("""COMPUTED_VALUE"""),"AN #31")</f>
        <v>AN #31</v>
      </c>
    </row>
    <row r="679">
      <c r="A679" t="str">
        <f>IFERROR(__xludf.DUMMYFUNCTION("""COMPUTED_VALUE"""),"Interpretability")</f>
        <v>Interpretability</v>
      </c>
      <c r="B679" t="str">
        <f>IFERROR(__xludf.DUMMYFUNCTION("""COMPUTED_VALUE"""),"Highlight")</f>
        <v>Highlight</v>
      </c>
      <c r="C679" s="3" t="str">
        <f>IFERROR(__xludf.DUMMYFUNCTION("""COMPUTED_VALUE"""),"LCA: Loss Change Allocation for Neural Network Training")</f>
        <v>LCA: Loss Change Allocation for Neural Network Training</v>
      </c>
      <c r="D679" t="str">
        <f>IFERROR(__xludf.DUMMYFUNCTION("""COMPUTED_VALUE"""),"Janice Lan, Rosanne Liu, Hattie Zhou, Jason Yosinski")</f>
        <v>Janice Lan, Rosanne Liu, Hattie Zhou, Jason Yosinski</v>
      </c>
      <c r="E679" t="str">
        <f>IFERROR(__xludf.DUMMYFUNCTION("""COMPUTED_VALUE"""),"NeurIPS 2019")</f>
        <v>NeurIPS 2019</v>
      </c>
      <c r="F679">
        <f>IFERROR(__xludf.DUMMYFUNCTION("""COMPUTED_VALUE"""),2019.0)</f>
        <v>2019</v>
      </c>
      <c r="H679" s="3" t="str">
        <f>IFERROR(__xludf.DUMMYFUNCTION("""COMPUTED_VALUE"""),"AN #98")</f>
        <v>AN #98</v>
      </c>
      <c r="I679" t="str">
        <f>IFERROR(__xludf.DUMMYFUNCTION("""COMPUTED_VALUE"""),"Robert")</f>
        <v>Robert</v>
      </c>
      <c r="J679" t="str">
        <f>IFERROR(__xludf.DUMMYFUNCTION("""COMPUTED_VALUE"""),"This paper introduces the _Loss Change Allocation_ (LCA) method. The method's purpose is to gain insight and understanding into the training process of deep neural networks. The method calculates an allocation of the change in overall loss (on the whole t"&amp;"raining set) between every parameter at each training iteration, which is iteratively refined until the approximation error is less than 1% overall. This loss change allocation can be either positive or negative; **if it's negative, then the parameter is "&amp;"said to have helped training at that iteration, and if it's positive then the parameter hurt training**. Given this measurement is per-parameter and per-iteration, it can be aggregated to per-layer LCA, or any other summation over parameters and training "&amp;"iterations.
The authors use the method to gain a number of insights into the training process of several small neural networks (trained on MNIST and CIFAR-10).
First, they validate that learning is very noisy, with **on average only half of the paramete"&amp;"rs helping at each iteration**. The distribution is heavier-tailed than a normal distribution, and is fairly symmetrical. However, parameters tend to alternate between helping and hurting, and each parameter only tends to help approximately 50% of the tim"&amp;"e.
Second, they look at the LCA aggregated per-layer, summed over the entire training process, and show that in the CIFAR ResNet model **the first and last layers hurt overall** (i.e. have positive LCA). In an attempt to remedy this and understand the ca"&amp;"uses, the authors try freezing these layers, or reducing their learning rate. The first layer can't be fixed (freezing makes it's LCA 0, but later layers' LCA is increased in turn so the overall final loss stays the same). However, for the last layer, **f"&amp;"reezing or reducing the learning rate increases the overall performance of the network**, as the last layer's LCA is decreased more than all the other layer's LCAs are increased. They also hypothesize that by reducing the momentum for the last layer, they"&amp;" can give it fresher information and make it more likely to learn. They find that this does work, though in this setting previous layers’ LCA increases to compensate, leaving overall performance unchanged.
Finally, the authors show that **learning seems "&amp;"to be synchronised across layers**; layers get local LCA minima at the same training iterations, in a statistically significant way. They show this must be a combination of parameter motion and the gradient, as neither on their own explains this phenomeno"&amp;"n.")</f>
        <v>This paper introduces the _Loss Change Allocation_ (LCA) method. The method's purpose is to gain insight and understanding into the training process of deep neural networks. The method calculates an allocation of the change in overall loss (on the whole training set) between every parameter at each training iteration, which is iteratively refined until the approximation error is less than 1% overall. This loss change allocation can be either positive or negative; **if it's negative, then the parameter is said to have helped training at that iteration, and if it's positive then the parameter hurt training**. Given this measurement is per-parameter and per-iteration, it can be aggregated to per-layer LCA, or any other summation over parameters and training iterations.
The authors use the method to gain a number of insights into the training process of several small neural networks (trained on MNIST and CIFAR-10).
First, they validate that learning is very noisy, with **on average only half of the parameters helping at each iteration**. The distribution is heavier-tailed than a normal distribution, and is fairly symmetrical. However, parameters tend to alternate between helping and hurting, and each parameter only tends to help approximately 50% of the time.
Second, they look at the LCA aggregated per-layer, summed over the entire training process, and show that in the CIFAR ResNet model **the first and last layers hurt overall** (i.e. have positive LCA). In an attempt to remedy this and understand the causes, the authors try freezing these layers, or reducing their learning rate. The first layer can't be fixed (freezing makes it's LCA 0, but later layers' LCA is increased in turn so the overall final loss stays the same). However, for the last layer, **freezing or reducing the learning rate increases the overall performance of the network**, as the last layer's LCA is decreased more than all the other layer's LCAs are increased. They also hypothesize that by reducing the momentum for the last layer, they can give it fresher information and make it more likely to learn. They find that this does work, though in this setting previous layers’ LCA increases to compensate, leaving overall performance unchanged.
Finally, the authors show that **learning seems to be synchronised across layers**; layers get local LCA minima at the same training iterations, in a statistically significant way. They show this must be a combination of parameter motion and the gradient, as neither on their own explains this phenomenon.</v>
      </c>
      <c r="K679" t="str">
        <f>IFERROR(__xludf.DUMMYFUNCTION("""COMPUTED_VALUE"""),"I really liked this paper. The method is simple (although computationally expensive), and gives novel insights. I think understanding how deep learning training works is important as it can help us design better training processes, not just for better per"&amp;"formance but for other properties we want the training process to induce. I think there's a lot of future work which could be done with this method, in making it more efficient and then applying it to larger models in domains other than vision. I'd also b"&amp;"e interested in seeing if this can be used to understand which parts of the training set help and hurt training; for example seeing whether there's any correlation between the points of synchronised learning and the datapoints in the minibatch at that tra"&amp;"ining iteration. Note: I'd recommend reading the paper (including the appendices) to see the graphs and visualisations the authors produced to demonstrate their arguments, as they're much easier to understand than a textual description.
**Rohin's opinion"&amp;":** I also really enjoyed this paper, it has great empirical evidence about how neural networks work. I'd be inclined to analyze the results somewhat differently. In particular, suppose that when calculating LCA, we made the following changes:
1. We used"&amp;" the loss on the training batches instead of the full training set.
2. We didn't improve the approximation error (i.e. we just used the point estimate of the gradient calculated during training).
3. We trained using stochastic gradient descent (SGD) (as o"&amp;"pposed to say Adam or Momentum-SGD).
Then all LCA values would be negative (explanation in [this comment](https://www.alignmentforum.org/posts/TmHRACaxXrLbXb5tS/rohinmshah-s-shortform?commentId=dWkj6mK2uZtnXJQiq)). So, when the paper shows experiments wh"&amp;"ere LCA values are positive (i.e. the parameters / layers are anti-learning), we can attribute those effects to some combination of these three factors.
Take the observation that learning is very noisy. I would guess that this is primarily because of the"&amp;" first point: there are many many ways to improve the loss on a tiny little minibatch, but only a tiny fraction of those are capturing ""real effects"" that would improve the loss on the full large training dataset. Likely in the large majority of cases, "&amp;"the update doesn't capture a ""real effect"", and so it's a coin flip whether or not it will help with the loss on the full training dataset. A large probability of a coin flip + a small probability of a ""real effect"" gets you to an improvement slightly"&amp;" over half the time. This explanation applies across parameters, iterations, layers, etc.
Similarly, they find that learning is synchronized across layers. I think this is also primarily because of the first point. My guess is that there are some batches"&amp;" of data that are more ""canonical"" than others, that are easiest to learn from. In the case where we see synchronization for each class, this could be as simple as that particular training batch having more examples of that class than other training bat"&amp;"ches.
I’d be interested in seeing experiments in which we start with the version of LCA where everything is negative, and made only one of the changes. This would allow us to narrow down which particular change causes a given effect, kind of like an abla"&amp;"tion study.")</f>
        <v>I really liked this paper. The method is simple (although computationally expensive), and gives novel insights. I think understanding how deep learning training works is important as it can help us design better training processes, not just for better performance but for other properties we want the training process to induce. I think there's a lot of future work which could be done with this method, in making it more efficient and then applying it to larger models in domains other than vision. I'd also be interested in seeing if this can be used to understand which parts of the training set help and hurt training; for example seeing whether there's any correlation between the points of synchronised learning and the datapoints in the minibatch at that training iteration. Note: I'd recommend reading the paper (including the appendices) to see the graphs and visualisations the authors produced to demonstrate their arguments, as they're much easier to understand than a textual description.
**Rohin's opinion:** I also really enjoyed this paper, it has great empirical evidence about how neural networks work. I'd be inclined to analyze the results somewhat differently. In particular, suppose that when calculating LCA, we made the following changes:
1. We used the loss on the training batches instead of the full training set.
2. We didn't improve the approximation error (i.e. we just used the point estimate of the gradient calculated during training).
3. We trained using stochastic gradient descent (SGD) (as opposed to say Adam or Momentum-SGD).
Then all LCA values would be negative (explanation in [this comment](https://www.alignmentforum.org/posts/TmHRACaxXrLbXb5tS/rohinmshah-s-shortform?commentId=dWkj6mK2uZtnXJQiq)). So, when the paper shows experiments where LCA values are positive (i.e. the parameters / layers are anti-learning), we can attribute those effects to some combination of these three factors.
Take the observation that learning is very noisy. I would guess that this is primarily because of the first point: there are many many ways to improve the loss on a tiny little minibatch, but only a tiny fraction of those are capturing "real effects" that would improve the loss on the full large training dataset. Likely in the large majority of cases, the update doesn't capture a "real effect", and so it's a coin flip whether or not it will help with the loss on the full training dataset. A large probability of a coin flip + a small probability of a "real effect" gets you to an improvement slightly over half the time. This explanation applies across parameters, iterations, layers, etc.
Similarly, they find that learning is synchronized across layers. I think this is also primarily because of the first point. My guess is that there are some batches of data that are more "canonical" than others, that are easiest to learn from. In the case where we see synchronization for each class, this could be as simple as that particular training batch having more examples of that class than other training batches.
I’d be interested in seeing experiments in which we start with the version of LCA where everything is negative, and made only one of the changes. This would allow us to narrow down which particular change causes a given effect, kind of like an ablation study.</v>
      </c>
    </row>
    <row r="680">
      <c r="A680" t="str">
        <f>IFERROR(__xludf.DUMMYFUNCTION("""COMPUTED_VALUE"""),"Interpretability")</f>
        <v>Interpretability</v>
      </c>
      <c r="B680" t="str">
        <f>IFERROR(__xludf.DUMMYFUNCTION("""COMPUTED_VALUE"""),"Highlight")</f>
        <v>Highlight</v>
      </c>
      <c r="C680" s="3" t="str">
        <f>IFERROR(__xludf.DUMMYFUNCTION("""COMPUTED_VALUE"""),"Exploring Neural Networks with Activation Atlases")</f>
        <v>Exploring Neural Networks with Activation Atlases</v>
      </c>
      <c r="D680" t="str">
        <f>IFERROR(__xludf.DUMMYFUNCTION("""COMPUTED_VALUE"""),"Shan Carter, Zan Armstrong, Ludwig Schubert, Ian Johnson, and Chris Olah")</f>
        <v>Shan Carter, Zan Armstrong, Ludwig Schubert, Ian Johnson, and Chris Olah</v>
      </c>
      <c r="E680" t="str">
        <f>IFERROR(__xludf.DUMMYFUNCTION("""COMPUTED_VALUE"""),"Distill")</f>
        <v>Distill</v>
      </c>
      <c r="F680">
        <f>IFERROR(__xludf.DUMMYFUNCTION("""COMPUTED_VALUE"""),2019.0)</f>
        <v>2019</v>
      </c>
      <c r="H680" s="3" t="str">
        <f>IFERROR(__xludf.DUMMYFUNCTION("""COMPUTED_VALUE"""),"AN #49")</f>
        <v>AN #49</v>
      </c>
      <c r="I680" t="str">
        <f>IFERROR(__xludf.DUMMYFUNCTION("""COMPUTED_VALUE"""),"Rohin")</f>
        <v>Rohin</v>
      </c>
      <c r="J680" t="str">
        <f>IFERROR(__xludf.DUMMYFUNCTION("""COMPUTED_VALUE"""),"Previous work by this group of people includes [The Building Blocks of Interpretability](https://distill.pub/2018/building-blocks/) and [Feature Visualization](https://distill.pub/2017/feature-visualization/), both of which apparently came out before this"&amp;" newsletter started so I don't have a summary to point to. Those were primarily about understanding what individual neurons in an image classifer were responding to, and the key idea was to ""name"" each neuron with the input that would maximally activate"&amp;" that neuron. This can give you a global view of what the network is doing.
However, such a global view makes it hard to understand the interaction between neurons. To understand these, we can look at a specific input image, and use techniques like attri"&amp;"bution. Rather than attribute final classifications to the input, you could attribute classifications to neurons in the network, and then since individual neurons now had meanings (roughly: ""fuzzy texture neuron"", ""tennis ball neuron"", etc) you can ga"&amp;"in insight to how the network is making decisions _for that specific input_.
However, ideally we would like to see how the network uses interactions between neurons to make decisions in general; not on a single image. This motivates activation atlases, w"&amp;"hich analyze the activations of a network on a _large dataset_ of inputs. In particular, for each of a million images, they randomly choose a non-border patch from the image, and compute the activation vector at a particular layer of the network at that p"&amp;"atch. This gives a dataset of a million activation vectors. They use standard dimensionality reduction techniques to map each activation vector into an (x, y) point on the 2D plane. They divide the 2D plane into a reasonably sized grid (e.g. 50x50), and f"&amp;"or each grid cell they compute the average of all the activation vectors in the cell, visualize that activation vector using feature visualization, and put the resulting image into the grid cell. This gives a 50x50 grid of the ""concepts"" that the partic"&amp;"ular neural network layer we are analyzing can reason about. They also use attribution to show, for each grid cell, which class that grid cell most supports.
The paper then goes into a lot of detail about what we can infer from the activation atlas. For "&amp;"example, we can see that paths in activation vector space can correspond to human-interpretable concepts like the number of objects in an image, or moving from water to beaches to rocky cliffs. If we look at activation atlases for different layers, we can"&amp;" see that the later layers seem to get much more specific and complex, and formed of combinations of previous features (e.g. combining sand and water features to get a single sandbar feature).
By looking at images for specific classes, we can use attribu"&amp;"tion to see which parts of an activation atlas are most relevant for the class. By comparing across classes, we can see how the network makes decisions. For example, for fireboats vs. streetcars, the network looks for windows for both, crane-like structur"&amp;"es for both (though less than windows), and water for fireboats vs. buildings for streetcars. This sort of analysis can also help us find mistakes in reasoning -- e.g. looking at the difference between grey whales and great white sharks, we can see that t"&amp;"he network looks for the teeth and mouth of a great white shark, including an activation that looks suspiciously like a baseball. In fact, if you take a grey whale and put a patch of a baseball in the top left corner, this becomes an adversarial example t"&amp;"hat fools the network into thinking the grey whale is a great white shark. They run a bunch of experiments with these human-found adversarial examples and find they are quite effective.")</f>
        <v>Previous work by this group of people includes [The Building Blocks of Interpretability](https://distill.pub/2018/building-blocks/) and [Feature Visualization](https://distill.pub/2017/feature-visualization/), both of which apparently came out before this newsletter started so I don't have a summary to point to. Those were primarily about understanding what individual neurons in an image classifer were responding to, and the key idea was to "name" each neuron with the input that would maximally activate that neuron. This can give you a global view of what the network is doing.
However, such a global view makes it hard to understand the interaction between neurons. To understand these, we can look at a specific input image, and use techniques like attribution. Rather than attribute final classifications to the input, you could attribute classifications to neurons in the network, and then since individual neurons now had meanings (roughly: "fuzzy texture neuron", "tennis ball neuron", etc) you can gain insight to how the network is making decisions _for that specific input_.
However, ideally we would like to see how the network uses interactions between neurons to make decisions in general; not on a single image. This motivates activation atlases, which analyze the activations of a network on a _large dataset_ of inputs. In particular, for each of a million images, they randomly choose a non-border patch from the image, and compute the activation vector at a particular layer of the network at that patch. This gives a dataset of a million activation vectors. They use standard dimensionality reduction techniques to map each activation vector into an (x, y) point on the 2D plane. They divide the 2D plane into a reasonably sized grid (e.g. 50x50), and for each grid cell they compute the average of all the activation vectors in the cell, visualize that activation vector using feature visualization, and put the resulting image into the grid cell. This gives a 50x50 grid of the "concepts" that the particular neural network layer we are analyzing can reason about. They also use attribution to show, for each grid cell, which class that grid cell most supports.
The paper then goes into a lot of detail about what we can infer from the activation atlas. For example, we can see that paths in activation vector space can correspond to human-interpretable concepts like the number of objects in an image, or moving from water to beaches to rocky cliffs. If we look at activation atlases for different layers, we can see that the later layers seem to get much more specific and complex, and formed of combinations of previous features (e.g. combining sand and water features to get a single sandbar feature).
By looking at images for specific classes, we can use attribution to see which parts of an activation atlas are most relevant for the class. By comparing across classes, we can see how the network makes decisions. For example, for fireboats vs. streetcars, the network looks for windows for both, crane-like structures for both (though less than windows), and water for fireboats vs. buildings for streetcars. This sort of analysis can also help us find mistakes in reasoning -- e.g. looking at the difference between grey whales and great white sharks, we can see that the network looks for the teeth and mouth of a great white shark, including an activation that looks suspiciously like a baseball. In fact, if you take a grey whale and put a patch of a baseball in the top left corner, this becomes an adversarial example that fools the network into thinking the grey whale is a great white shark. They run a bunch of experiments with these human-found adversarial examples and find they are quite effective.</v>
      </c>
      <c r="K680" t="str">
        <f>IFERROR(__xludf.DUMMYFUNCTION("""COMPUTED_VALUE"""),"While the authors present this as a method for understanding how neurons interact, it seems to me that the key insight is about looking at and explaining the behavior of the neural network _on data points in-distribution_. Most possible inputs are off-dis"&amp;"tribution, and there is not much to be gained by understanding what the network does on these points. Techniques that aim to gain a global understanding of the network are going to be ""explaining"" the behavior of the network on such points as well, and "&amp;"so will be presenting data that we won't be able to interpret. By looking specifically at activations corresponding to in-distribution images, we can ensure that the data we're visualizing is in-distribution and is expected to make sense to us.
I'm prett"&amp;"y excited that interpretability techniques have gotten good enough that they allow us to construct adversarial examples ""by hand"" -- that seems like a clear demonstration that we are learning something real about the network. It feels like the next step"&amp;" would be to use interpretability techniques to enable us to actually fix the network -- though admittedly this would require us to also develop methods that allow humans to ""tweak"" networks, which doesn't really fit within interpretability research as "&amp;"normally defined.")</f>
        <v>While the authors present this as a method for understanding how neurons interact, it seems to me that the key insight is about looking at and explaining the behavior of the neural network _on data points in-distribution_. Most possible inputs are off-distribution, and there is not much to be gained by understanding what the network does on these points. Techniques that aim to gain a global understanding of the network are going to be "explaining" the behavior of the network on such points as well, and so will be presenting data that we won't be able to interpret. By looking specifically at activations corresponding to in-distribution images, we can ensure that the data we're visualizing is in-distribution and is expected to make sense to us.
I'm pretty excited that interpretability techniques have gotten good enough that they allow us to construct adversarial examples "by hand" -- that seems like a clear demonstration that we are learning something real about the network. It feels like the next step would be to use interpretability techniques to enable us to actually fix the network -- though admittedly this would require us to also develop methods that allow humans to "tweak" networks, which doesn't really fit within interpretability research as normally defined.</v>
      </c>
      <c r="M680" t="str">
        <f>IFERROR(__xludf.DUMMYFUNCTION("""COMPUTED_VALUE"""),"[OpenAI blog post](https://openai.com/blog/introducing-activation-atlases/) and [Google AI blog post](https://ai.googleblog.com/2019/03/exploring-neural-networks.html)")</f>
        <v>[OpenAI blog post](https://openai.com/blog/introducing-activation-atlases/) and [Google AI blog post](https://ai.googleblog.com/2019/03/exploring-neural-networks.html)</v>
      </c>
    </row>
    <row r="681">
      <c r="A681" t="str">
        <f>IFERROR(__xludf.DUMMYFUNCTION("""COMPUTED_VALUE"""),"Interpretability")</f>
        <v>Interpretability</v>
      </c>
      <c r="B681" t="str">
        <f>IFERROR(__xludf.DUMMYFUNCTION("""COMPUTED_VALUE"""),"Highlight")</f>
        <v>Highlight</v>
      </c>
      <c r="C681" s="3" t="str">
        <f>IFERROR(__xludf.DUMMYFUNCTION("""COMPUTED_VALUE"""),"Interpretability and Post-Rationalization")</f>
        <v>Interpretability and Post-Rationalization</v>
      </c>
      <c r="D681" t="str">
        <f>IFERROR(__xludf.DUMMYFUNCTION("""COMPUTED_VALUE"""),"Vincent Vanhoucke")</f>
        <v>Vincent Vanhoucke</v>
      </c>
      <c r="E681" t="str">
        <f>IFERROR(__xludf.DUMMYFUNCTION("""COMPUTED_VALUE"""),"Medium")</f>
        <v>Medium</v>
      </c>
      <c r="F681">
        <f>IFERROR(__xludf.DUMMYFUNCTION("""COMPUTED_VALUE"""),2018.0)</f>
        <v>2018</v>
      </c>
      <c r="H681" s="3" t="str">
        <f>IFERROR(__xludf.DUMMYFUNCTION("""COMPUTED_VALUE"""),"AN #29")</f>
        <v>AN #29</v>
      </c>
      <c r="I681" t="str">
        <f>IFERROR(__xludf.DUMMYFUNCTION("""COMPUTED_VALUE"""),"Rohin")</f>
        <v>Rohin</v>
      </c>
      <c r="J681" t="str">
        <f>IFERROR(__xludf.DUMMYFUNCTION("""COMPUTED_VALUE"""),"Neuroscience suggests that most explanations that we humans give for a decision are post-hoc rationalizations, and don't reflect the messy underlying true reasons for the decision. It turns out that decision making, perception, and all the other tasks we'"&amp;"re hoping to outsource to neural nets are inherently complex and difficult, and are not amenable to easy explanation. We can aim for ""from-without"" explanations, which post-hoc rationalize the decisions a neural net makes, but ""from-within"" explanatio"&amp;"ns, which aim for a mechanistic understanding, are intractable. We could try to design models that are more interpretable (in the ""from-within"" sense), but this would lead to worse performance on the actual task, which would hurt everyone, including the"&amp;" people calling for more accountability.")</f>
        <v>Neuroscience suggests that most explanations that we humans give for a decision are post-hoc rationalizations, and don't reflect the messy underlying true reasons for the decision. It turns out that decision making, perception, and all the other tasks we're hoping to outsource to neural nets are inherently complex and difficult, and are not amenable to easy explanation. We can aim for "from-without" explanations, which post-hoc rationalize the decisions a neural net makes, but "from-within" explanations, which aim for a mechanistic understanding, are intractable. We could try to design models that are more interpretable (in the "from-within" sense), but this would lead to worse performance on the actual task, which would hurt everyone, including the people calling for more accountability.</v>
      </c>
      <c r="K681" t="str">
        <f>IFERROR(__xludf.DUMMYFUNCTION("""COMPUTED_VALUE"""),"I take a pretty different view from this post -- I've highlighted it because I think this is an important disagreement that's relevant for alignment. In particular, it's not clear to me that ""from-within"" interpretability is doomed -- while I agree that"&amp;" humans basically only do ""from-without"" rationalizations, we also aren't able to inspect a human brain in the same way that we can inspect a neural net. For example, we can't see the output of each individual neuron, we can't tell what input would each"&amp;" neuron would respond maximally to, and we can't pose counterfactuals with slightly different inputs to see what changes. In fact, I think that ""from-within"" interpretability techniques, such as [Building Blocks of Interpretability]() have already seen "&amp;"successes in identifying biases that image classifiers suffer from, that we wouldn't have known about otherwise.
We could also consider whether post-hoc rationalization is sufficient for alignment. Consider a thought experiment where a superintelligent A"&amp;"I is about to take a treacherous turn, but there is an explainer AI system that post-hoc rationalizes the output of the AI that could warn us in advance. If the explainer AI only gets access to the output of the superintelligent AI, I'm very worried -- it"&amp;" seems way too easy to come up with some arbitrary rationalization for an action that makes it seem good, you'd have to be have a much more powerful explainer AI to have a hope. On the other hand, if the explainer AI gets access to all of the weights and "&amp;"activations that led to the output, it seems more likely that this could work -- as an analogy, I think a teenager could tell if I was going to betray them, if they could constantly eavesdrop on my thoughts.")</f>
        <v>I take a pretty different view from this post -- I've highlighted it because I think this is an important disagreement that's relevant for alignment. In particular, it's not clear to me that "from-within" interpretability is doomed -- while I agree that humans basically only do "from-without" rationalizations, we also aren't able to inspect a human brain in the same way that we can inspect a neural net. For example, we can't see the output of each individual neuron, we can't tell what input would each neuron would respond maximally to, and we can't pose counterfactuals with slightly different inputs to see what changes. In fact, I think that "from-within" interpretability techniques, such as [Building Blocks of Interpretability]() have already seen successes in identifying biases that image classifiers suffer from, that we wouldn't have known about otherwise.
We could also consider whether post-hoc rationalization is sufficient for alignment. Consider a thought experiment where a superintelligent AI is about to take a treacherous turn, but there is an explainer AI system that post-hoc rationalizes the output of the AI that could warn us in advance. If the explainer AI only gets access to the output of the superintelligent AI, I'm very worried -- it seems way too easy to come up with some arbitrary rationalization for an action that makes it seem good, you'd have to be have a much more powerful explainer AI to have a hope. On the other hand, if the explainer AI gets access to all of the weights and activations that led to the output, it seems more likely that this could work -- as an analogy, I think a teenager could tell if I was going to betray them, if they could constantly eavesdrop on my thoughts.</v>
      </c>
    </row>
    <row r="682">
      <c r="A682" t="str">
        <f>IFERROR(__xludf.DUMMYFUNCTION("""COMPUTED_VALUE"""),"Interpretability")</f>
        <v>Interpretability</v>
      </c>
      <c r="B682" t="str">
        <f>IFERROR(__xludf.DUMMYFUNCTION("""COMPUTED_VALUE"""),"Highlight")</f>
        <v>Highlight</v>
      </c>
      <c r="C682" s="3" t="str">
        <f>IFERROR(__xludf.DUMMYFUNCTION("""COMPUTED_VALUE"""),"The What-If Tool: Code-Free Probing of Machine Learning Models")</f>
        <v>The What-If Tool: Code-Free Probing of Machine Learning Models</v>
      </c>
      <c r="D682" t="str">
        <f>IFERROR(__xludf.DUMMYFUNCTION("""COMPUTED_VALUE"""),"James Wexler")</f>
        <v>James Wexler</v>
      </c>
      <c r="E682" t="str">
        <f>IFERROR(__xludf.DUMMYFUNCTION("""COMPUTED_VALUE"""),"Google AI Blog")</f>
        <v>Google AI Blog</v>
      </c>
      <c r="F682">
        <f>IFERROR(__xludf.DUMMYFUNCTION("""COMPUTED_VALUE"""),2018.0)</f>
        <v>2018</v>
      </c>
      <c r="H682" s="3" t="str">
        <f>IFERROR(__xludf.DUMMYFUNCTION("""COMPUTED_VALUE"""),"AN #24")</f>
        <v>AN #24</v>
      </c>
      <c r="I682" t="str">
        <f>IFERROR(__xludf.DUMMYFUNCTION("""COMPUTED_VALUE"""),"Rohin")</f>
        <v>Rohin</v>
      </c>
      <c r="J682" t="str">
        <f>IFERROR(__xludf.DUMMYFUNCTION("""COMPUTED_VALUE"""),"When you train an ML model, it is often hard to understand what your model is doing and why. This post introduces the What-If tool, which allows you to ask counterfactual queries about the decision rule implemented by your final trained model, for classif"&amp;"ication and regression tasks. For example, you can take a particular data point, edit it slightly, and see how that changes the model prediction. Or you can graph the data points by L2 distance from a particular point. For classification tasks, you can fi"&amp;"nd the ""closest counterfactual"", that is, the data point closest to the current point where the decision of the model is reversed. I played around with some of the demos, and apparently for a particular person and a particular model trained on census da"&amp;"ta, the probability that they had a salary of over $50k depended much more strongly on their marital status than their age, which was the opposite of my prediction. I figured this out by choosing a point, finding the closest counterfactual, and then makin"&amp;"g each of the changes in the delta individually and seeing which affected the model probability most.")</f>
        <v>When you train an ML model, it is often hard to understand what your model is doing and why. This post introduces the What-If tool, which allows you to ask counterfactual queries about the decision rule implemented by your final trained model, for classification and regression tasks. For example, you can take a particular data point, edit it slightly, and see how that changes the model prediction. Or you can graph the data points by L2 distance from a particular point. For classification tasks, you can find the "closest counterfactual", that is, the data point closest to the current point where the decision of the model is reversed. I played around with some of the demos, and apparently for a particular person and a particular model trained on census data, the probability that they had a salary of over $50k depended much more strongly on their marital status than their age, which was the opposite of my prediction. I figured this out by choosing a point, finding the closest counterfactual, and then making each of the changes in the delta individually and seeing which affected the model probability most.</v>
      </c>
      <c r="K682" t="str">
        <f>IFERROR(__xludf.DUMMYFUNCTION("""COMPUTED_VALUE"""),"I'm guessing this is limited to tasks where your data points have a reasonable number of features (&lt; 1000, I'd guess) and you are only analyzing a small set of test data points (around tens of thousands), due to computational constraints. That said, for t"&amp;"hose tasks, this seems incredibly useful to actually get a good model that you can debug and eventually deploy.
It's worth noting that this is an engineering achievement. Researchers are considering even stronger (but more computationally difficult) tech"&amp;"niques, such as finding which part of the training set most influenced a particular decision, whereas the What-If tool doesn't talk about the training set and training process at all, instead only allowing you to ask queries about the final trained model.")</f>
        <v>I'm guessing this is limited to tasks where your data points have a reasonable number of features (&lt; 1000, I'd guess) and you are only analyzing a small set of test data points (around tens of thousands), due to computational constraints. That said, for those tasks, this seems incredibly useful to actually get a good model that you can debug and eventually deploy.
It's worth noting that this is an engineering achievement. Researchers are considering even stronger (but more computationally difficult) techniques, such as finding which part of the training set most influenced a particular decision, whereas the What-If tool doesn't talk about the training set and training process at all, instead only allowing you to ask queries about the final trained model.</v>
      </c>
    </row>
    <row r="683">
      <c r="A683" t="str">
        <f>IFERROR(__xludf.DUMMYFUNCTION("""COMPUTED_VALUE"""),"Interpretability")</f>
        <v>Interpretability</v>
      </c>
      <c r="B683" t="str">
        <f>IFERROR(__xludf.DUMMYFUNCTION("""COMPUTED_VALUE"""),"Highlight")</f>
        <v>Highlight</v>
      </c>
      <c r="C683" s="3" t="str">
        <f>IFERROR(__xludf.DUMMYFUNCTION("""COMPUTED_VALUE"""),"Differentiable Image Parameterizations")</f>
        <v>Differentiable Image Parameterizations</v>
      </c>
      <c r="D683" t="str">
        <f>IFERROR(__xludf.DUMMYFUNCTION("""COMPUTED_VALUE"""),"Alexander Mordvintsev, Nicola Pezzotti, Ludwig Schubert, and Chris Olah
")</f>
        <v>Alexander Mordvintsev, Nicola Pezzotti, Ludwig Schubert, and Chris Olah
</v>
      </c>
      <c r="E683" t="str">
        <f>IFERROR(__xludf.DUMMYFUNCTION("""COMPUTED_VALUE"""),"Distill")</f>
        <v>Distill</v>
      </c>
      <c r="F683">
        <f>IFERROR(__xludf.DUMMYFUNCTION("""COMPUTED_VALUE"""),2018.0)</f>
        <v>2018</v>
      </c>
      <c r="H683" s="3" t="str">
        <f>IFERROR(__xludf.DUMMYFUNCTION("""COMPUTED_VALUE"""),"AN #17")</f>
        <v>AN #17</v>
      </c>
      <c r="I683" t="str">
        <f>IFERROR(__xludf.DUMMYFUNCTION("""COMPUTED_VALUE"""),"Rohin")</f>
        <v>Rohin</v>
      </c>
      <c r="J683" t="str">
        <f>IFERROR(__xludf.DUMMYFUNCTION("""COMPUTED_VALUE"""),"There are lots of techniques for generating images using neural nets. A common approach is to take a neural net trained to classify images, and then use gradient descent to optimize _the input image_ instead of the weights of the neural net. You might thi"&amp;"nk that the only way to affect the generated input image would be to change the loss function on which you run gradient descent, but in reality the way in which you represent the image makes a huge difference. They describe why this might be the case, and"&amp;" go through several examples:
1. Suppose you want to see how two neurons interact. You could optimize an image to maximize the sum of the activations of the neurons. Even better, you could create an animation of how the image changes as you trade off how"&amp;" much you care about each neuron. Done naively, this doesn't look good, because there's a lot of randomness that changes between each image in the animation, which swamps out the differences we actually care about. To fix this, we can generate each frame "&amp;"in the animation as the sum of two images, one shared across all frames, and one that is frame-specific. Despite changing neither the loss function nor the space of input images, this is sufficient to remove the randomness between frames.
2. You've proba"&amp;"bly seen [style transfer](https://medium.com/data-science-group-iitr/artistic-style-transfer-with-convolutional-neural-network-7ce2476039fd) before, but did you know it only works with the VGG architecture? We can get it to work with other architectures b"&amp;"y representing images in Fourier-space instead of pixel-space, again without any change in the loss function or expressible space of images.
3. If you generate the pixel-space representation of an image from a lower-dimensional representation using a Com"&amp;"positional Pattern Producing Network (CPPN), then gradient descent will optimize the lower-dimensional representation. It turns out that this produces images vaguely reminiscent of light-paintings. (I believe in this case, while the loss function doesn't "&amp;"change, the space of expressible images does change.)
4. Often when we see the feature visualization for a neuron, there are a lot of areas of the image that don't actually matter for the neuron's activation. So, we can add transparency, and add a term i"&amp;"n the loss function that encourages transparency. We also have to change the representation of the image to include a transparency channel in addition to the normal RGB channels. Then, the generated image will be transparent wherever the pixels don't matt"&amp;"er, but will still have the visualization wherever it does matter for activating the neuron.
5+6. We can even use a representation of 3D objects, and then write a (differentiable) algorithm that converts that into a 2D image that then goes through the st"&amp;"andard image classifier neural net. This lets us optimize over the 3D object representation itself, letting us do both feature visualization and style transfer on 3D objects.")</f>
        <v>There are lots of techniques for generating images using neural nets. A common approach is to take a neural net trained to classify images, and then use gradient descent to optimize _the input image_ instead of the weights of the neural net. You might think that the only way to affect the generated input image would be to change the loss function on which you run gradient descent, but in reality the way in which you represent the image makes a huge difference. They describe why this might be the case, and go through several examples:
1. Suppose you want to see how two neurons interact. You could optimize an image to maximize the sum of the activations of the neurons. Even better, you could create an animation of how the image changes as you trade off how much you care about each neuron. Done naively, this doesn't look good, because there's a lot of randomness that changes between each image in the animation, which swamps out the differences we actually care about. To fix this, we can generate each frame in the animation as the sum of two images, one shared across all frames, and one that is frame-specific. Despite changing neither the loss function nor the space of input images, this is sufficient to remove the randomness between frames.
2. You've probably seen [style transfer](https://medium.com/data-science-group-iitr/artistic-style-transfer-with-convolutional-neural-network-7ce2476039fd) before, but did you know it only works with the VGG architecture? We can get it to work with other architectures by representing images in Fourier-space instead of pixel-space, again without any change in the loss function or expressible space of images.
3. If you generate the pixel-space representation of an image from a lower-dimensional representation using a Compositional Pattern Producing Network (CPPN), then gradient descent will optimize the lower-dimensional representation. It turns out that this produces images vaguely reminiscent of light-paintings. (I believe in this case, while the loss function doesn't change, the space of expressible images does change.)
4. Often when we see the feature visualization for a neuron, there are a lot of areas of the image that don't actually matter for the neuron's activation. So, we can add transparency, and add a term in the loss function that encourages transparency. We also have to change the representation of the image to include a transparency channel in addition to the normal RGB channels. Then, the generated image will be transparent wherever the pixels don't matter, but will still have the visualization wherever it does matter for activating the neuron.
5+6. We can even use a representation of 3D objects, and then write a (differentiable) algorithm that converts that into a 2D image that then goes through the standard image classifier neural net. This lets us optimize over the 3D object representation itself, letting us do both feature visualization and style transfer on 3D objects.</v>
      </c>
      <c r="K683" t="str">
        <f>IFERROR(__xludf.DUMMYFUNCTION("""COMPUTED_VALUE"""),"While [OpenAI Five](https://blog.openai.com/openai-five/) suggests that the main thing we need to do is think of a reward function and an exploration strategy, this suggests that ML requires not just a good loss function, but lots of other things in order"&amp;" to work well. We have particular examples where changing things other than the loss function leads to different results. (This is probably also true for OpenAI Five, but the variations may not matter much, or OpenAI hasn't talked about the ML engineering"&amp;" behind the scenes -- I'm not sure.) These generally seem to be changing the inductive bias of the neural nets encoding the images. I think that if you expect to get very capable AI systems within the current paradigm, you will have to think about how ind"&amp;"uctive bias will affect what your AI system will do (and consequently its safety).
Also, the paper is very clear and approachable, and filled with great visualizations, as I've come to expect from Distill. I almost forgot to mention this, because I take "&amp;"it as a given for any Distill paper.")</f>
        <v>While [OpenAI Five](https://blog.openai.com/openai-five/) suggests that the main thing we need to do is think of a reward function and an exploration strategy, this suggests that ML requires not just a good loss function, but lots of other things in order to work well. We have particular examples where changing things other than the loss function leads to different results. (This is probably also true for OpenAI Five, but the variations may not matter much, or OpenAI hasn't talked about the ML engineering behind the scenes -- I'm not sure.) These generally seem to be changing the inductive bias of the neural nets encoding the images. I think that if you expect to get very capable AI systems within the current paradigm, you will have to think about how inductive bias will affect what your AI system will do (and consequently its safety).
Also, the paper is very clear and approachable, and filled with great visualizations, as I've come to expect from Distill. I almost forgot to mention this, because I take it as a given for any Distill paper.</v>
      </c>
      <c r="L683" s="3" t="str">
        <f>IFERROR(__xludf.DUMMYFUNCTION("""COMPUTED_VALUE"""),"Feature Visualization")</f>
        <v>Feature Visualization</v>
      </c>
    </row>
    <row r="684">
      <c r="A684" t="str">
        <f>IFERROR(__xludf.DUMMYFUNCTION("""COMPUTED_VALUE"""),"Interpretability")</f>
        <v>Interpretability</v>
      </c>
      <c r="B684" t="str">
        <f>IFERROR(__xludf.DUMMYFUNCTION("""COMPUTED_VALUE"""),"Highlight")</f>
        <v>Highlight</v>
      </c>
      <c r="C684" s="3" t="str">
        <f>IFERROR(__xludf.DUMMYFUNCTION("""COMPUTED_VALUE"""),"Debuggable Deep Networks: Usage and Evaluation")</f>
        <v>Debuggable Deep Networks: Usage and Evaluation</v>
      </c>
      <c r="D684" t="str">
        <f>IFERROR(__xludf.DUMMYFUNCTION("""COMPUTED_VALUE"""),"Eric Wong*, Shibani Santurkar*, Aleksander Madry")</f>
        <v>Eric Wong*, Shibani Santurkar*, Aleksander Madry</v>
      </c>
      <c r="E684" t="str">
        <f>IFERROR(__xludf.DUMMYFUNCTION("""COMPUTED_VALUE"""),"arXiv")</f>
        <v>arXiv</v>
      </c>
      <c r="F684">
        <f>IFERROR(__xludf.DUMMYFUNCTION("""COMPUTED_VALUE"""),2021.0)</f>
        <v>2021</v>
      </c>
      <c r="H684" s="3" t="str">
        <f>IFERROR(__xludf.DUMMYFUNCTION("""COMPUTED_VALUE"""),"AN #151")</f>
        <v>AN #151</v>
      </c>
      <c r="I684" t="str">
        <f>IFERROR(__xludf.DUMMYFUNCTION("""COMPUTED_VALUE"""),"Rohin")</f>
        <v>Rohin</v>
      </c>
      <c r="J684" t="str">
        <f>IFERROR(__xludf.DUMMYFUNCTION("""COMPUTED_VALUE"""),"One simple approach to make neural nets more understandable is to make just the final layer sparse. Neurons in the penultimate layer can be visualized using [existing techniques](https://distill.pub/2017/feature-visualization/), and the sparsity of the fi"&amp;"nal layer means that it is relatively easy to understand how they are combined together to make predictions. For example, in ImageNet, the final logit for an individual class becomes a weighted combination of around 20 features, instead of 2048 as you wou"&amp;"ld get with a dense model. The authors' core claim is that this makes the model more understandable and debuggable, at the cost of a small drop in performance (about 1-5 percentage points). They show this using several experiments, many with real humans:
"&amp;"
1. The most basic test is simulation: can humans predict what the model would say (regardless of whether or not it is correct)? Unfortunately, if you show people a picture of an airplane, they are probably going to predict that the model says “airplane”,"&amp;" on priors. To avoid this sort of prior knowledge, they first sample a class like “airplane” that they _don’t_ reveal. Instead, they reveal feature visualizations of five randomly chosen features that the model uses to identify images of that class. They "&amp;"then choose three images and ask humans which of the three images will have the highest probability of being assigned to that class, according to the model. They find that when using a sparse final layer, humans have non-trivial performance (72% when the "&amp;"best image really is from the sampled class, and 57% when the best image is from some different class), whereas with a dense final layer they are only slightly better than random chance (44% and 31%, where random chance would be 33%).
2. They can study b"&amp;"iases and spurious correlations in models. For example, Toxic-BERT identifies toxic sentences, but does so by searching for identity groups like “christianity”. Debiased-BERT was meant to solve this, but by looking at the feature visualizations (word clou"&amp;"ds) below a sparse decision layer, they find that it simply learns a strong _negative_ weight for identity groups. Thus, they are able to fool the model into thinking a toxic comment is non-toxic simply by adding an identity group like “christianity” some"&amp;"where in the sentence. (This also applies to the version that uses a dense final layer.)
3. The identified biases or spurious correlations can then be used to generate counterfactuals: for example, in a sentiment analysis system, they can visualize word "&amp;"clouds that represent positive and negative influences on the final sentiment reported by the model. Then, by simply exchanging a positive word for a negative word (or vice versa), they can flip the label that the model assigns to the sentence. (Usually t"&amp;"his is correct behavior – if you change “a _marvel_ like you’ve never seen” to “a _failure_ like you’ve never seen”, the sentiment really is different. The point is that the sparse model allows you to create these examples automatically.)
4. In cases whe"&amp;"re the model makes a mistake, can humans identify why the model made a mistake? The authors note that over 30% of misclassifications can be explained by a single problematic feature, i.e. if you intervene to set that feature to zero, then the model no lon"&amp;"ger makes a mistake. So one way to check human understanding is to see whether they can reproduce this misclassification. Specifically, we take some image whose true label is y\* but which the model incorrectly labels as y’. We then take the highest-activ"&amp;"ating feature in support of y\* and the corresponding feature for y’, and ask humans which of the two features is more present in the image. They find that annotators prefer the feature for y’ 60% of the time – more than random chance (50%). Since the ann"&amp;"otators don’t know which feature corresponds to the ground truth and which corresponds to the incorrect model prediction, they probably were not using prior knowledge in answering this question. Thus, doing better than random suggests that even according "&amp;"to humans the feature that the model picked up on really was present in the image.")</f>
        <v>One simple approach to make neural nets more understandable is to make just the final layer sparse. Neurons in the penultimate layer can be visualized using [existing techniques](https://distill.pub/2017/feature-visualization/), and the sparsity of the final layer means that it is relatively easy to understand how they are combined together to make predictions. For example, in ImageNet, the final logit for an individual class becomes a weighted combination of around 20 features, instead of 2048 as you would get with a dense model. The authors' core claim is that this makes the model more understandable and debuggable, at the cost of a small drop in performance (about 1-5 percentage points). They show this using several experiments, many with real humans:
1. The most basic test is simulation: can humans predict what the model would say (regardless of whether or not it is correct)? Unfortunately, if you show people a picture of an airplane, they are probably going to predict that the model says “airplane”, on priors. To avoid this sort of prior knowledge, they first sample a class like “airplane” that they _don’t_ reveal. Instead, they reveal feature visualizations of five randomly chosen features that the model uses to identify images of that class. They then choose three images and ask humans which of the three images will have the highest probability of being assigned to that class, according to the model. They find that when using a sparse final layer, humans have non-trivial performance (72% when the best image really is from the sampled class, and 57% when the best image is from some different class), whereas with a dense final layer they are only slightly better than random chance (44% and 31%, where random chance would be 33%).
2. They can study biases and spurious correlations in models. For example, Toxic-BERT identifies toxic sentences, but does so by searching for identity groups like “christianity”. Debiased-BERT was meant to solve this, but by looking at the feature visualizations (word clouds) below a sparse decision layer, they find that it simply learns a strong _negative_ weight for identity groups. Thus, they are able to fool the model into thinking a toxic comment is non-toxic simply by adding an identity group like “christianity” somewhere in the sentence. (This also applies to the version that uses a dense final layer.)
3. The identified biases or spurious correlations can then be used to generate counterfactuals: for example, in a sentiment analysis system, they can visualize word clouds that represent positive and negative influences on the final sentiment reported by the model. Then, by simply exchanging a positive word for a negative word (or vice versa), they can flip the label that the model assigns to the sentence. (Usually this is correct behavior – if you change “a _marvel_ like you’ve never seen” to “a _failure_ like you’ve never seen”, the sentiment really is different. The point is that the sparse model allows you to create these examples automatically.)
4. In cases where the model makes a mistake, can humans identify why the model made a mistake? The authors note that over 30% of misclassifications can be explained by a single problematic feature, i.e. if you intervene to set that feature to zero, then the model no longer makes a mistake. So one way to check human understanding is to see whether they can reproduce this misclassification. Specifically, we take some image whose true label is y\* but which the model incorrectly labels as y’. We then take the highest-activating feature in support of y\* and the corresponding feature for y’, and ask humans which of the two features is more present in the image. They find that annotators prefer the feature for y’ 60% of the time – more than random chance (50%). Since the annotators don’t know which feature corresponds to the ground truth and which corresponds to the incorrect model prediction, they probably were not using prior knowledge in answering this question. Thus, doing better than random suggests that even according to humans the feature that the model picked up on really was present in the image.</v>
      </c>
      <c r="K684" t="str">
        <f>IFERROR(__xludf.DUMMYFUNCTION("""COMPUTED_VALUE"""),"I liked this paper especially for its experimental design; it seems like it does a good job of keeping human priors from influencing the results. The results themselves are very much a first step, showing that you’ve gotten at least some understanding and"&amp;" interpretability, but ideally we’d do much much better on these axes. For example, if we “understand” the model, one would hope that we’d be able to get scores of 95+% on the simulation experiment (bullet point 1 above), rather than the current 72% / 57%"&amp;". It might be interesting to have benchmarks that use these sorts of experiments as their evaluation method. Given that this method just uses feature visualization on the penultimate layer, it seems like there should be room for improvement by studying ot"&amp;"her layers as well.
_Editorial note:_ I summarized this work because I saw and liked the blog post about it. I don't generally follow the interpretability literature (it's huge), and so it's plausible that there are lots of more useful papers that I happ"&amp;"en to not have seen. Most of the time, the highlighted papers can at least be understood as ""this is what Rohin thinks is most useful for alignment researchers to read within this field""; that's not the case here.")</f>
        <v>I liked this paper especially for its experimental design; it seems like it does a good job of keeping human priors from influencing the results. The results themselves are very much a first step, showing that you’ve gotten at least some understanding and interpretability, but ideally we’d do much much better on these axes. For example, if we “understand” the model, one would hope that we’d be able to get scores of 95+% on the simulation experiment (bullet point 1 above), rather than the current 72% / 57%. It might be interesting to have benchmarks that use these sorts of experiments as their evaluation method. Given that this method just uses feature visualization on the penultimate layer, it seems like there should be room for improvement by studying other layers as well.
_Editorial note:_ I summarized this work because I saw and liked the blog post about it. I don't generally follow the interpretability literature (it's huge), and so it's plausible that there are lots of more useful papers that I happen to not have seen. Most of the time, the highlighted papers can at least be understood as "this is what Rohin thinks is most useful for alignment researchers to read within this field"; that's not the case here.</v>
      </c>
    </row>
    <row r="685">
      <c r="A685" t="str">
        <f>IFERROR(__xludf.DUMMYFUNCTION("""COMPUTED_VALUE"""),"Interpretability")</f>
        <v>Interpretability</v>
      </c>
      <c r="B685" t="str">
        <f>IFERROR(__xludf.DUMMYFUNCTION("""COMPUTED_VALUE"""),"Highlight")</f>
        <v>Highlight</v>
      </c>
      <c r="C685" s="3" t="str">
        <f>IFERROR(__xludf.DUMMYFUNCTION("""COMPUTED_VALUE"""),"Opinions on Interpretable Machine Learning and 70 Summaries of Recent Papers")</f>
        <v>Opinions on Interpretable Machine Learning and 70 Summaries of Recent Papers</v>
      </c>
      <c r="D685" t="str">
        <f>IFERROR(__xludf.DUMMYFUNCTION("""COMPUTED_VALUE"""),"Peter Hase and Owen Shen")</f>
        <v>Peter Hase and Owen Shen</v>
      </c>
      <c r="E685" t="str">
        <f>IFERROR(__xludf.DUMMYFUNCTION("""COMPUTED_VALUE"""),"Alignment Forum")</f>
        <v>Alignment Forum</v>
      </c>
      <c r="F685">
        <f>IFERROR(__xludf.DUMMYFUNCTION("""COMPUTED_VALUE"""),2021.0)</f>
        <v>2021</v>
      </c>
      <c r="H685" s="3" t="str">
        <f>IFERROR(__xludf.DUMMYFUNCTION("""COMPUTED_VALUE"""),"AN #147")</f>
        <v>AN #147</v>
      </c>
      <c r="I685" t="str">
        <f>IFERROR(__xludf.DUMMYFUNCTION("""COMPUTED_VALUE"""),"Rohin")</f>
        <v>Rohin</v>
      </c>
      <c r="J685" t="str">
        <f>IFERROR(__xludf.DUMMYFUNCTION("""COMPUTED_VALUE"""),"This is basically 3 months worth of Alignment Newsletters focused solely on interpretability, wrapped up into a single post. The authors provide summaries of 70 (!) papers on the topic, and include links to another 90. I’ll focus on their opinions about t"&amp;"he field in this summary.
The theory and conceptual clarity of the field of interpretability has improved dramatically since its inception. There are several new or clearer concepts, such as simulatability, plausibility, (aligned) faithfulness, and (warr"&amp;"anted) trust. This seems to have had a decent amount of influence over the more typical “methods” papers.
There have been lots of proposals for how to evaluate interpretability methods, leading to the [problem of too many standards](https://xkcd.com/927/"&amp;"). The authors speculate that this is because both “methods” and “evaluation” papers don’t have sufficient clarity on what research questions they are trying to answer. Even after choosing an evaluation methodology, it is often unclear which other techniq"&amp;"ues you should be comparing your new method to.
For specific methods for achieving interpretability, at a high level, there has been clear progress. There are cases where we can:
1. identify concepts that certain neurons represent,
2. find feature subset"&amp;"s that account for most of a model's output,
3. find changes to data points that yield requested model predictions,
4. find training data that influences individual test time predictions,
5. generate natural language explanations that are somewhat informa"&amp;"tive of model reasoning, and
6. create somewhat competitive models that are inherently more interpretable.
There does seem to be a problem of disconnected research and reinventing the wheel. In particular, work at CV conferences, work at NLP conferences,"&amp;" and work at NeurIPS / ICML / ICLR form three clusters that for the most part do not cite each other.")</f>
        <v>This is basically 3 months worth of Alignment Newsletters focused solely on interpretability, wrapped up into a single post. The authors provide summaries of 70 (!) papers on the topic, and include links to another 90. I’ll focus on their opinions about the field in this summary.
The theory and conceptual clarity of the field of interpretability has improved dramatically since its inception. There are several new or clearer concepts, such as simulatability, plausibility, (aligned) faithfulness, and (warranted) trust. This seems to have had a decent amount of influence over the more typical “methods” papers.
There have been lots of proposals for how to evaluate interpretability methods, leading to the [problem of too many standards](https://xkcd.com/927/). The authors speculate that this is because both “methods” and “evaluation” papers don’t have sufficient clarity on what research questions they are trying to answer. Even after choosing an evaluation methodology, it is often unclear which other techniques you should be comparing your new method to.
For specific methods for achieving interpretability, at a high level, there has been clear progress. There are cases where we can:
1. identify concepts that certain neurons represent,
2. find feature subsets that account for most of a model's output,
3. find changes to data points that yield requested model predictions,
4. find training data that influences individual test time predictions,
5. generate natural language explanations that are somewhat informative of model reasoning, and
6. create somewhat competitive models that are inherently more interpretable.
There does seem to be a problem of disconnected research and reinventing the wheel. In particular, work at CV conferences, work at NLP conferences, and work at NeurIPS / ICML / ICLR form three clusters that for the most part do not cite each other.</v>
      </c>
      <c r="K685" t="str">
        <f>IFERROR(__xludf.DUMMYFUNCTION("""COMPUTED_VALUE"""),"This post is great. Especially to the extent that you like summaries of papers (and according to the survey I recently ran, you probably do like summaries), I would recommend reading through this post. You could also read through the highlights from each "&amp;"section, bringing it down to 13 summaries instead of 70.")</f>
        <v>This post is great. Especially to the extent that you like summaries of papers (and according to the survey I recently ran, you probably do like summaries), I would recommend reading through this post. You could also read through the highlights from each section, bringing it down to 13 summaries instead of 70.</v>
      </c>
    </row>
    <row r="686">
      <c r="A686" t="str">
        <f>IFERROR(__xludf.DUMMYFUNCTION("""COMPUTED_VALUE"""),"Interpretability")</f>
        <v>Interpretability</v>
      </c>
      <c r="B686" t="str">
        <f>IFERROR(__xludf.DUMMYFUNCTION("""COMPUTED_VALUE"""),"Highlight")</f>
        <v>Highlight</v>
      </c>
      <c r="C686" s="3" t="str">
        <f>IFERROR(__xludf.DUMMYFUNCTION("""COMPUTED_VALUE"""),"Circuits Thread")</f>
        <v>Circuits Thread</v>
      </c>
      <c r="D686" t="str">
        <f>IFERROR(__xludf.DUMMYFUNCTION("""COMPUTED_VALUE"""),"Various people")</f>
        <v>Various people</v>
      </c>
      <c r="E686" t="str">
        <f>IFERROR(__xludf.DUMMYFUNCTION("""COMPUTED_VALUE"""),"Distill")</f>
        <v>Distill</v>
      </c>
      <c r="F686">
        <f>IFERROR(__xludf.DUMMYFUNCTION("""COMPUTED_VALUE"""),2020.0)</f>
        <v>2020</v>
      </c>
      <c r="H686" s="3" t="str">
        <f>IFERROR(__xludf.DUMMYFUNCTION("""COMPUTED_VALUE"""),"AN #142")</f>
        <v>AN #142</v>
      </c>
      <c r="I686" t="str">
        <f>IFERROR(__xludf.DUMMYFUNCTION("""COMPUTED_VALUE"""),"Rohin")</f>
        <v>Rohin</v>
      </c>
      <c r="J686" t="str">
        <f>IFERROR(__xludf.DUMMYFUNCTION("""COMPUTED_VALUE"""),"We’ve &lt;@previously@&gt;(@Thread: Circuits@) summarized the three main claims of the Circuits thread. Since then, several additional articles in the series have been published, so now seems like a good time to take another look at the work in this space.
The"&amp;" three main claims of the Circuits agenda, introduced in [Zoom In](https://distill.pub/2020/circuits/zoom-in/), are:
1.  Neural network *features* - the activation values of hidden layers - are understandable.
2.  *Circuits* - the weights connecting these"&amp;" features - are also understandable.
3.  *Universality* - when training different models on different tasks, you will get analogous features.
To support the first claim, there are seven different techniques that we can use to understand neural network fe"&amp;"atures that all seem to work quite well in practice:
1. **Feature visualization** produces an input that maximally activates a particular neuron, thus showing what that neuron is “looking for”.
2. **Dataset examples** are the inputs in the training datas"&amp;"et that maximally activate a particular neuron, which provide additional evidence about what the neuron is “looking for”.
3. **Synthetic examples** created independently of the model or training set can be used to check a particular hypothesis for what th"&amp;"e neuron activates on.
4. **Tuning** involves perturbing an image and seeing how the neuron activations change. For example, we might rotate images and see how that impacts a curve detector.
5. By looking at the circuit used to create a neuron, we can rea"&amp;"d off the algorithm that **implements the feature** and make sure that it makes intuitive sense.
6. We can look to see **how the feature is used** in future circuits.
7. We can **handwrite circuits** that implement the feature after we understand how it w"&amp;"orks, in order to check our understanding and make sure it performs as well as the learned circuit.
Note that since techniques 5-7 are based on understanding circuits, their empirical success also supports claim 2.
The third claim, that the features lea"&amp;"rned are universal, is the most speculative. There isn’t direct support for it, but anecdotally it does seem to be the case that many vision networks do in fact learn the same features, especially in the earlier layers that learn lower-level features.
In"&amp;" order to analyze circuits, we need to develop interpretability tools that work with them. Just as activations were the primary object of interest in understanding the behavior of a model on a given input, weights are the primary object of interest in cir"&amp;"cuits. [Visualizing Weights](https://distill.pub/2020/circuits/visualizing-weights/) explains how we can adapt all of the techniques from [Building Blocks](https://distill.pub/2018/building-blocks/) to this setting. Just as in Building Blocks, a key idea "&amp;"is to “name” each neuron with its feature visualization: this makes each neuron meaningful to humans, in the same way that informative variable names make the variable more meaningful to a software engineer.
Once we have “named” our neurons, our core ope"&amp;"ration is to visualize the matrix of weights connecting one neuron in layer L to another in layer L+1. By looking at this visualization, we can see the “algorithm” (or at least part of the algorithm) for producing the layer L+1 neuron given the layer L ne"&amp;"uron. The other visualizations are variations on this core operation: for example, we might instead visualize weights for multiple input neurons at once, or for a group of neurons together, or for neurons that are separated by more than one layer.
We the"&amp;"n apply our machinery to _curve detectors_, a collection of 10 neurons that detect curves. We first use techniques 1-4 (which don’t rely on circuits) to understand what the neurons are doing in [Curve Detectors](https://distill.pub/2020/circuits/curve-det"&amp;"ectors/). This is probably my favorite post of the entire thread, because it spends ~7000 words and many, many visualizations digging into _just 10 neurons_, and it is still consistently interesting. It gives you a great sense of just how complex the beha"&amp;"vior learned by neural networks can be. Unfortunately, it’s hard to summarize (both because there’s a lot of content and because the visualizations are so core to it); I recommend reading it directly.
[Curve Circuits](https://distill.pub/2020/circuits/cu"&amp;"rve-circuits/) delves into the analysis of how the curve detectors actually work. The key highlight of this post is that one author set values for weights without looking at the original network, and recreated a working curve detection algorithm (albeit n"&amp;"ot one that was robust to colors and textures, as in the original neural network). This is a powerful validation that at least that author really does “understand” the curve detectors. It’s not a small network either -- it takes around 50,000 parameters. "&amp;"Nonetheless, it can be described relatively concisely:
_Gabor filters turn into proto-lines which build lines and early curves. Finally, lines and early curves are composed into curves. In each case, each shape family (eg conv2d2 line) has positive weigh"&amp;"t across the tangent of the shape family it builds (eg. 3a early curve). Each shape family implements the rotational equivariance motif, containing multiple rotated copies of approximately the same neuron._
(Yes, that’s a lot of jargon; it isn’t really m"&amp;"eant to be understood just from that paragraph. The post goes into much more detail.)
So why is it amenable to such a simple explanation? [Equivariance](https://distill.pub/2020/circuits/equivariance/) helps a lot in reducing the amount we need to explai"&amp;"n. Equivariance occurs when there is a kind of symmetry across the learned neurons, such that there’s a single motif copied across several neurons, except transformed each time. A typical example of equivariance is _rotational equivariance_, where the fea"&amp;"ture is simply rotated some amount. Curve detectors show rotational equivariance: we have 10 different detectors that are all implemented in roughly the same way, except that the orientation is changed slightly. Many of the underlying neurons also show th"&amp;"is sort of equivariance. In this case, we only need to understand one of the circuits and the others follow naturally. This reduces the amount to understand by about 50x.
This isn’t the only type of equivariance: you can also have e.g. neuron 1 that dete"&amp;"cts A on the left and B on the right, and neuron 2 that detects A on the right and B on the left, which is a reflection equivariance. If you trained a multilayer perceptron (MLP), that would probably have _translational equivariance_, where you’d see mult"&amp;"iple neurons computing the same function but for different spatial locations of the image. (CNNs build translational equivariance into the architecture because it is so common.)
The authors go into detail by showing many circuits that involve some sort o"&amp;"f equivariance. Note that equivariance is a property of _features_ (neurons), rather than the circuits that connect them. Nonetheless, this is reflected in the structure of the weights that make up the circuit. The post gives several examples of such circ"&amp;"uits. These can be of three types: invariant-equivariant circuits (building a family of equivariant features starting from invariant features), equivariant-invariant circuits, and equivariant-equivariant circuits.
[High-Low Frequency Detectors](https://d"&amp;"istill.pub/2020/circuits/frequency-edges/) applies all of these tools to understand a family of features that detect areas with high frequencies on one side, and low frequencies on the other. It’s mostly interesting as another validation of the tools, esp"&amp;"ecially because these detectors were found through interpretability techniques and weren’t hypothesized before (whereas we could have and maybe did predict a priori that an image classifier would learn to detect curves).")</f>
        <v>We’ve &lt;@previously@&gt;(@Thread: Circuits@) summarized the three main claims of the Circuits thread. Since then, several additional articles in the series have been published, so now seems like a good time to take another look at the work in this space.
The three main claims of the Circuits agenda, introduced in [Zoom In](https://distill.pub/2020/circuits/zoom-in/), are:
1.  Neural network *features* - the activation values of hidden layers - are understandable.
2.  *Circuits* - the weights connecting these features - are also understandable.
3.  *Universality* - when training different models on different tasks, you will get analogous features.
To support the first claim, there are seven different techniques that we can use to understand neural network features that all seem to work quite well in practice:
1. **Feature visualization** produces an input that maximally activates a particular neuron, thus showing what that neuron is “looking for”.
2. **Dataset examples** are the inputs in the training dataset that maximally activate a particular neuron, which provide additional evidence about what the neuron is “looking for”.
3. **Synthetic examples** created independently of the model or training set can be used to check a particular hypothesis for what the neuron activates on.
4. **Tuning** involves perturbing an image and seeing how the neuron activations change. For example, we might rotate images and see how that impacts a curve detector.
5. By looking at the circuit used to create a neuron, we can read off the algorithm that **implements the feature** and make sure that it makes intuitive sense.
6. We can look to see **how the feature is used** in future circuits.
7. We can **handwrite circuits** that implement the feature after we understand how it works, in order to check our understanding and make sure it performs as well as the learned circuit.
Note that since techniques 5-7 are based on understanding circuits, their empirical success also supports claim 2.
The third claim, that the features learned are universal, is the most speculative. There isn’t direct support for it, but anecdotally it does seem to be the case that many vision networks do in fact learn the same features, especially in the earlier layers that learn lower-level features.
In order to analyze circuits, we need to develop interpretability tools that work with them. Just as activations were the primary object of interest in understanding the behavior of a model on a given input, weights are the primary object of interest in circuits. [Visualizing Weights](https://distill.pub/2020/circuits/visualizing-weights/) explains how we can adapt all of the techniques from [Building Blocks](https://distill.pub/2018/building-blocks/) to this setting. Just as in Building Blocks, a key idea is to “name” each neuron with its feature visualization: this makes each neuron meaningful to humans, in the same way that informative variable names make the variable more meaningful to a software engineer.
Once we have “named” our neurons, our core operation is to visualize the matrix of weights connecting one neuron in layer L to another in layer L+1. By looking at this visualization, we can see the “algorithm” (or at least part of the algorithm) for producing the layer L+1 neuron given the layer L neuron. The other visualizations are variations on this core operation: for example, we might instead visualize weights for multiple input neurons at once, or for a group of neurons together, or for neurons that are separated by more than one layer.
We then apply our machinery to _curve detectors_, a collection of 10 neurons that detect curves. We first use techniques 1-4 (which don’t rely on circuits) to understand what the neurons are doing in [Curve Detectors](https://distill.pub/2020/circuits/curve-detectors/). This is probably my favorite post of the entire thread, because it spends ~7000 words and many, many visualizations digging into _just 10 neurons_, and it is still consistently interesting. It gives you a great sense of just how complex the behavior learned by neural networks can be. Unfortunately, it’s hard to summarize (both because there’s a lot of content and because the visualizations are so core to it); I recommend reading it directly.
[Curve Circuits](https://distill.pub/2020/circuits/curve-circuits/) delves into the analysis of how the curve detectors actually work. The key highlight of this post is that one author set values for weights without looking at the original network, and recreated a working curve detection algorithm (albeit not one that was robust to colors and textures, as in the original neural network). This is a powerful validation that at least that author really does “understand” the curve detectors. It’s not a small network either -- it takes around 50,000 parameters. Nonetheless, it can be described relatively concisely:
_Gabor filters turn into proto-lines which build lines and early curves. Finally, lines and early curves are composed into curves. In each case, each shape family (eg conv2d2 line) has positive weight across the tangent of the shape family it builds (eg. 3a early curve). Each shape family implements the rotational equivariance motif, containing multiple rotated copies of approximately the same neuron._
(Yes, that’s a lot of jargon; it isn’t really meant to be understood just from that paragraph. The post goes into much more detail.)
So why is it amenable to such a simple explanation? [Equivariance](https://distill.pub/2020/circuits/equivariance/) helps a lot in reducing the amount we need to explain. Equivariance occurs when there is a kind of symmetry across the learned neurons, such that there’s a single motif copied across several neurons, except transformed each time. A typical example of equivariance is _rotational equivariance_, where the feature is simply rotated some amount. Curve detectors show rotational equivariance: we have 10 different detectors that are all implemented in roughly the same way, except that the orientation is changed slightly. Many of the underlying neurons also show this sort of equivariance. In this case, we only need to understand one of the circuits and the others follow naturally. This reduces the amount to understand by about 50x.
This isn’t the only type of equivariance: you can also have e.g. neuron 1 that detects A on the left and B on the right, and neuron 2 that detects A on the right and B on the left, which is a reflection equivariance. If you trained a multilayer perceptron (MLP), that would probably have _translational equivariance_, where you’d see multiple neurons computing the same function but for different spatial locations of the image. (CNNs build translational equivariance into the architecture because it is so common.)
The authors go into detail by showing many circuits that involve some sort of equivariance. Note that equivariance is a property of _features_ (neurons), rather than the circuits that connect them. Nonetheless, this is reflected in the structure of the weights that make up the circuit. The post gives several examples of such circuits. These can be of three types: invariant-equivariant circuits (building a family of equivariant features starting from invariant features), equivariant-invariant circuits, and equivariant-equivariant circuits.
[High-Low Frequency Detectors](https://distill.pub/2020/circuits/frequency-edges/) applies all of these tools to understand a family of features that detect areas with high frequencies on one side, and low frequencies on the other. It’s mostly interesting as another validation of the tools, especially because these detectors were found through interpretability techniques and weren’t hypothesized before (whereas we could have and maybe did predict a priori that an image classifier would learn to detect curves).</v>
      </c>
      <c r="K686" t="str">
        <f>IFERROR(__xludf.DUMMYFUNCTION("""COMPUTED_VALUE"""),"I really like the Circuits line of research; it has made pretty incredible progress in the last few years. I continue to be amazed at the power of “naming” neurons with their feature visualizations; it feels a bit shocking how helpful this is. (Though lik"&amp;"e most good ideas, in hindsight it’s blatantly obvious.) The fact that it is possible to understand 50,000 parameters well enough to reimplement them from scratch seems like a good validation of this sort of methodology. Note though that we are still far "&amp;"from the billions of parameters in large language models.
One thing that consistently impresses me is how incredibly _thorough_ the authors are. I often find myself pretty convinced by the first three distinct sources of evidence they show me, and then t"&amp;"hey just continue on and show me another three distinct sources of evidence. This sort of care and caution seems particularly appropriate when attempting to make claims about what neural networks are and aren’t doing, given how hard it has historically se"&amp;"emed to be to make reasonable claims of that sort.
I’m pretty curious what equivariance in natural language looks like. Is it that equivariance is common in nearly all neural nets trained on “realistic” tasks, or is equivariance a special feature of visi"&amp;"on?")</f>
        <v>I really like the Circuits line of research; it has made pretty incredible progress in the last few years. I continue to be amazed at the power of “naming” neurons with their feature visualizations; it feels a bit shocking how helpful this is. (Though like most good ideas, in hindsight it’s blatantly obvious.) The fact that it is possible to understand 50,000 parameters well enough to reimplement them from scratch seems like a good validation of this sort of methodology. Note though that we are still far from the billions of parameters in large language models.
One thing that consistently impresses me is how incredibly _thorough_ the authors are. I often find myself pretty convinced by the first three distinct sources of evidence they show me, and then they just continue on and show me another three distinct sources of evidence. This sort of care and caution seems particularly appropriate when attempting to make claims about what neural networks are and aren’t doing, given how hard it has historically seemed to be to make reasonable claims of that sort.
I’m pretty curious what equivariance in natural language looks like. Is it that equivariance is common in nearly all neural nets trained on “realistic” tasks, or is equivariance a special feature of vision?</v>
      </c>
    </row>
    <row r="687">
      <c r="A687" t="str">
        <f>IFERROR(__xludf.DUMMYFUNCTION("""COMPUTED_VALUE"""),"Interpretability")</f>
        <v>Interpretability</v>
      </c>
      <c r="B687" t="str">
        <f>IFERROR(__xludf.DUMMYFUNCTION("""COMPUTED_VALUE"""),"Highlight")</f>
        <v>Highlight</v>
      </c>
      <c r="C687" s="3" t="str">
        <f>IFERROR(__xludf.DUMMYFUNCTION("""COMPUTED_VALUE"""),"Compositional Explanations of Neurons")</f>
        <v>Compositional Explanations of Neurons</v>
      </c>
      <c r="D687" t="str">
        <f>IFERROR(__xludf.DUMMYFUNCTION("""COMPUTED_VALUE"""),"Jesse Mu, Jacob Andreas")</f>
        <v>Jesse Mu, Jacob Andreas</v>
      </c>
      <c r="E687" t="str">
        <f>IFERROR(__xludf.DUMMYFUNCTION("""COMPUTED_VALUE"""),"arXiv")</f>
        <v>arXiv</v>
      </c>
      <c r="F687">
        <f>IFERROR(__xludf.DUMMYFUNCTION("""COMPUTED_VALUE"""),2020.0)</f>
        <v>2020</v>
      </c>
      <c r="H687" s="3" t="str">
        <f>IFERROR(__xludf.DUMMYFUNCTION("""COMPUTED_VALUE"""),"AN #116")</f>
        <v>AN #116</v>
      </c>
      <c r="I687" t="str">
        <f>IFERROR(__xludf.DUMMYFUNCTION("""COMPUTED_VALUE"""),"Robert")</f>
        <v>Robert</v>
      </c>
      <c r="J687" t="str">
        <f>IFERROR(__xludf.DUMMYFUNCTION("""COMPUTED_VALUE"""),"Network dissection is an interpretability technique introduced in 2017, which uses a dataset of images with dense (i.e. pixel) labels of concepts, objects and textures. The method measures the areas of high activation of specific channels in a convolution"&amp;"al neural network, then compares these areas with the labelled areas in the dataset. If there's a high similarity for a particular channel (measured by the intersection divided by the union of the two areas), then we can say this channel is recognising or"&amp;" responding to this human-interpretable concept.
This paper introduces an extension of this idea, where instead of just using the basic concepts (and matching areas in the dataset), they search through logical combinations of concepts (respectively area"&amp;"s) to try and find a compositional concept which matches the channel's activations. For example, a channel might respond to (water OR river) AND NOT blue. This is still a concept humans can understand (bodies of water which aren't blue), but enables us to"&amp;" explain the behaviour of a larger number of neurons than in the original network dissection method. Their work also extends the method to natural language inference (NLI), and they interpret neurons in the penultimate layer of a BiLSTM-based network trai"&amp;"ned to know whether a sentence entails, contradicts, or is neutral with respect to another. Here they create their own features based on words, lexical similarity between the two sentences, and part-of-speech tags.
Using their method, they find that cha"&amp;"nnels in image classifiers do learn compositional concepts that seem useful. Some of these concepts are semantically coherent (i.e. the example above), and some seem to have multiple unrelated concepts entangled together (i.e. operating room OR castle OR "&amp;"bathroom). In the NLI network, they see that many neurons seem to learn shallow heuristics based on bias in the dataset - i.e. the appearance of single words (like nobody) which are highly informative about the classification.
Finally, they use their me"&amp;"thod to create copy-paste adversarial examples (like in Activation Atlas (AN #49)). In the Places365 dataset (where the goal is to classify places), they can crudely add images which appear in compositional concepts aligned with highly contributing neuron"&amp;"s, to make that neuron fire more, and hence change the classification. Some of these examples generalise across classifier architectures, implying a bias present in the dataset.")</f>
        <v>Network dissection is an interpretability technique introduced in 2017, which uses a dataset of images with dense (i.e. pixel) labels of concepts, objects and textures. The method measures the areas of high activation of specific channels in a convolutional neural network, then compares these areas with the labelled areas in the dataset. If there's a high similarity for a particular channel (measured by the intersection divided by the union of the two areas), then we can say this channel is recognising or responding to this human-interpretable concept.
This paper introduces an extension of this idea, where instead of just using the basic concepts (and matching areas in the dataset), they search through logical combinations of concepts (respectively areas) to try and find a compositional concept which matches the channel's activations. For example, a channel might respond to (water OR river) AND NOT blue. This is still a concept humans can understand (bodies of water which aren't blue), but enables us to explain the behaviour of a larger number of neurons than in the original network dissection method. Their work also extends the method to natural language inference (NLI), and they interpret neurons in the penultimate layer of a BiLSTM-based network trained to know whether a sentence entails, contradicts, or is neutral with respect to another. Here they create their own features based on words, lexical similarity between the two sentences, and part-of-speech tags.
Using their method, they find that channels in image classifiers do learn compositional concepts that seem useful. Some of these concepts are semantically coherent (i.e. the example above), and some seem to have multiple unrelated concepts entangled together (i.e. operating room OR castle OR bathroom). In the NLI network, they see that many neurons seem to learn shallow heuristics based on bias in the dataset - i.e. the appearance of single words (like nobody) which are highly informative about the classification.
Finally, they use their method to create copy-paste adversarial examples (like in Activation Atlas (AN #49)). In the Places365 dataset (where the goal is to classify places), they can crudely add images which appear in compositional concepts aligned with highly contributing neurons, to make that neuron fire more, and hence change the classification. Some of these examples generalise across classifier architectures, implying a bias present in the dataset.</v>
      </c>
      <c r="K687" t="str">
        <f>IFERROR(__xludf.DUMMYFUNCTION("""COMPUTED_VALUE"""),"I think work which targets specific neurons and what they're doing is interesting as it can give us a very low-level understanding of the model, which I feel is necessary to achieve the level of understanding required by alignment solutions which use inte"&amp;"rpretability (i.e. those in &lt;@An overview of 11 proposals for building safe advanced AI@&gt;). The main limitation of this approach is that it currently requires a large amount of dense human labelling of the datasets, and if a concept isn't in the labels of"&amp;" the dataset, then the method won't be able to explain a neuron using this concept. Also, the fact that their interpretability method is able to give insights (in the form of creating copy-paste examples) is a useful sign it's actually doing something mea"&amp;"ningful, which I think some other interpretability methods lack.")</f>
        <v>I think work which targets specific neurons and what they're doing is interesting as it can give us a very low-level understanding of the model, which I feel is necessary to achieve the level of understanding required by alignment solutions which use interpretability (i.e. those in &lt;@An overview of 11 proposals for building safe advanced AI@&gt;). The main limitation of this approach is that it currently requires a large amount of dense human labelling of the datasets, and if a concept isn't in the labels of the dataset, then the method won't be able to explain a neuron using this concept. Also, the fact that their interpretability method is able to give insights (in the form of creating copy-paste examples) is a useful sign it's actually doing something meaningful, which I think some other interpretability methods lack.</v>
      </c>
    </row>
    <row r="688">
      <c r="A688" t="str">
        <f>IFERROR(__xludf.DUMMYFUNCTION("""COMPUTED_VALUE"""),"Interpretability")</f>
        <v>Interpretability</v>
      </c>
      <c r="B688" t="str">
        <f>IFERROR(__xludf.DUMMYFUNCTION("""COMPUTED_VALUE"""),"Highlight")</f>
        <v>Highlight</v>
      </c>
      <c r="C688" s="3" t="str">
        <f>IFERROR(__xludf.DUMMYFUNCTION("""COMPUTED_VALUE"""),"Thread: Circuits")</f>
        <v>Thread: Circuits</v>
      </c>
      <c r="D688" t="str">
        <f>IFERROR(__xludf.DUMMYFUNCTION("""COMPUTED_VALUE"""),"Chris Olah, Nick Cammarata, Ludwig Schubert, Gabriel Goh, Michael Petrov, Shan Carter")</f>
        <v>Chris Olah, Nick Cammarata, Ludwig Schubert, Gabriel Goh, Michael Petrov, Shan Carter</v>
      </c>
      <c r="E688" t="str">
        <f>IFERROR(__xludf.DUMMYFUNCTION("""COMPUTED_VALUE"""),"Distill")</f>
        <v>Distill</v>
      </c>
      <c r="F688">
        <f>IFERROR(__xludf.DUMMYFUNCTION("""COMPUTED_VALUE"""),2020.0)</f>
        <v>2020</v>
      </c>
      <c r="H688" s="3" t="str">
        <f>IFERROR(__xludf.DUMMYFUNCTION("""COMPUTED_VALUE"""),"AN #111")</f>
        <v>AN #111</v>
      </c>
      <c r="I688" t="str">
        <f>IFERROR(__xludf.DUMMYFUNCTION("""COMPUTED_VALUE"""),"Nicholas")</f>
        <v>Nicholas</v>
      </c>
      <c r="J688" t="str">
        <f>IFERROR(__xludf.DUMMYFUNCTION("""COMPUTED_VALUE"""),"The (currently incomplete) Circuits thread of articles builds a case around 3 main claims:
1.  Neural network *features* - the activation values of hidden layers - are understandable.
2.  *Circuits* - the weights connecting these features - are also unde"&amp;"rstandable.
3.  *Universality* - when training different models on different tasks, you will get analogous features.
[Zoom In](https://distill.pub/2020/circuits/zoom-in/) provides an overview of the argument. The next two articles go into detail on parti"&amp;"cular sets of layers or neurons.
**Claim 1:** Neural Network Features - the activation values of hidden layers - are understandable.
They make seven arguments for this claim in [Zoom In](https://distill.pub/2020/circuits/zoom-in/) which are expanded upo"&amp;"n in subsequent articles.
**1.  Feature Visualization**: By optimizing the input to maximize the activation of a particular neuron, they can obtain an image of what that neuron reacts most strongly to. They create and analyze these for all 1056 neurons i"&amp;"n the first five layers of the *InceptionV1* image classification model. While some of them were difficult to understand, they were able to classify and understand the purpose of most of the neurons. A simple example is that curve detecting neurons produc"&amp;"e feature visualizations of curves of a particular orientation. A more complex example is neurons detecting boundaries between high and low frequency, which often are helpful for separating foreground and background.
**2.  Dataset examples**: They al"&amp;"so look at the examples in the dataset that maximize a particular neuron. These align with the feature visualizations. Neurons with a particular curve in the feature visualization also fire strongest on dataset examples exhibiting that curve.
**3.  S"&amp;"ynthetic Examples**: They also create synthetic examples and find that neurons fire on the expected synthetically generated examples. For example, they generate synthetic curves with a wide range of orientations and curvatures. Curve detectors respond mos"&amp;"t strongly to a particular orientation and curvature that matches the feature visualizations and highest activation dataset examples. [Curve Detectors](https://distill.pub/2020/circuits/curve-detectors/#synthetic-curves) includes many more experiments and"&amp;" visualizations of curve detectors on the full distribution of curvature and orientation.
**4.  Joint Tuning**: In the case of [curve detectors](https://distill.pub/2020/circuits/curve-detectors/#joint-tuning-curves), they rotate the maximal activati"&amp;"on dataset examples and find that as the curves change in orientation, the corresponding curve detector neurons increase and decrease activations in the expected pattern.
**5.  Feature Implementation**: By looking at the circuit used to create a neur"&amp;"on, they can read off the algorithm for producing that feature. For example, curve detectors are made up of line detectors and earlier curve detectors being combined in a way that indicates it would only activate on curves of a particular orientation and "&amp;"curvature.
**6.  Feature Use**: In addition to looking at the inputs to the neuron, they also look at the outputs to see how the feature is used. For example, curves are frequently used in neurons that recognize circles and spirals.
**7.  Handwr"&amp;"itten Circuits**: After understanding existing curve detectors, they can implement their own curve detectors by hand-coding all the weights, and those reliably detect curves.
**Claim 2**: Circuits - the weights connecting the features - are also underst"&amp;"andable
They provide a number of examples of neurons, both at deep and shallow layers of the network, that are composed of earlier neurons via clear algorithms. As mentioned above, curve detectors are excited by earlier curve detectors in similar orienta"&amp;"tions and inhibited by ones of opposing orientations.
A large part of ImageNet is focused on distinguishing a hundred species of dogs. A pose-invariant dog head and neck detector can be shown to be composed of two earlier detectors for dogs facing left a"&amp;"nd right. These in turn are constructed from earlier detectors of fur in a particular orientation.
They also describe circuits for dog head, car, [boundary](https://distill.pub/2020/circuits/early-vision/#mixed3b), [fur](https://distill.pub/2020/circuits"&amp;"/early-vision/#mixed3b), [circle](https://distill.pub/2020/circuits/early-vision/#mixed3a), and [triangle](https://distill.pub/2020/circuits/early-vision/#mixed3a) detectors. 
**Claim 3:** Universality: when training different models on different tas"&amp;"ks, you will get analogous features.
This is the most speculative claim and most of the articles so far have not addressed it directly. However, the early layers of vision (edges, etc), are believed to be common to many computer vision networks. They des"&amp;"cribe in detail the first five layers of InceptionV1 and categorize all of the neurons.
**Layer 1** is the simplest: 85% of the neurons either detect simple edges or contrasts in colors.
**Layer 2** starts to be more varied and detects edges and color co"&amp;"ntrasts with some invariance to orientation, along with low frequency patterns and multiple colors.
In **Layer 3,** simple shapes and textures begin to emerge, such as lines, curves, and hatches, along with color contrasts that are more invariant to posit"&amp;"ion and orientation than those in the earlier layers.
**Layer 4** has a much more diverse set of features. 25% are textures, but there are also detectors for curves, high-low frequency transitions, brightness gradients, black and white, fur, and eyes.
**L"&amp;"ayer 5** continues the trend of having features with more variety and complexity. One example is boundary detectors, which combine a number of low-level features into something that can detect boundaries between objects.
They also highlight a few phenome"&amp;"na that are not yet fully understood:
*Polysemantic neurons* are neurons that respond to multiple unrelated inputs, such as parts of cars and parts of cats. What is particularly interesting is that these are often constructed from earlier features that a"&amp;"re then spread out across multiple neurons in a later layer. 
The *combing phenomenon* is that curve and line detectors on multiple models and datasets tend to be excited by small lines that are perpendicular to the curve. Potential hypotheses are that m"&amp;"any curves in the data have them (e.g. spokes on a wheel), that it is helpful for fur detection, that it provides higher contrast between the orientation of the curve and the background, or that it is just a side effect rather than an intrinsically useful"&amp;" feature.")</f>
        <v>The (currently incomplete) Circuits thread of articles builds a case around 3 main claims:
1.  Neural network *features* - the activation values of hidden layers - are understandable.
2.  *Circuits* - the weights connecting these features - are also understandable.
3.  *Universality* - when training different models on different tasks, you will get analogous features.
[Zoom In](https://distill.pub/2020/circuits/zoom-in/) provides an overview of the argument. The next two articles go into detail on particular sets of layers or neurons.
**Claim 1:** Neural Network Features - the activation values of hidden layers - are understandable.
They make seven arguments for this claim in [Zoom In](https://distill.pub/2020/circuits/zoom-in/) which are expanded upon in subsequent articles.
**1.  Feature Visualization**: By optimizing the input to maximize the activation of a particular neuron, they can obtain an image of what that neuron reacts most strongly to. They create and analyze these for all 1056 neurons in the first five layers of the *InceptionV1* image classification model. While some of them were difficult to understand, they were able to classify and understand the purpose of most of the neurons. A simple example is that curve detecting neurons produce feature visualizations of curves of a particular orientation. A more complex example is neurons detecting boundaries between high and low frequency, which often are helpful for separating foreground and background.
**2.  Dataset examples**: They also look at the examples in the dataset that maximize a particular neuron. These align with the feature visualizations. Neurons with a particular curve in the feature visualization also fire strongest on dataset examples exhibiting that curve.
**3.  Synthetic Examples**: They also create synthetic examples and find that neurons fire on the expected synthetically generated examples. For example, they generate synthetic curves with a wide range of orientations and curvatures. Curve detectors respond most strongly to a particular orientation and curvature that matches the feature visualizations and highest activation dataset examples. [Curve Detectors](https://distill.pub/2020/circuits/curve-detectors/#synthetic-curves) includes many more experiments and visualizations of curve detectors on the full distribution of curvature and orientation.
**4.  Joint Tuning**: In the case of [curve detectors](https://distill.pub/2020/circuits/curve-detectors/#joint-tuning-curves), they rotate the maximal activation dataset examples and find that as the curves change in orientation, the corresponding curve detector neurons increase and decrease activations in the expected pattern.
**5.  Feature Implementation**: By looking at the circuit used to create a neuron, they can read off the algorithm for producing that feature. For example, curve detectors are made up of line detectors and earlier curve detectors being combined in a way that indicates it would only activate on curves of a particular orientation and curvature.
**6.  Feature Use**: In addition to looking at the inputs to the neuron, they also look at the outputs to see how the feature is used. For example, curves are frequently used in neurons that recognize circles and spirals.
**7.  Handwritten Circuits**: After understanding existing curve detectors, they can implement their own curve detectors by hand-coding all the weights, and those reliably detect curves.
**Claim 2**: Circuits - the weights connecting the features - are also understandable
They provide a number of examples of neurons, both at deep and shallow layers of the network, that are composed of earlier neurons via clear algorithms. As mentioned above, curve detectors are excited by earlier curve detectors in similar orientations and inhibited by ones of opposing orientations.
A large part of ImageNet is focused on distinguishing a hundred species of dogs. A pose-invariant dog head and neck detector can be shown to be composed of two earlier detectors for dogs facing left and right. These in turn are constructed from earlier detectors of fur in a particular orientation.
They also describe circuits for dog head, car, [boundary](https://distill.pub/2020/circuits/early-vision/#mixed3b), [fur](https://distill.pub/2020/circuits/early-vision/#mixed3b), [circle](https://distill.pub/2020/circuits/early-vision/#mixed3a), and [triangle](https://distill.pub/2020/circuits/early-vision/#mixed3a) detectors. 
**Claim 3:** Universality: when training different models on different tasks, you will get analogous features.
This is the most speculative claim and most of the articles so far have not addressed it directly. However, the early layers of vision (edges, etc), are believed to be common to many computer vision networks. They describe in detail the first five layers of InceptionV1 and categorize all of the neurons.
**Layer 1** is the simplest: 85% of the neurons either detect simple edges or contrasts in colors.
**Layer 2** starts to be more varied and detects edges and color contrasts with some invariance to orientation, along with low frequency patterns and multiple colors.
In **Layer 3,** simple shapes and textures begin to emerge, such as lines, curves, and hatches, along with color contrasts that are more invariant to position and orientation than those in the earlier layers.
**Layer 4** has a much more diverse set of features. 25% are textures, but there are also detectors for curves, high-low frequency transitions, brightness gradients, black and white, fur, and eyes.
**Layer 5** continues the trend of having features with more variety and complexity. One example is boundary detectors, which combine a number of low-level features into something that can detect boundaries between objects.
They also highlight a few phenomena that are not yet fully understood:
*Polysemantic neurons* are neurons that respond to multiple unrelated inputs, such as parts of cars and parts of cats. What is particularly interesting is that these are often constructed from earlier features that are then spread out across multiple neurons in a later layer. 
The *combing phenomenon* is that curve and line detectors on multiple models and datasets tend to be excited by small lines that are perpendicular to the curve. Potential hypotheses are that many curves in the data have them (e.g. spokes on a wheel), that it is helpful for fur detection, that it provides higher contrast between the orientation of the curve and the background, or that it is just a side effect rather than an intrinsically useful feature.</v>
      </c>
      <c r="K688" t="str">
        <f>IFERROR(__xludf.DUMMYFUNCTION("""COMPUTED_VALUE"""),"Even from only the first three posts, I am largely convinced that most of neural networks can be understood in this way. The main open question to me is the scalability of this approach. As neural networks get more powerful, do they become more interpreta"&amp;"ble or less interpretable? Or does it follow a more complex pattern like the one suggested &lt;@here@&gt;(@Chris Olah’s views on AGI safety@). I’d love to see some quantitative metric of how interpretable a model is and see how that has changed for the vision s"&amp;"tate of the art each year. Another related topic I am very interested in is how these visualizations change over training. Do early layers develop first? Does finetuning affect some layers more than others? What happens to these features if the model is o"&amp;"verfit?
The other thing I found very exciting about all of these posts is the visualization tools that were used (omitting these is a major shortcoming of this summary). For example, you can click on any of the neurons mentioned in the paper and it opens"&amp;" up a [Microscope](https://microscope.openai.com/models) page that lets you see all the information on that feature and its circuits. I hope that as we get better and more generic tools for analyzing neural networks in this way, this could become very use"&amp;"ful for debugging and improving neural network architectures.")</f>
        <v>Even from only the first three posts, I am largely convinced that most of neural networks can be understood in this way. The main open question to me is the scalability of this approach. As neural networks get more powerful, do they become more interpretable or less interpretable? Or does it follow a more complex pattern like the one suggested &lt;@here@&gt;(@Chris Olah’s views on AGI safety@). I’d love to see some quantitative metric of how interpretable a model is and see how that has changed for the vision state of the art each year. Another related topic I am very interested in is how these visualizations change over training. Do early layers develop first? Does finetuning affect some layers more than others? What happens to these features if the model is overfit?
The other thing I found very exciting about all of these posts is the visualization tools that were used (omitting these is a major shortcoming of this summary). For example, you can click on any of the neurons mentioned in the paper and it opens up a [Microscope](https://microscope.openai.com/models) page that lets you see all the information on that feature and its circuits. I hope that as we get better and more generic tools for analyzing neural networks in this way, this could become very useful for debugging and improving neural network architectures.</v>
      </c>
    </row>
    <row r="689">
      <c r="A689" t="str">
        <f>IFERROR(__xludf.DUMMYFUNCTION("""COMPUTED_VALUE"""),"Interpretability")</f>
        <v>Interpretability</v>
      </c>
      <c r="B689" t="str">
        <f>IFERROR(__xludf.DUMMYFUNCTION("""COMPUTED_VALUE"""),"")</f>
        <v/>
      </c>
      <c r="C689" s="3" t="str">
        <f>IFERROR(__xludf.DUMMYFUNCTION("""COMPUTED_VALUE"""),"Neuron Shapley: Discovering the Responsible Neurons")</f>
        <v>Neuron Shapley: Discovering the Responsible Neurons</v>
      </c>
      <c r="D689" t="str">
        <f>IFERROR(__xludf.DUMMYFUNCTION("""COMPUTED_VALUE"""),"Amirata Ghorbani, James Zou")</f>
        <v>Amirata Ghorbani, James Zou</v>
      </c>
      <c r="E689" t="str">
        <f>IFERROR(__xludf.DUMMYFUNCTION("""COMPUTED_VALUE"""),"arXiv")</f>
        <v>arXiv</v>
      </c>
      <c r="F689">
        <f>IFERROR(__xludf.DUMMYFUNCTION("""COMPUTED_VALUE"""),2020.0)</f>
        <v>2020</v>
      </c>
      <c r="H689" s="3" t="str">
        <f>IFERROR(__xludf.DUMMYFUNCTION("""COMPUTED_VALUE"""),"AN #95")</f>
        <v>AN #95</v>
      </c>
      <c r="I689" t="str">
        <f>IFERROR(__xludf.DUMMYFUNCTION("""COMPUTED_VALUE"""),"Robert")</f>
        <v>Robert</v>
      </c>
      <c r="J689" t="str">
        <f>IFERROR(__xludf.DUMMYFUNCTION("""COMPUTED_VALUE"""),"This paper presents a novel method, Neuron Shapley, that uses the [Shapley value framework](https://en.wikipedia.org/wiki/Shapley_value) to measure the importance of different neurons in determining an arbitrary metric of the neural net output. (Shapley v"&amp;"alues have been applied to machine learning before to [measure the importance of features to a model's output](https://christophm.github.io/interpretable-ml-book/shapley.html), but here the authors use them to calculate neuron importance.) Due to several "&amp;"novel approaches and optimisations in calculating these Shapley values, **the top k most responsible neurons (k ~ 30) can be feasibly found for large networks such as Inception-v3**.
The authors demonstrate that finding these neurons enables the performa"&amp;"nce of model surgery. Removing the top 30 neurons that contribute to accuracy completely destroys the accuracy, whereas in expectation removing 30 neurons at random from the network barely moves the accuracy at all. Since the method can be applied to an a"&amp;"rbitrary metric, this kind of surgery can be performed for other metrics we care about. For example, removing the neurons which are most responsible for vulnerability to adversarial attacks makes the network more robust, and removing the neurons most resp"&amp;"onsible for the class-accuracy imbalance (a fairness metric) makes the classes much more even, while only reducing the overall accuracy a small amount.")</f>
        <v>This paper presents a novel method, Neuron Shapley, that uses the [Shapley value framework](https://en.wikipedia.org/wiki/Shapley_value) to measure the importance of different neurons in determining an arbitrary metric of the neural net output. (Shapley values have been applied to machine learning before to [measure the importance of features to a model's output](https://christophm.github.io/interpretable-ml-book/shapley.html), but here the authors use them to calculate neuron importance.) Due to several novel approaches and optimisations in calculating these Shapley values, **the top k most responsible neurons (k ~ 30) can be feasibly found for large networks such as Inception-v3**.
The authors demonstrate that finding these neurons enables the performance of model surgery. Removing the top 30 neurons that contribute to accuracy completely destroys the accuracy, whereas in expectation removing 30 neurons at random from the network barely moves the accuracy at all. Since the method can be applied to an arbitrary metric, this kind of surgery can be performed for other metrics we care about. For example, removing the neurons which are most responsible for vulnerability to adversarial attacks makes the network more robust, and removing the neurons most responsible for the class-accuracy imbalance (a fairness metric) makes the classes much more even, while only reducing the overall accuracy a small amount.</v>
      </c>
      <c r="K689" t="str">
        <f>IFERROR(__xludf.DUMMYFUNCTION("""COMPUTED_VALUE"""),"It's nice to see an interpretability method with demonstrable and measurable use cases. Many methods aim at improving insight, but often don't demonstrate this aim; I think this paper does this well in showing how its method can be used for model surgery."&amp;" I think methods that allow us to investigate and understand individual neurons and their contributions are useful in building up a fine grained picture of how neural networks work. This links to previous work such as [Network Dissection](http://netdissec"&amp;"t.csail.mit.edu/) as well as the recent [Circuits Thread](https://distill.pub/2020/circuits/) on Distill, and I'd love to see how these methods interact. They all give different kinds of understanding, and I think it would be interesting to see if given t"&amp;"he results of the circuits tools we were able to predict which neurons where most responsible for different metrics (Neuron Shapley) or aligned to which relevant features (Network Dissection).")</f>
        <v>It's nice to see an interpretability method with demonstrable and measurable use cases. Many methods aim at improving insight, but often don't demonstrate this aim; I think this paper does this well in showing how its method can be used for model surgery. I think methods that allow us to investigate and understand individual neurons and their contributions are useful in building up a fine grained picture of how neural networks work. This links to previous work such as [Network Dissection](http://netdissect.csail.mit.edu/) as well as the recent [Circuits Thread](https://distill.pub/2020/circuits/) on Distill, and I'd love to see how these methods interact. They all give different kinds of understanding, and I think it would be interesting to see if given the results of the circuits tools we were able to predict which neurons where most responsible for different metrics (Neuron Shapley) or aligned to which relevant features (Network Dissection).</v>
      </c>
    </row>
    <row r="690">
      <c r="A690" t="str">
        <f>IFERROR(__xludf.DUMMYFUNCTION("""COMPUTED_VALUE"""),"Interpretability")</f>
        <v>Interpretability</v>
      </c>
      <c r="B690" t="str">
        <f>IFERROR(__xludf.DUMMYFUNCTION("""COMPUTED_VALUE"""),"")</f>
        <v/>
      </c>
      <c r="C690" s="3" t="str">
        <f>IFERROR(__xludf.DUMMYFUNCTION("""COMPUTED_VALUE"""),"Learning Representations by Humans, for Humans")</f>
        <v>Learning Representations by Humans, for Humans</v>
      </c>
      <c r="D690" t="str">
        <f>IFERROR(__xludf.DUMMYFUNCTION("""COMPUTED_VALUE"""),"Sophie Hilgard*, Nir Rosenfeld*, Mahzarin R. Banaji, Jack Cao, David C. Parkes")</f>
        <v>Sophie Hilgard*, Nir Rosenfeld*, Mahzarin R. Banaji, Jack Cao, David C. Parkes</v>
      </c>
      <c r="E690" t="str">
        <f>IFERROR(__xludf.DUMMYFUNCTION("""COMPUTED_VALUE"""),"arXiv")</f>
        <v>arXiv</v>
      </c>
      <c r="F690">
        <f>IFERROR(__xludf.DUMMYFUNCTION("""COMPUTED_VALUE"""),2019.0)</f>
        <v>2019</v>
      </c>
      <c r="H690" s="3" t="str">
        <f>IFERROR(__xludf.DUMMYFUNCTION("""COMPUTED_VALUE"""),"AN #67")</f>
        <v>AN #67</v>
      </c>
      <c r="I690" t="str">
        <f>IFERROR(__xludf.DUMMYFUNCTION("""COMPUTED_VALUE"""),"Asya")</f>
        <v>Asya</v>
      </c>
      <c r="J690" t="str">
        <f>IFERROR(__xludf.DUMMYFUNCTION("""COMPUTED_VALUE"""),"Historically, interpretability approaches have involved machines acting as **experts**, making decisions and generating explanations for their decisions. This paper takes a slightly different approach, instead using machines as **advisers** who are trying"&amp;" to give the best possible advice to humans, the final decision makers. Models are given input data and trained to generate visual representations based on the data that cause humans to take the best possible actions. In the main experiment in this paper,"&amp;" humans are tasked with deciding whether to approve or deny loans based on details of a loan application. Advising networks generate realistic-looking faces whose expressions represent multivariate information that's important for the loan decision. Human"&amp;"s do better when provided the facial expression 'advice', and furthermore can justify their decisions with analogical reasoning based on the faces, e.g. ""x will likely be repaid because x is similar to x', and x' was repaid"".")</f>
        <v>Historically, interpretability approaches have involved machines acting as **experts**, making decisions and generating explanations for their decisions. This paper takes a slightly different approach, instead using machines as **advisers** who are trying to give the best possible advice to humans, the final decision makers. Models are given input data and trained to generate visual representations based on the data that cause humans to take the best possible actions. In the main experiment in this paper, humans are tasked with deciding whether to approve or deny loans based on details of a loan application. Advising networks generate realistic-looking faces whose expressions represent multivariate information that's important for the loan decision. Humans do better when provided the facial expression 'advice', and furthermore can justify their decisions with analogical reasoning based on the faces, e.g. "x will likely be repaid because x is similar to x', and x' was repaid".</v>
      </c>
      <c r="K690" t="str">
        <f>IFERROR(__xludf.DUMMYFUNCTION("""COMPUTED_VALUE"""),"This seems to me like a very plausible story for how AI systems get incorporated into human decision-making in the near-term future. I do worry that further down the line, AI systems where AIs are merely advising will get outcompeted by AI systems doing t"&amp;"he entire decision-making process. From an interpretability perspective, it also seems to me like having 'advice' that represents complicated multivariate data still hides a lot of reasoning that could be important if we were worried about misaligned AI. "&amp;"I like that the paper emphasizes having humans-in-the-loop during training and presents an effective mechanism for doing gradient descent with human choices.
**Rohin's opinion:** One interesting thing about this paper is its similarity to [Deep RL from H"&amp;"uman Preferences](https://deepmind.com/blog/article/learning-through-human-feedback): it also trains a human model, that is improved over time by collecting more data from real humans. The difference is that DRLHP produces a model of the human reward func"&amp;"tion, whereas the model in this paper predicts human _actions_.")</f>
        <v>This seems to me like a very plausible story for how AI systems get incorporated into human decision-making in the near-term future. I do worry that further down the line, AI systems where AIs are merely advising will get outcompeted by AI systems doing the entire decision-making process. From an interpretability perspective, it also seems to me like having 'advice' that represents complicated multivariate data still hides a lot of reasoning that could be important if we were worried about misaligned AI. I like that the paper emphasizes having humans-in-the-loop during training and presents an effective mechanism for doing gradient descent with human choices.
**Rohin's opinion:** One interesting thing about this paper is its similarity to [Deep RL from Human Preferences](https://deepmind.com/blog/article/learning-through-human-feedback): it also trains a human model, that is improved over time by collecting more data from real humans. The difference is that DRLHP produces a model of the human reward function, whereas the model in this paper predicts human _actions_.</v>
      </c>
    </row>
    <row r="691">
      <c r="A691" t="str">
        <f>IFERROR(__xludf.DUMMYFUNCTION("""COMPUTED_VALUE"""),"Interpretability")</f>
        <v>Interpretability</v>
      </c>
      <c r="B691" t="str">
        <f>IFERROR(__xludf.DUMMYFUNCTION("""COMPUTED_VALUE"""),"")</f>
        <v/>
      </c>
      <c r="C691" s="3" t="str">
        <f>IFERROR(__xludf.DUMMYFUNCTION("""COMPUTED_VALUE"""),"SVCCA: Singular Vector Canonical Correlation Analysis for Deep Learning Dynamics and Interpretability")</f>
        <v>SVCCA: Singular Vector Canonical Correlation Analysis for Deep Learning Dynamics and Interpretability</v>
      </c>
      <c r="D691" t="str">
        <f>IFERROR(__xludf.DUMMYFUNCTION("""COMPUTED_VALUE"""),"Maithra Raghu, Justin Gilmer, Jason Yosinski, Jascha Sohl-Dickstein")</f>
        <v>Maithra Raghu, Justin Gilmer, Jason Yosinski, Jascha Sohl-Dickstein</v>
      </c>
      <c r="E691" t="str">
        <f>IFERROR(__xludf.DUMMYFUNCTION("""COMPUTED_VALUE"""),"NIPS 2017")</f>
        <v>NIPS 2017</v>
      </c>
      <c r="F691">
        <f>IFERROR(__xludf.DUMMYFUNCTION("""COMPUTED_VALUE"""),2017.0)</f>
        <v>2017</v>
      </c>
      <c r="H691" s="3" t="str">
        <f>IFERROR(__xludf.DUMMYFUNCTION("""COMPUTED_VALUE"""),"AN #50")</f>
        <v>AN #50</v>
      </c>
    </row>
    <row r="692">
      <c r="A692" t="str">
        <f>IFERROR(__xludf.DUMMYFUNCTION("""COMPUTED_VALUE"""),"Interpretability")</f>
        <v>Interpretability</v>
      </c>
      <c r="B692" t="str">
        <f>IFERROR(__xludf.DUMMYFUNCTION("""COMPUTED_VALUE"""),"")</f>
        <v/>
      </c>
      <c r="C692" s="3" t="str">
        <f>IFERROR(__xludf.DUMMYFUNCTION("""COMPUTED_VALUE"""),"Neural Networks seem to follow a puzzlingly simple strategy to classify images")</f>
        <v>Neural Networks seem to follow a puzzlingly simple strategy to classify images</v>
      </c>
      <c r="D692" t="str">
        <f>IFERROR(__xludf.DUMMYFUNCTION("""COMPUTED_VALUE"""),"Wieland Brendel and Matthias Bethge")</f>
        <v>Wieland Brendel and Matthias Bethge</v>
      </c>
      <c r="E692" t="str">
        <f>IFERROR(__xludf.DUMMYFUNCTION("""COMPUTED_VALUE"""),"ICLR 2019")</f>
        <v>ICLR 2019</v>
      </c>
      <c r="F692">
        <f>IFERROR(__xludf.DUMMYFUNCTION("""COMPUTED_VALUE"""),2019.0)</f>
        <v>2019</v>
      </c>
      <c r="H692" s="3" t="str">
        <f>IFERROR(__xludf.DUMMYFUNCTION("""COMPUTED_VALUE"""),"AN #45")</f>
        <v>AN #45</v>
      </c>
      <c r="I692" t="str">
        <f>IFERROR(__xludf.DUMMYFUNCTION("""COMPUTED_VALUE"""),"Rohin")</f>
        <v>Rohin</v>
      </c>
      <c r="J692" t="str">
        <f>IFERROR(__xludf.DUMMYFUNCTION("""COMPUTED_VALUE"""),"This is a blog post explaining the paper [Approximating CNNs with bag-of-local-features models works surprisingly well on ImageNet](https://openreview.net/pdf?id=SkfMWhAqYQ), which was summarized in [AN #33](https://mailchi.mp/b6dc636f6a1b/alignment-newsl"&amp;"etter-33).")</f>
        <v>This is a blog post explaining the paper [Approximating CNNs with bag-of-local-features models works surprisingly well on ImageNet](https://openreview.net/pdf?id=SkfMWhAqYQ), which was summarized in [AN #33](https://mailchi.mp/b6dc636f6a1b/alignment-newsletter-33).</v>
      </c>
    </row>
    <row r="693">
      <c r="A693" t="str">
        <f>IFERROR(__xludf.DUMMYFUNCTION("""COMPUTED_VALUE"""),"Interpretability")</f>
        <v>Interpretability</v>
      </c>
      <c r="B693" t="str">
        <f>IFERROR(__xludf.DUMMYFUNCTION("""COMPUTED_VALUE"""),"")</f>
        <v/>
      </c>
      <c r="C693" s="3" t="str">
        <f>IFERROR(__xludf.DUMMYFUNCTION("""COMPUTED_VALUE"""),"Deeper Interpretability of Deep Networks")</f>
        <v>Deeper Interpretability of Deep Networks</v>
      </c>
      <c r="D693" t="str">
        <f>IFERROR(__xludf.DUMMYFUNCTION("""COMPUTED_VALUE"""),"Tian Xu, Jiayu Zhan, Oliver G.B. Garrod, Philip H.S. Torr, Song-Chun Zhu, Robin A.A. Ince, Philippe G. Schyns")</f>
        <v>Tian Xu, Jiayu Zhan, Oliver G.B. Garrod, Philip H.S. Torr, Song-Chun Zhu, Robin A.A. Ince, Philippe G. Schyns</v>
      </c>
      <c r="E693" t="str">
        <f>IFERROR(__xludf.DUMMYFUNCTION("""COMPUTED_VALUE"""),"arXiv")</f>
        <v>arXiv</v>
      </c>
      <c r="F693">
        <f>IFERROR(__xludf.DUMMYFUNCTION("""COMPUTED_VALUE"""),2018.0)</f>
        <v>2018</v>
      </c>
      <c r="H693" s="3" t="str">
        <f>IFERROR(__xludf.DUMMYFUNCTION("""COMPUTED_VALUE"""),"AN #35")</f>
        <v>AN #35</v>
      </c>
    </row>
    <row r="694">
      <c r="A694" t="str">
        <f>IFERROR(__xludf.DUMMYFUNCTION("""COMPUTED_VALUE"""),"Interpretability")</f>
        <v>Interpretability</v>
      </c>
      <c r="B694" t="str">
        <f>IFERROR(__xludf.DUMMYFUNCTION("""COMPUTED_VALUE"""),"")</f>
        <v/>
      </c>
      <c r="C694" s="3" t="str">
        <f>IFERROR(__xludf.DUMMYFUNCTION("""COMPUTED_VALUE"""),"GAN Dissection: Visualizing and Understanding Generative Adversarial Networks")</f>
        <v>GAN Dissection: Visualizing and Understanding Generative Adversarial Networks</v>
      </c>
      <c r="D694" t="str">
        <f>IFERROR(__xludf.DUMMYFUNCTION("""COMPUTED_VALUE"""),"David Bau, Jun-Yan Zhu, Hendrik Strobelt, Bolei Zhou, Joshua B. Tenenbaum, William T. Freeman, Antonio Torralba")</f>
        <v>David Bau, Jun-Yan Zhu, Hendrik Strobelt, Bolei Zhou, Joshua B. Tenenbaum, William T. Freeman, Antonio Torralba</v>
      </c>
      <c r="E694" t="str">
        <f>IFERROR(__xludf.DUMMYFUNCTION("""COMPUTED_VALUE"""),"arXiv")</f>
        <v>arXiv</v>
      </c>
      <c r="F694">
        <f>IFERROR(__xludf.DUMMYFUNCTION("""COMPUTED_VALUE"""),2018.0)</f>
        <v>2018</v>
      </c>
      <c r="H694" s="3" t="str">
        <f>IFERROR(__xludf.DUMMYFUNCTION("""COMPUTED_VALUE"""),"AN #35")</f>
        <v>AN #35</v>
      </c>
    </row>
    <row r="695">
      <c r="A695" t="str">
        <f>IFERROR(__xludf.DUMMYFUNCTION("""COMPUTED_VALUE"""),"Interpretability")</f>
        <v>Interpretability</v>
      </c>
      <c r="B695" t="str">
        <f>IFERROR(__xludf.DUMMYFUNCTION("""COMPUTED_VALUE"""),"")</f>
        <v/>
      </c>
      <c r="C695" s="3" t="str">
        <f>IFERROR(__xludf.DUMMYFUNCTION("""COMPUTED_VALUE"""),"What the hell is going on inside neural networks")</f>
        <v>What the hell is going on inside neural networks</v>
      </c>
      <c r="D695" t="str">
        <f>IFERROR(__xludf.DUMMYFUNCTION("""COMPUTED_VALUE"""),"Rob Wiblin and Chris Olah")</f>
        <v>Rob Wiblin and Chris Olah</v>
      </c>
      <c r="E695" t="str">
        <f>IFERROR(__xludf.DUMMYFUNCTION("""COMPUTED_VALUE"""),"80,000 Hours Podcast")</f>
        <v>80,000 Hours Podcast</v>
      </c>
      <c r="F695">
        <f>IFERROR(__xludf.DUMMYFUNCTION("""COMPUTED_VALUE"""),2021.0)</f>
        <v>2021</v>
      </c>
      <c r="H695" s="3" t="str">
        <f>IFERROR(__xludf.DUMMYFUNCTION("""COMPUTED_VALUE"""),"AN #160")</f>
        <v>AN #160</v>
      </c>
      <c r="I695" t="str">
        <f>IFERROR(__xludf.DUMMYFUNCTION("""COMPUTED_VALUE"""),"Rohin")</f>
        <v>Rohin</v>
      </c>
      <c r="J695" t="str">
        <f>IFERROR(__xludf.DUMMYFUNCTION("""COMPUTED_VALUE"""),"This podcast covers a significant chunk of work in understanding neural networks, including &lt;@circuits@&gt;(@Circuits Thread@) and &lt;@multimodal neurons@&gt;(@Multimodal Neurons in Artificial Neural Networks@), as well as high-level thoughts such as [advantages "&amp;"of neural net interpretability over neuroscience](http://colah.github.io/notes/interp-v-neuro/) and &lt;@why larger models may be more interpretable@&gt;(@Chris Olah’s views on AGI safety@). Some interesting points I haven’t made in this newsletter before:
1. "&amp;"Interpretability as a field is fractured into several different mini-paradigms. The author’s paradigm might be described as “mechanistic interpretability”, where you try to “fully understand” the neural network from the ground up. An ML-based paradigm is "&amp;"interested in defining good “interpretability metrics” that can then be optimized. An HCI-based paradigm is interested in developing techniques that show good results based on user evaluations (e.g. people can better predict network outputs).
2. Scaling "&amp;"up mechanistic interpretability does seem possible, because (a) as models get larger their features plausibly get crisper and easier to understand, and (b) there are motifs (such as equivariance in curve circuits) that allow you to reduce the number of ne"&amp;"urons you have to understand by over an order of magnitude. However, neurons can be _polysemantic_, where they encode multiple features at once; this could pose a significant challenge for mechanistic interpretability. (While current features encoded in p"&amp;"olysemantic neurons will probably become crisper as models scale up, we might expect that the scaled up models will have new polysemantic neurons that encode multiple more abstract features.)
3. One aesthetically pleasing aspect of the mechanistic interp"&amp;"retability approach is that, in the world where we succeed, humans could plausibly “keep up” with the neural nets and understand these advanced concepts that the networks have, rather than living happy lives but being unable to comprehend what is going on"&amp;" in the world around them. See also [Using Artificial Intelligence to Augment Human Intelligence](https://distill.pub/2017/aia/).
You may also want to check out [this followup podcast](https://80000hours.org/podcast/episodes/chris-olah-unconventional-car"&amp;"eer-path/) in which Chris talks about his unconventional career path.")</f>
        <v>This podcast covers a significant chunk of work in understanding neural networks, including &lt;@circuits@&gt;(@Circuits Thread@) and &lt;@multimodal neurons@&gt;(@Multimodal Neurons in Artificial Neural Networks@), as well as high-level thoughts such as [advantages of neural net interpretability over neuroscience](http://colah.github.io/notes/interp-v-neuro/) and &lt;@why larger models may be more interpretable@&gt;(@Chris Olah’s views on AGI safety@). Some interesting points I haven’t made in this newsletter before:
1. Interpretability as a field is fractured into several different mini-paradigms. The author’s paradigm might be described as “mechanistic interpretability”, where you try to “fully understand” the neural network from the ground up. An ML-based paradigm is interested in defining good “interpretability metrics” that can then be optimized. An HCI-based paradigm is interested in developing techniques that show good results based on user evaluations (e.g. people can better predict network outputs).
2. Scaling up mechanistic interpretability does seem possible, because (a) as models get larger their features plausibly get crisper and easier to understand, and (b) there are motifs (such as equivariance in curve circuits) that allow you to reduce the number of neurons you have to understand by over an order of magnitude. However, neurons can be _polysemantic_, where they encode multiple features at once; this could pose a significant challenge for mechanistic interpretability. (While current features encoded in polysemantic neurons will probably become crisper as models scale up, we might expect that the scaled up models will have new polysemantic neurons that encode multiple more abstract features.)
3. One aesthetically pleasing aspect of the mechanistic interpretability approach is that, in the world where we succeed, humans could plausibly “keep up” with the neural nets and understand these advanced concepts that the networks have, rather than living happy lives but being unable to comprehend what is going on in the world around them. See also [Using Artificial Intelligence to Augment Human Intelligence](https://distill.pub/2017/aia/).
You may also want to check out [this followup podcast](https://80000hours.org/podcast/episodes/chris-olah-unconventional-career-path/) in which Chris talks about his unconventional career path.</v>
      </c>
    </row>
    <row r="696">
      <c r="A696" t="str">
        <f>IFERROR(__xludf.DUMMYFUNCTION("""COMPUTED_VALUE"""),"Interpretability")</f>
        <v>Interpretability</v>
      </c>
      <c r="B696" t="str">
        <f>IFERROR(__xludf.DUMMYFUNCTION("""COMPUTED_VALUE"""),"")</f>
        <v/>
      </c>
      <c r="C696" s="3" t="str">
        <f>IFERROR(__xludf.DUMMYFUNCTION("""COMPUTED_VALUE"""),"Manipulating and Measuring Model Interpretability")</f>
        <v>Manipulating and Measuring Model Interpretability</v>
      </c>
      <c r="D696" t="str">
        <f>IFERROR(__xludf.DUMMYFUNCTION("""COMPUTED_VALUE"""),"Forough Poursabzi-Sangdeh, Daniel G. Goldstein, Jake M. Hofman, Jennifer Wortman Vaughan, Hanna Wallach")</f>
        <v>Forough Poursabzi-Sangdeh, Daniel G. Goldstein, Jake M. Hofman, Jennifer Wortman Vaughan, Hanna Wallach</v>
      </c>
      <c r="E696" t="str">
        <f>IFERROR(__xludf.DUMMYFUNCTION("""COMPUTED_VALUE"""),"arXiv")</f>
        <v>arXiv</v>
      </c>
      <c r="F696">
        <f>IFERROR(__xludf.DUMMYFUNCTION("""COMPUTED_VALUE"""),2018.0)</f>
        <v>2018</v>
      </c>
      <c r="H696" s="3" t="str">
        <f>IFERROR(__xludf.DUMMYFUNCTION("""COMPUTED_VALUE"""),"AN #134")</f>
        <v>AN #134</v>
      </c>
      <c r="I696" t="str">
        <f>IFERROR(__xludf.DUMMYFUNCTION("""COMPUTED_VALUE"""),"Robert")</f>
        <v>Robert</v>
      </c>
      <c r="J696" t="str">
        <f>IFERROR(__xludf.DUMMYFUNCTION("""COMPUTED_VALUE"""),"This paper performs a rigorous, pre-registered experiment investigating to what degree transparent models are more useful for participants. They investigate how well participants can estimate what the _model predicts_, as well as how well the participant "&amp;"can make predictions given access to the model information. The task they consider is prediction of house prices based on 8 features (such as number of bathrooms and square footage). They manipulate two independent variables. First, CLEAR is a presentatio"&amp;"n of the model where the coefficients for each feature are visible, whereas BB (black box) is the opposite. Second, **-8** is a setting where all 8 features are used and visible, whereas in **-2** only the 2 most important features (number of bathrooms an"&amp;"d square footage) are visible. (The model predictions remain the same whether 2 or 8 features are revealed to the human.) This gives 4 conditions: CLEAR-2, CLEAR-8, BB-2, BB-8.
They find a significant difference in ability to predict model output in the "&amp;"CLEAR-2 setting vs all other settings, supporting their pre-registered hypothesis that showing the few most important features of a transparent model is the easiest for participants to simulate. However, counter to another pre-registered prediction, they "&amp;"find no significant difference in deviation from model prediction based on transparency or number of features. Finally, they found that participants shown the clear model were less likely to correct the model's inaccurate predictions on ""out of distribut"&amp;"ion"" examples than participants with the black box model.")</f>
        <v>This paper performs a rigorous, pre-registered experiment investigating to what degree transparent models are more useful for participants. They investigate how well participants can estimate what the _model predicts_, as well as how well the participant can make predictions given access to the model information. The task they consider is prediction of house prices based on 8 features (such as number of bathrooms and square footage). They manipulate two independent variables. First, CLEAR is a presentation of the model where the coefficients for each feature are visible, whereas BB (black box) is the opposite. Second, **-8** is a setting where all 8 features are used and visible, whereas in **-2** only the 2 most important features (number of bathrooms and square footage) are visible. (The model predictions remain the same whether 2 or 8 features are revealed to the human.) This gives 4 conditions: CLEAR-2, CLEAR-8, BB-2, BB-8.
They find a significant difference in ability to predict model output in the CLEAR-2 setting vs all other settings, supporting their pre-registered hypothesis that showing the few most important features of a transparent model is the easiest for participants to simulate. However, counter to another pre-registered prediction, they find no significant difference in deviation from model prediction based on transparency or number of features. Finally, they found that participants shown the clear model were less likely to correct the model's inaccurate predictions on "out of distribution" examples than participants with the black box model.</v>
      </c>
      <c r="K696" t="str">
        <f>IFERROR(__xludf.DUMMYFUNCTION("""COMPUTED_VALUE"""),"The rigour of the study in terms of it's relatively large sample size of participants, pre-registered hypotheses, and follow up experiments is very positive. It's a good example for other researchers wanting to make and test empirical claims about what ki"&amp;"nd of interpretability can be useful for different goals. The results suggest that exposing the internals of models isn't always useful for increasing the interpretability of the model. This is useful information for the designers of systems who aim to pr"&amp;"ovide interpretation of models to end-users.")</f>
        <v>The rigour of the study in terms of it's relatively large sample size of participants, pre-registered hypotheses, and follow up experiments is very positive. It's a good example for other researchers wanting to make and test empirical claims about what kind of interpretability can be useful for different goals. The results suggest that exposing the internals of models isn't always useful for increasing the interpretability of the model. This is useful information for the designers of systems who aim to provide interpretation of models to end-users.</v>
      </c>
    </row>
    <row r="697">
      <c r="A697" t="str">
        <f>IFERROR(__xludf.DUMMYFUNCTION("""COMPUTED_VALUE"""),"Interpretability")</f>
        <v>Interpretability</v>
      </c>
      <c r="B697" t="str">
        <f>IFERROR(__xludf.DUMMYFUNCTION("""COMPUTED_VALUE"""),"")</f>
        <v/>
      </c>
      <c r="C697" s="3" t="str">
        <f>IFERROR(__xludf.DUMMYFUNCTION("""COMPUTED_VALUE"""),"Understanding RL Vision")</f>
        <v>Understanding RL Vision</v>
      </c>
      <c r="D697" t="str">
        <f>IFERROR(__xludf.DUMMYFUNCTION("""COMPUTED_VALUE"""),"Jacob Hilton, Nick Cammarata, Shan Carter, Gabriel Goh, Chris Olah")</f>
        <v>Jacob Hilton, Nick Cammarata, Shan Carter, Gabriel Goh, Chris Olah</v>
      </c>
      <c r="E697" t="str">
        <f>IFERROR(__xludf.DUMMYFUNCTION("""COMPUTED_VALUE"""),"Distill")</f>
        <v>Distill</v>
      </c>
      <c r="F697">
        <f>IFERROR(__xludf.DUMMYFUNCTION("""COMPUTED_VALUE"""),2020.0)</f>
        <v>2020</v>
      </c>
      <c r="H697" s="3" t="str">
        <f>IFERROR(__xludf.DUMMYFUNCTION("""COMPUTED_VALUE"""),"AN #128")</f>
        <v>AN #128</v>
      </c>
      <c r="I697" t="str">
        <f>IFERROR(__xludf.DUMMYFUNCTION("""COMPUTED_VALUE"""),"Robert")</f>
        <v>Robert</v>
      </c>
      <c r="J697" t="str">
        <f>IFERROR(__xludf.DUMMYFUNCTION("""COMPUTED_VALUE"""),"This work presents an interface for interpreting the vision of a reinforcement learning agent trained with PPO on the CoinRun game. This game is procedurally generated, which means the levels are different in every episode of playing. The interface primar"&amp;"ily uses attribution from a hidden layer to the output of the value function. This interface is used in several ways.
First, they use the interface to dissect failed trajectories of the policy (it fails in 1 out of 200 levels). They're able to understand"&amp;" why the failures occurred using their interface: for example, in one case the view of the agent at the top of its jump means it can't see any platforms below it, so doesn't move to the right fast enough to reach the platform it was jumping for, leading i"&amp;"t to miss the platform and fail the level. Second, they use the interface to discover ""hallucinations"", where the value function mistakes one element of the environment for another, causing its value to drop or rise significantly. Often these hallucinat"&amp;"ions only last a single time-step, so they don't affect performance.
Finally, they use the attributions specifically to hand-edit the weights of the model to make it ""blind"" to buzzsaws (one of the hazards) by zeroing the feature which recognises them."&amp;" After doing this, they show that the edited agent fails a lot more from buzzsaw failures but no more from other types of failures, which gives a quantitative justification for their interpretation of the feature as buzzsaw-recognising.
From using this i"&amp;"nterface, they propose the **diversity hypothesis:** _Interpretable features tend to arise (at a given level of abstraction) if and only if the training distribution is diverse enough (at that level of abstraction)._ This is based on the fact that interpr"&amp;"etable features arise more when the agent is trained on a wider variety of levels. There also seems to be a qualitative link to generalisation - a wider distribution of training levels leads to better interpretability (measured qualitatively) and better g"&amp;"eneralisation (measured quantitatively).")</f>
        <v>This work presents an interface for interpreting the vision of a reinforcement learning agent trained with PPO on the CoinRun game. This game is procedurally generated, which means the levels are different in every episode of playing. The interface primarily uses attribution from a hidden layer to the output of the value function. This interface is used in several ways.
First, they use the interface to dissect failed trajectories of the policy (it fails in 1 out of 200 levels). They're able to understand why the failures occurred using their interface: for example, in one case the view of the agent at the top of its jump means it can't see any platforms below it, so doesn't move to the right fast enough to reach the platform it was jumping for, leading it to miss the platform and fail the level. Second, they use the interface to discover "hallucinations", where the value function mistakes one element of the environment for another, causing its value to drop or rise significantly. Often these hallucinations only last a single time-step, so they don't affect performance.
Finally, they use the attributions specifically to hand-edit the weights of the model to make it "blind" to buzzsaws (one of the hazards) by zeroing the feature which recognises them. After doing this, they show that the edited agent fails a lot more from buzzsaw failures but no more from other types of failures, which gives a quantitative justification for their interpretation of the feature as buzzsaw-recognising.
From using this interface, they propose the **diversity hypothesis:** _Interpretable features tend to arise (at a given level of abstraction) if and only if the training distribution is diverse enough (at that level of abstraction)._ This is based on the fact that interpretable features arise more when the agent is trained on a wider variety of levels. There also seems to be a qualitative link to generalisation - a wider distribution of training levels leads to better interpretability (measured qualitatively) and better generalisation (measured quantitatively).</v>
      </c>
      <c r="K697" t="str">
        <f>IFERROR(__xludf.DUMMYFUNCTION("""COMPUTED_VALUE"""),"I'm in favour of work on interpretability in reinforcement learning, and it's good to see the team at OpenAI working on it. I think this is a(nother) demonstration from them that interpretability research is often mostly about engineering and user interfa"&amp;"ce design, followed by extended use of the produced interface; none of the methods proposed here are especially novel, but the combined interface and subsequent insights gained from its use are.
I also think the diversity hypothesis seems (in the abstrac"&amp;"t) plausible, and seems to have some supporting evidence from supervised learning (in particular computer vision): harder tasks tend to lead to better representations, and adversarially robust networks produce more interpretable representations, while als"&amp;"o generalising better. One problem with verifying this hypothesis in other settings (or even more formally in this setting) is having to measure what it means for a representation to be ""more interpretable"". In general, I think this is related to the ph"&amp;"enomena of [shortcut learning in deep learning](https://arxiv.org/abs/2004.07780): shortcuts in tasks will tend to mean that the network won't have learned a robust or interpretable feature set, whereas if there are no shortcuts and the network needs to d"&amp;"o the task ""as a human would"", then it's more likely that the representations will be more robust.")</f>
        <v>I'm in favour of work on interpretability in reinforcement learning, and it's good to see the team at OpenAI working on it. I think this is a(nother) demonstration from them that interpretability research is often mostly about engineering and user interface design, followed by extended use of the produced interface; none of the methods proposed here are especially novel, but the combined interface and subsequent insights gained from its use are.
I also think the diversity hypothesis seems (in the abstract) plausible, and seems to have some supporting evidence from supervised learning (in particular computer vision): harder tasks tend to lead to better representations, and adversarially robust networks produce more interpretable representations, while also generalising better. One problem with verifying this hypothesis in other settings (or even more formally in this setting) is having to measure what it means for a representation to be "more interpretable". In general, I think this is related to the phenomena of [shortcut learning in deep learning](https://arxiv.org/abs/2004.07780): shortcuts in tasks will tend to mean that the network won't have learned a robust or interpretable feature set, whereas if there are no shortcuts and the network needs to do the task "as a human would", then it's more likely that the representations will be more robust.</v>
      </c>
    </row>
    <row r="698">
      <c r="A698" t="str">
        <f>IFERROR(__xludf.DUMMYFUNCTION("""COMPUTED_VALUE"""),"Interpretability")</f>
        <v>Interpretability</v>
      </c>
      <c r="B698" t="str">
        <f>IFERROR(__xludf.DUMMYFUNCTION("""COMPUTED_VALUE"""),"")</f>
        <v/>
      </c>
      <c r="C698" s="3" t="str">
        <f>IFERROR(__xludf.DUMMYFUNCTION("""COMPUTED_VALUE"""),"Exploratory Not Explanatory: Counterfactual Analysis of Saliency Maps for Deep Reinforcement Learning")</f>
        <v>Exploratory Not Explanatory: Counterfactual Analysis of Saliency Maps for Deep Reinforcement Learning</v>
      </c>
      <c r="D698" t="str">
        <f>IFERROR(__xludf.DUMMYFUNCTION("""COMPUTED_VALUE"""),"Akanksha Atrey, Kaleigh Clary, David Jensen")</f>
        <v>Akanksha Atrey, Kaleigh Clary, David Jensen</v>
      </c>
      <c r="E698" t="str">
        <f>IFERROR(__xludf.DUMMYFUNCTION("""COMPUTED_VALUE"""),"ICLR 2020")</f>
        <v>ICLR 2020</v>
      </c>
      <c r="F698">
        <f>IFERROR(__xludf.DUMMYFUNCTION("""COMPUTED_VALUE"""),2020.0)</f>
        <v>2020</v>
      </c>
      <c r="H698" s="3" t="str">
        <f>IFERROR(__xludf.DUMMYFUNCTION("""COMPUTED_VALUE"""),"AN #101")</f>
        <v>AN #101</v>
      </c>
      <c r="I698" t="str">
        <f>IFERROR(__xludf.DUMMYFUNCTION("""COMPUTED_VALUE"""),"Robert")</f>
        <v>Robert</v>
      </c>
      <c r="J698" t="str">
        <f>IFERROR(__xludf.DUMMYFUNCTION("""COMPUTED_VALUE"""),"This paper presents an analysis of the use of saliency maps in deep vision-based reinforcement learning on ATARI. They consider several types of saliency methods, all of which produce heatmaps on the input image. They show that all (46 claims across 11 pa"&amp;"pers) uses of saliency maps in deep RL literature interpret them as representing the agent's ""focus"", 87% use the saliency map to generate a claim about the agent's behaviour or reasoning, but only 7% validate their claims with additional or more direct"&amp;" evidence.
They go on to present a framework to turn subjective and under-defined claims about agent behaviour generated with saliency maps into falsifiable claims. This framework effectively makes the claim more specific and targeted at specific semanti"&amp;"c concepts in the game's state space. Using a fully parameterized version of the ATARI environment, they can alter the game's state in ways which preserve meaning (i.e. the new state is still a valid game state). This allows them to perform interventions "&amp;"in a rigorous way, and falsify the claims made in their framework.
Using their framework, they perform 3 experimental case studies on popular claims about agent behaviour backed up by saliency maps, and show that all of them are false (or at least stated"&amp;" more generally than they should be). For example, in the game Breakout, agents tend to build tunnels through the bricks to get a high score. Saliency maps show that the agent attends to these tunnels in natural games. However, shifting the position of th"&amp;"e tunnel and/or the agent's paddle and/or the ball all remove the saliency on the tunnel's location. Even flipping the whole screen vertically (which still results in a valid game state) removes the saliency on the tunnel's location. This shows that the a"&amp;"gent doesn’t understand the concept of tunnels generally or robustly, which is often what is claimed.")</f>
        <v>This paper presents an analysis of the use of saliency maps in deep vision-based reinforcement learning on ATARI. They consider several types of saliency methods, all of which produce heatmaps on the input image. They show that all (46 claims across 11 papers) uses of saliency maps in deep RL literature interpret them as representing the agent's "focus", 87% use the saliency map to generate a claim about the agent's behaviour or reasoning, but only 7% validate their claims with additional or more direct evidence.
They go on to present a framework to turn subjective and under-defined claims about agent behaviour generated with saliency maps into falsifiable claims. This framework effectively makes the claim more specific and targeted at specific semantic concepts in the game's state space. Using a fully parameterized version of the ATARI environment, they can alter the game's state in ways which preserve meaning (i.e. the new state is still a valid game state). This allows them to perform interventions in a rigorous way, and falsify the claims made in their framework.
Using their framework, they perform 3 experimental case studies on popular claims about agent behaviour backed up by saliency maps, and show that all of them are false (or at least stated more generally than they should be). For example, in the game Breakout, agents tend to build tunnels through the bricks to get a high score. Saliency maps show that the agent attends to these tunnels in natural games. However, shifting the position of the tunnel and/or the agent's paddle and/or the ball all remove the saliency on the tunnel's location. Even flipping the whole screen vertically (which still results in a valid game state) removes the saliency on the tunnel's location. This shows that the agent doesn’t understand the concept of tunnels generally or robustly, which is often what is claimed.</v>
      </c>
      <c r="K698" t="str">
        <f>IFERROR(__xludf.DUMMYFUNCTION("""COMPUTED_VALUE"""),"The framework presented in this paper is simple, but I like the idea of combining it with the fully adjustable ATARI simulator to enable meaningful interventions, which enable us to falsify claims made using saliency maps. This is one way to validate whet"&amp;"her the methods we're using are producing good insights.
I think this paper points more at the fact that our interpretation of saliency maps is incorrect, due to us imposing anthropomorphic biases on the agent's reasoning, and trying to infer general beh"&amp;"aviour from specific explanations. I think many of the claims they reference could be reworded to be much more specific, and then would probably hold true (i.e. instead of ""The agent understands tunnels and attends to and builds them"" say ""The agent kn"&amp;"ows destroying bricks consistently on the right hand side of the screen leads to higher reward and so attends to that location when it's able to bounce the ball there"".)")</f>
        <v>The framework presented in this paper is simple, but I like the idea of combining it with the fully adjustable ATARI simulator to enable meaningful interventions, which enable us to falsify claims made using saliency maps. This is one way to validate whether the methods we're using are producing good insights.
I think this paper points more at the fact that our interpretation of saliency maps is incorrect, due to us imposing anthropomorphic biases on the agent's reasoning, and trying to infer general behaviour from specific explanations. I think many of the claims they reference could be reworded to be much more specific, and then would probably hold true (i.e. instead of "The agent understands tunnels and attends to and builds them" say "The agent knows destroying bricks consistently on the right hand side of the screen leads to higher reward and so attends to that location when it's able to bounce the ball there".)</v>
      </c>
    </row>
    <row r="699">
      <c r="A699" t="str">
        <f>IFERROR(__xludf.DUMMYFUNCTION("""COMPUTED_VALUE"""),"Interpretability")</f>
        <v>Interpretability</v>
      </c>
      <c r="B699" t="str">
        <f>IFERROR(__xludf.DUMMYFUNCTION("""COMPUTED_VALUE"""),"")</f>
        <v/>
      </c>
      <c r="C699" s="3" t="str">
        <f>IFERROR(__xludf.DUMMYFUNCTION("""COMPUTED_VALUE"""),"Evaluating Explainable AI: Which Algorithmic Explanations Help Users Predict Model Behavior?")</f>
        <v>Evaluating Explainable AI: Which Algorithmic Explanations Help Users Predict Model Behavior?</v>
      </c>
      <c r="D699" t="str">
        <f>IFERROR(__xludf.DUMMYFUNCTION("""COMPUTED_VALUE"""),"Peter Hase, Mohit Bansal")</f>
        <v>Peter Hase, Mohit Bansal</v>
      </c>
      <c r="E699" t="str">
        <f>IFERROR(__xludf.DUMMYFUNCTION("""COMPUTED_VALUE"""),"ACL 2020")</f>
        <v>ACL 2020</v>
      </c>
      <c r="F699">
        <f>IFERROR(__xludf.DUMMYFUNCTION("""COMPUTED_VALUE"""),2020.0)</f>
        <v>2020</v>
      </c>
      <c r="H699" s="3" t="str">
        <f>IFERROR(__xludf.DUMMYFUNCTION("""COMPUTED_VALUE"""),"AN #100")</f>
        <v>AN #100</v>
      </c>
      <c r="I699" t="str">
        <f>IFERROR(__xludf.DUMMYFUNCTION("""COMPUTED_VALUE"""),"Robert")</f>
        <v>Robert</v>
      </c>
      <c r="J699" t="str">
        <f>IFERROR(__xludf.DUMMYFUNCTION("""COMPUTED_VALUE"""),"In this paper the authors perform user tests on 5 different model agnostic interpretability methods: LIME, Anchor, Decision Boundary, Prototype Model and a Composite model (LIME Anchor and Decision Boundary). The use cases they test are a tabular dataset "&amp;"predicting income, and a movie-review dataset predicting sentiment of the review from a single sentence.
Their experimental setup consists of 2 tests: **forward prediction** and **counterfactual prediction**. In forward prediction, the user is shown 16 e"&amp;"xamples of inputs and corresponding outputs and explanations, and then must predict the model’s output on new inputs (without the explanation, which often gives away the answer). In counterfactual prediction, after seeing 16 examples, the user is given an"&amp;" input-output-explanation triple, and then must predict how the output changes for a specific perturbation of the input.
Throughout the results they use a significance threshold of p &lt; 0.05 (they don't use Bonferroni corrections). Their study has respons"&amp;"es from 32 different students who'd taken at least 1 computer science course, with some screened out for outliers or low accuracy during training. There are approximately 200 individual predictions for each method/dataset-type combination, and each method"&amp;"/prediction-type combination.
Overall, their results show that **only LIME (Local Interpretable Model-agnostic Explanation) helps improve performance** with statistical significance on the tabular dataset across both prediction settings, and **only the P"&amp;"rototype model in counterfactual prediction across both datasets**. **No other result was statistically significant.** The improvement in accuracy for the statistically significant results is around 10% (from 70% to 80% in the Tabular dataset with LIME, a"&amp;"nd 63% to 73% for Prototype in counterfactual prediction).
They also showed that **user's ratings of the explanation method didn't correlate in a statistically significant way with the improvement the model gave to their predictions.**")</f>
        <v>In this paper the authors perform user tests on 5 different model agnostic interpretability methods: LIME, Anchor, Decision Boundary, Prototype Model and a Composite model (LIME Anchor and Decision Boundary). The use cases they test are a tabular dataset predicting income, and a movie-review dataset predicting sentiment of the review from a single sentence.
Their experimental setup consists of 2 tests: **forward prediction** and **counterfactual prediction**. In forward prediction, the user is shown 16 examples of inputs and corresponding outputs and explanations, and then must predict the model’s output on new inputs (without the explanation, which often gives away the answer). In counterfactual prediction, after seeing 16 examples, the user is given an input-output-explanation triple, and then must predict how the output changes for a specific perturbation of the input.
Throughout the results they use a significance threshold of p &lt; 0.05 (they don't use Bonferroni corrections). Their study has responses from 32 different students who'd taken at least 1 computer science course, with some screened out for outliers or low accuracy during training. There are approximately 200 individual predictions for each method/dataset-type combination, and each method/prediction-type combination.
Overall, their results show that **only LIME (Local Interpretable Model-agnostic Explanation) helps improve performance** with statistical significance on the tabular dataset across both prediction settings, and **only the Prototype model in counterfactual prediction across both datasets**. **No other result was statistically significant.** The improvement in accuracy for the statistically significant results is around 10% (from 70% to 80% in the Tabular dataset with LIME, and 63% to 73% for Prototype in counterfactual prediction).
They also showed that **user's ratings of the explanation method didn't correlate in a statistically significant way with the improvement the model gave to their predictions.**</v>
      </c>
      <c r="K699" t="str">
        <f>IFERROR(__xludf.DUMMYFUNCTION("""COMPUTED_VALUE"""),"I'm happy a paper like this exists, because I think this kind of work is crucial in evaluating whether interpretability methods we're building are actually useful. I'm not surprised by the results, because this hasn't been done rigorously before, so resea"&amp;"rchers have never had any idea whether their method has produced good explanations or not.
The study is weakened by the low sample size, which makes many of the p-values not significant. My intuition says a few more of the methods would produce statistic"&amp;"ally significant positive results in one of the domains/prediction settings if the sample size was bigger, but it seems like some settings (forward prediction, and textual data) are very hard to improve, with none of the methods getting a better improveme"&amp;"nt in performance than 5.7% (which had a p-value of 0.197).
A really interesting point is the lack of strong correlation between user-preference and performance improvement. This could be explained by the fact that most of the methods are ineffective at "&amp;"performance improvement, but it seems plausible (to me) that it could hold even if some methods were effective: If the model behaviour being explained can't be explained cleanly, then methods which do explain the behaviour might produce messy and confusin"&amp;"g (but true) explanations and hence get lower ratings from users than methods which give clean and clear (but false) explanations. I think this stems from the problem of a lack of definition of what exactly the goal is for these interpretation methods. Wi"&amp;"thout a goal in mind, it's impossible to measure whether the method achieves this goal. I think working towards some form of quantifiable measurement is useful particularly for comparing methods as, if this study's evidence is anything to go by, asking hu"&amp;"mans to evaluate the model's output might not be the most useful evaluation.")</f>
        <v>I'm happy a paper like this exists, because I think this kind of work is crucial in evaluating whether interpretability methods we're building are actually useful. I'm not surprised by the results, because this hasn't been done rigorously before, so researchers have never had any idea whether their method has produced good explanations or not.
The study is weakened by the low sample size, which makes many of the p-values not significant. My intuition says a few more of the methods would produce statistically significant positive results in one of the domains/prediction settings if the sample size was bigger, but it seems like some settings (forward prediction, and textual data) are very hard to improve, with none of the methods getting a better improvement in performance than 5.7% (which had a p-value of 0.197).
A really interesting point is the lack of strong correlation between user-preference and performance improvement. This could be explained by the fact that most of the methods are ineffective at performance improvement, but it seems plausible (to me) that it could hold even if some methods were effective: If the model behaviour being explained can't be explained cleanly, then methods which do explain the behaviour might produce messy and confusing (but true) explanations and hence get lower ratings from users than methods which give clean and clear (but false) explanations. I think this stems from the problem of a lack of definition of what exactly the goal is for these interpretation methods. Without a goal in mind, it's impossible to measure whether the method achieves this goal. I think working towards some form of quantifiable measurement is useful particularly for comparing methods as, if this study's evidence is anything to go by, asking humans to evaluate the model's output might not be the most useful evaluation.</v>
      </c>
    </row>
    <row r="700">
      <c r="A700" t="str">
        <f>IFERROR(__xludf.DUMMYFUNCTION("""COMPUTED_VALUE"""),"Interpretability")</f>
        <v>Interpretability</v>
      </c>
      <c r="B700" t="str">
        <f>IFERROR(__xludf.DUMMYFUNCTION("""COMPUTED_VALUE"""),"")</f>
        <v/>
      </c>
      <c r="C700" s="3" t="str">
        <f>IFERROR(__xludf.DUMMYFUNCTION("""COMPUTED_VALUE"""),"Understanding deep learning through neuron deletion")</f>
        <v>Understanding deep learning through neuron deletion</v>
      </c>
      <c r="E700" t="str">
        <f>IFERROR(__xludf.DUMMYFUNCTION("""COMPUTED_VALUE"""),"DeepMind Blog")</f>
        <v>DeepMind Blog</v>
      </c>
      <c r="F700">
        <f>IFERROR(__xludf.DUMMYFUNCTION("""COMPUTED_VALUE"""),2018.0)</f>
        <v>2018</v>
      </c>
      <c r="H700" s="3" t="str">
        <f>IFERROR(__xludf.DUMMYFUNCTION("""COMPUTED_VALUE"""),"Recon #5")</f>
        <v>Recon #5</v>
      </c>
    </row>
    <row r="701">
      <c r="A701" t="str">
        <f>IFERROR(__xludf.DUMMYFUNCTION("""COMPUTED_VALUE"""),"Interpretability")</f>
        <v>Interpretability</v>
      </c>
      <c r="B701" t="str">
        <f>IFERROR(__xludf.DUMMYFUNCTION("""COMPUTED_VALUE"""),"")</f>
        <v/>
      </c>
      <c r="C701" s="3" t="str">
        <f>IFERROR(__xludf.DUMMYFUNCTION("""COMPUTED_VALUE"""),"Finding and Visualizing Weaknesses of Deep Reinforcement Learning Agents")</f>
        <v>Finding and Visualizing Weaknesses of Deep Reinforcement Learning Agents</v>
      </c>
      <c r="D701" t="str">
        <f>IFERROR(__xludf.DUMMYFUNCTION("""COMPUTED_VALUE"""),"Christian Rupprecht, Cyril Ibrahim, Christopher J. Pal")</f>
        <v>Christian Rupprecht, Cyril Ibrahim, Christopher J. Pal</v>
      </c>
      <c r="E701" t="str">
        <f>IFERROR(__xludf.DUMMYFUNCTION("""COMPUTED_VALUE"""),"ICLR 2020")</f>
        <v>ICLR 2020</v>
      </c>
      <c r="F701">
        <f>IFERROR(__xludf.DUMMYFUNCTION("""COMPUTED_VALUE"""),2020.0)</f>
        <v>2020</v>
      </c>
      <c r="H701" s="3" t="str">
        <f>IFERROR(__xludf.DUMMYFUNCTION("""COMPUTED_VALUE"""),"AN #97")</f>
        <v>AN #97</v>
      </c>
      <c r="I701" t="str">
        <f>IFERROR(__xludf.DUMMYFUNCTION("""COMPUTED_VALUE"""),"Rohin/Robert")</f>
        <v>Rohin/Robert</v>
      </c>
      <c r="J701" t="str">
        <f>IFERROR(__xludf.DUMMYFUNCTION("""COMPUTED_VALUE"""),"This paper proposes a new visualization tool in order to understand the behaviour of agents trained using deep reinforcement learning. Specifically, they train a generative model which produces game states, and then optimise a distribution over state embe"&amp;"ddings according to some target function (such as high reward for taking a specific action). By sampling from the resulting distribution, they create a diverse set of realistic states that score highly according to the target function. They propose a few "&amp;"target cost functions, which allow them to optimise for states in which the agent takes a particular action, states which are high reward (worst Q-value is large), states which are low reward (best Q-value is small), and critical states (large difference "&amp;"in Q value). They demonstrate results on Atari games as well as a simulated driving environment.")</f>
        <v>This paper proposes a new visualization tool in order to understand the behaviour of agents trained using deep reinforcement learning. Specifically, they train a generative model which produces game states, and then optimise a distribution over state embeddings according to some target function (such as high reward for taking a specific action). By sampling from the resulting distribution, they create a diverse set of realistic states that score highly according to the target function. They propose a few target cost functions, which allow them to optimise for states in which the agent takes a particular action, states which are high reward (worst Q-value is large), states which are low reward (best Q-value is small), and critical states (large difference in Q value). They demonstrate results on Atari games as well as a simulated driving environment.</v>
      </c>
      <c r="K701" t="str">
        <f>IFERROR(__xludf.DUMMYFUNCTION("""COMPUTED_VALUE"""),"I liked the paper, and I'm in favour of new work on interpreting reinforcement learning agents; I think it's under explored and useful, and relevant to AI safety. The methods seem in a similar vein to Feature Visualisation methods for classic vision, but "&amp;"focused solely on the resulting behaviour of the agent; it'd be interesting to see if such methods can give insight into the internals of RL agents. It's also a shame the demonstration of the results is wholly qualitative; the authors demonstrate some app"&amp;"arent flaws in the agents, but don't produce any results which show that the insights their method produces are useful. I think the insights are useful, but it's difficult to validate the claim, and I'm cautious of work which produces interesting and seem"&amp;"ingly insightful methods but doesn't validate that the methods produce actually useful insight.")</f>
        <v>I liked the paper, and I'm in favour of new work on interpreting reinforcement learning agents; I think it's under explored and useful, and relevant to AI safety. The methods seem in a similar vein to Feature Visualisation methods for classic vision, but focused solely on the resulting behaviour of the agent; it'd be interesting to see if such methods can give insight into the internals of RL agents. It's also a shame the demonstration of the results is wholly qualitative; the authors demonstrate some apparent flaws in the agents, but don't produce any results which show that the insights their method produces are useful. I think the insights are useful, but it's difficult to validate the claim, and I'm cautious of work which produces interesting and seemingly insightful methods but doesn't validate that the methods produce actually useful insight.</v>
      </c>
    </row>
    <row r="702">
      <c r="A702" t="str">
        <f>IFERROR(__xludf.DUMMYFUNCTION("""COMPUTED_VALUE"""),"Interpretability")</f>
        <v>Interpretability</v>
      </c>
      <c r="B702" t="str">
        <f>IFERROR(__xludf.DUMMYFUNCTION("""COMPUTED_VALUE"""),"")</f>
        <v/>
      </c>
      <c r="C702" s="3" t="str">
        <f>IFERROR(__xludf.DUMMYFUNCTION("""COMPUTED_VALUE"""),"Estimating Training Data Influence by Tracking Gradient Descent")</f>
        <v>Estimating Training Data Influence by Tracking Gradient Descent</v>
      </c>
      <c r="D702" t="str">
        <f>IFERROR(__xludf.DUMMYFUNCTION("""COMPUTED_VALUE"""),"Garima Pruthi, Frederick Liu, Mukund Sundararajan, Satyen Kale")</f>
        <v>Garima Pruthi, Frederick Liu, Mukund Sundararajan, Satyen Kale</v>
      </c>
      <c r="E702" t="str">
        <f>IFERROR(__xludf.DUMMYFUNCTION("""COMPUTED_VALUE"""),"arXiv")</f>
        <v>arXiv</v>
      </c>
      <c r="F702">
        <f>IFERROR(__xludf.DUMMYFUNCTION("""COMPUTED_VALUE"""),2020.0)</f>
        <v>2020</v>
      </c>
      <c r="H702" s="3" t="str">
        <f>IFERROR(__xludf.DUMMYFUNCTION("""COMPUTED_VALUE"""),"AN #97")</f>
        <v>AN #97</v>
      </c>
      <c r="I702" t="str">
        <f>IFERROR(__xludf.DUMMYFUNCTION("""COMPUTED_VALUE"""),"Robert")</f>
        <v>Robert</v>
      </c>
      <c r="J702" t="str">
        <f>IFERROR(__xludf.DUMMYFUNCTION("""COMPUTED_VALUE"""),"This paper presents the TrackIn method for tracking the influence of training datapoints on the loss on a test datapoint. The purpose of the method is to discover influential training points for decisions made on the testing set. This is defined (loosely)"&amp;" for a training point **x** and test point **z** as the total change in loss on **z** caused by training on **x**. They present several approximations and methods for calculating this quantity efficiently, *allowing them to scale their method to ResNet 50"&amp;" models trained on ImageNet*
The standard method of evaluation for these kinds of methods is finding mislabelled examples in the training dataset. Mislabelled examples are likely to have a strong positive influence on their own loss (strong as they're ou"&amp;"tliers, and positive as they'll reduce their own loss). Sorting the training dataset in decreasing order of this self-influence, we should hence expect to see more mislabelled examples at the beginning of the list. We can measure what proportion of mislab"&amp;"elled examples is present in each different initial segments of the list. The authors perform this experiment on CiFAR, first training a model to convergence, and then mislabelling 10% of the training set as the next highest predicted class, and then retr"&amp;"aining a new model on which TrackIn is run. *When compared to the two previous methods from the literature (Influence Functions and Representer Points), TrackIn recovers more than 80% of the mislabelled data in the first 20% of the ranking, whereas the ot"&amp;"her methods recover less than 50% at the same point. For all segments TrackIn does significantly better.*
They demonstrate the method on a variety of domains, including NLP tasks and vision tasks. The influential examples found seem reasonable, but there"&amp;"'s no quantification of these results.")</f>
        <v>This paper presents the TrackIn method for tracking the influence of training datapoints on the loss on a test datapoint. The purpose of the method is to discover influential training points for decisions made on the testing set. This is defined (loosely) for a training point **x** and test point **z** as the total change in loss on **z** caused by training on **x**. They present several approximations and methods for calculating this quantity efficiently, *allowing them to scale their method to ResNet 50 models trained on ImageNet*
The standard method of evaluation for these kinds of methods is finding mislabelled examples in the training dataset. Mislabelled examples are likely to have a strong positive influence on their own loss (strong as they're outliers, and positive as they'll reduce their own loss). Sorting the training dataset in decreasing order of this self-influence, we should hence expect to see more mislabelled examples at the beginning of the list. We can measure what proportion of mislabelled examples is present in each different initial segments of the list. The authors perform this experiment on CiFAR, first training a model to convergence, and then mislabelling 10% of the training set as the next highest predicted class, and then retraining a new model on which TrackIn is run. *When compared to the two previous methods from the literature (Influence Functions and Representer Points), TrackIn recovers more than 80% of the mislabelled data in the first 20% of the ranking, whereas the other methods recover less than 50% at the same point. For all segments TrackIn does significantly better.*
They demonstrate the method on a variety of domains, including NLP tasks and vision tasks. The influential examples found seem reasonable, but there's no quantification of these results.</v>
      </c>
      <c r="K702" t="str">
        <f>IFERROR(__xludf.DUMMYFUNCTION("""COMPUTED_VALUE"""),"It's interesting to see methods able to identify which parts of the training data have an impact on the decisions of a model. I think the approach taken here (and in Influence Functions) of using the change in the test loss is OK, but it doesn't seem to b"&amp;"e exactly what I think when I say ""which datapoints had the most influence on this decision being made in this way?"". It's also difficult to compare these methods without either a benchmark, a human experiment, or some way of demonstrating the method ha"&amp;"s produced novel insight which has been verified. The mislabelled data experiment partially fulfils this, but isn't what these methods are ultimately designed for, and is hence unsatisfactory.")</f>
        <v>It's interesting to see methods able to identify which parts of the training data have an impact on the decisions of a model. I think the approach taken here (and in Influence Functions) of using the change in the test loss is OK, but it doesn't seem to be exactly what I think when I say "which datapoints had the most influence on this decision being made in this way?". It's also difficult to compare these methods without either a benchmark, a human experiment, or some way of demonstrating the method has produced novel insight which has been verified. The mislabelled data experiment partially fulfils this, but isn't what these methods are ultimately designed for, and is hence unsatisfactory.</v>
      </c>
      <c r="M702" s="3" t="str">
        <f>IFERROR(__xludf.DUMMYFUNCTION("""COMPUTED_VALUE"""),"Understanding Black-box Predictions via Influence Functions")</f>
        <v>Understanding Black-box Predictions via Influence Functions</v>
      </c>
    </row>
    <row r="703">
      <c r="A703" t="str">
        <f>IFERROR(__xludf.DUMMYFUNCTION("""COMPUTED_VALUE"""),"Interpretability")</f>
        <v>Interpretability</v>
      </c>
      <c r="B703" t="str">
        <f>IFERROR(__xludf.DUMMYFUNCTION("""COMPUTED_VALUE"""),"")</f>
        <v/>
      </c>
      <c r="C703" s="3" t="str">
        <f>IFERROR(__xludf.DUMMYFUNCTION("""COMPUTED_VALUE"""),"Visualizing Neural Networks with the Grand Tour")</f>
        <v>Visualizing Neural Networks with the Grand Tour</v>
      </c>
      <c r="D703" t="str">
        <f>IFERROR(__xludf.DUMMYFUNCTION("""COMPUTED_VALUE"""),"Mingwei Li, Zhenge Zhao, Carlos Scheidegger")</f>
        <v>Mingwei Li, Zhenge Zhao, Carlos Scheidegger</v>
      </c>
      <c r="E703" t="str">
        <f>IFERROR(__xludf.DUMMYFUNCTION("""COMPUTED_VALUE"""),"Distill")</f>
        <v>Distill</v>
      </c>
      <c r="F703">
        <f>IFERROR(__xludf.DUMMYFUNCTION("""COMPUTED_VALUE"""),2020.0)</f>
        <v>2020</v>
      </c>
      <c r="H703" s="3" t="str">
        <f>IFERROR(__xludf.DUMMYFUNCTION("""COMPUTED_VALUE"""),"AN #95")</f>
        <v>AN #95</v>
      </c>
      <c r="I703" t="str">
        <f>IFERROR(__xludf.DUMMYFUNCTION("""COMPUTED_VALUE"""),"Flo")</f>
        <v>Flo</v>
      </c>
      <c r="J703" t="str">
        <f>IFERROR(__xludf.DUMMYFUNCTION("""COMPUTED_VALUE"""),"Visualizing a complete dataset instead of single input examples is helpful when we want to analyze the relationships between different input examples and how their classification changes during training, as we can do so by looking at a single video. 
The"&amp;" authors use an example on MNIST in which the network learns to classify the numbers 1 and 7 in an almost discrete fashion during particular epochs to compare different methods for visualizing how the dataset is classified. They find that one problem with"&amp;" nonlinear dimensionality reduction like t-SNE and UMAPs is that changes to a subset of the dataset can strongly affect how unchanged data points are represented. Then they compare this to the Grand Tour, a classical technique that projects the data into "&amp;"two dimensions from varying points of view. As projections are linear in the input variables, it is rather easy to reason about how changes in the data affect this visualization and the times the classes 1 and 7 are learnt are indeed quite salient in thei"&amp;"r example. Another advantage of this method is that confusion between two specific classes can be identified more easily, as the corresponding data points will be projected onto the line connecting the clusters for these classes. A similar approach can be"&amp;" taken on a network's hidden layers to identify the layer in which different classes become clearly distinguishable. They find that they can identify adversarial examples generated by FGSM by looking at the second to last layer, where the adversarial exam"&amp;"ples form a cluster distinct from the real images. 
As the Grand Tour involves varying rotations, it is basically unaffected by rotations of the data. The authors argue that this is a feature, as rotations are small changes to the data and should not hav"&amp;"e a large effect on the visualization.")</f>
        <v>Visualizing a complete dataset instead of single input examples is helpful when we want to analyze the relationships between different input examples and how their classification changes during training, as we can do so by looking at a single video. 
The authors use an example on MNIST in which the network learns to classify the numbers 1 and 7 in an almost discrete fashion during particular epochs to compare different methods for visualizing how the dataset is classified. They find that one problem with nonlinear dimensionality reduction like t-SNE and UMAPs is that changes to a subset of the dataset can strongly affect how unchanged data points are represented. Then they compare this to the Grand Tour, a classical technique that projects the data into two dimensions from varying points of view. As projections are linear in the input variables, it is rather easy to reason about how changes in the data affect this visualization and the times the classes 1 and 7 are learnt are indeed quite salient in their example. Another advantage of this method is that confusion between two specific classes can be identified more easily, as the corresponding data points will be projected onto the line connecting the clusters for these classes. A similar approach can be taken on a network's hidden layers to identify the layer in which different classes become clearly distinguishable. They find that they can identify adversarial examples generated by FGSM by looking at the second to last layer, where the adversarial examples form a cluster distinct from the real images. 
As the Grand Tour involves varying rotations, it is basically unaffected by rotations of the data. The authors argue that this is a feature, as rotations are small changes to the data and should not have a large effect on the visualization.</v>
      </c>
      <c r="K703" t="str">
        <f>IFERROR(__xludf.DUMMYFUNCTION("""COMPUTED_VALUE"""),"The dataset perspective on visualization seems pretty useful as a quick diagnostic tool for practitioners, but less useful than feature visualization for a detailed understanding of a model. While I think that it is good to highlight invariances, I am not"&amp;" convinced that rotational invariance is actually desirable for visualizing intermediate layers of a neural network, as most nonlinearities are strongly affected by rotations. ")</f>
        <v>The dataset perspective on visualization seems pretty useful as a quick diagnostic tool for practitioners, but less useful than feature visualization for a detailed understanding of a model. While I think that it is good to highlight invariances, I am not convinced that rotational invariance is actually desirable for visualizing intermediate layers of a neural network, as most nonlinearities are strongly affected by rotations. </v>
      </c>
    </row>
    <row r="704">
      <c r="A704" t="str">
        <f>IFERROR(__xludf.DUMMYFUNCTION("""COMPUTED_VALUE"""),"Interpretability")</f>
        <v>Interpretability</v>
      </c>
      <c r="B704" t="str">
        <f>IFERROR(__xludf.DUMMYFUNCTION("""COMPUTED_VALUE"""),"")</f>
        <v/>
      </c>
      <c r="C704" s="3" t="str">
        <f>IFERROR(__xludf.DUMMYFUNCTION("""COMPUTED_VALUE"""),"Unsupervised Learning of Neural Networks to Explain Neural Networks")</f>
        <v>Unsupervised Learning of Neural Networks to Explain Neural Networks</v>
      </c>
      <c r="D704" t="str">
        <f>IFERROR(__xludf.DUMMYFUNCTION("""COMPUTED_VALUE"""),"Quanshi Zhang, Yu Yang, Yuchen Liu, Ying Nian Wu, Song-Chun Zhu")</f>
        <v>Quanshi Zhang, Yu Yang, Yuchen Liu, Ying Nian Wu, Song-Chun Zhu</v>
      </c>
      <c r="E704" t="str">
        <f>IFERROR(__xludf.DUMMYFUNCTION("""COMPUTED_VALUE"""),"arXiv")</f>
        <v>arXiv</v>
      </c>
      <c r="F704">
        <f>IFERROR(__xludf.DUMMYFUNCTION("""COMPUTED_VALUE"""),2018.0)</f>
        <v>2018</v>
      </c>
      <c r="H704" s="3" t="str">
        <f>IFERROR(__xludf.DUMMYFUNCTION("""COMPUTED_VALUE"""),"AN #8")</f>
        <v>AN #8</v>
      </c>
    </row>
    <row r="705">
      <c r="A705" t="str">
        <f>IFERROR(__xludf.DUMMYFUNCTION("""COMPUTED_VALUE"""),"Interpretability")</f>
        <v>Interpretability</v>
      </c>
      <c r="B705" t="str">
        <f>IFERROR(__xludf.DUMMYFUNCTION("""COMPUTED_VALUE"""),"")</f>
        <v/>
      </c>
      <c r="C705" s="3" t="str">
        <f>IFERROR(__xludf.DUMMYFUNCTION("""COMPUTED_VALUE"""),"Explicability? Legibility? Predictability? Transparency? Privacy? Security? The Emerging Landscape of Interpretable Agent Behavior")</f>
        <v>Explicability? Legibility? Predictability? Transparency? Privacy? Security? The Emerging Landscape of Interpretable Agent Behavior</v>
      </c>
      <c r="D705" t="str">
        <f>IFERROR(__xludf.DUMMYFUNCTION("""COMPUTED_VALUE"""),"Tathagata Chakraborti, Anagha Kulkarni, Sarath Sreedharan, David E. Smith, Subbarao Kambhampati2")</f>
        <v>Tathagata Chakraborti, Anagha Kulkarni, Sarath Sreedharan, David E. Smith, Subbarao Kambhampati2</v>
      </c>
      <c r="E705" t="str">
        <f>IFERROR(__xludf.DUMMYFUNCTION("""COMPUTED_VALUE"""),"Author's Website")</f>
        <v>Author's Website</v>
      </c>
      <c r="F705">
        <f>IFERROR(__xludf.DUMMYFUNCTION("""COMPUTED_VALUE"""),2019.0)</f>
        <v>2019</v>
      </c>
      <c r="H705" s="3" t="str">
        <f>IFERROR(__xludf.DUMMYFUNCTION("""COMPUTED_VALUE"""),"AN #74")</f>
        <v>AN #74</v>
      </c>
      <c r="I705" t="str">
        <f>IFERROR(__xludf.DUMMYFUNCTION("""COMPUTED_VALUE"""),"Flo")</f>
        <v>Flo</v>
      </c>
      <c r="J705" t="str">
        <f>IFERROR(__xludf.DUMMYFUNCTION("""COMPUTED_VALUE"""),"This paper reviews and discusses definitions of concepts of interpretable behaviour. The first concept, **explicability** measures how close an agent's behaviour is to the observer's expectations. An agent that takes a turn while its goal is straight ahea"&amp;"d does not behave explicably by this definition, even if it has good reasons for its behaviour, as long as these reasons are not captured in the observer's model. **Predictable** behaviour reduces the observer's uncertainty about the agent's future behavi"&amp;"our. For example, an agent that is tasked to wait in a room behaves more predictably if it shuts itself off temporarily than if it paced around the room. Lastly, **legibility** or **transparency** reduces observer's uncertainty about an agent's goal. This"&amp;" can be achieved by preferentially taking actions that do not help with other goals. For example, an agent tasked with collecting apples can increase its legibility by actively avoiding pears, even if it could collect them without any additional costs. 
"&amp;"These definitions do not always assume correctness of the observer's model. In particular, an agent can explicably and predictably achieve the observer's task in a specific context while actually trying to do something else. Furthermore, these properties "&amp;"are dynamic. If the observer's model is imperfect and evolves from observing the agent, formerly inexplicable behaviour can become explicable as the agent's plans unfold.")</f>
        <v>This paper reviews and discusses definitions of concepts of interpretable behaviour. The first concept, **explicability** measures how close an agent's behaviour is to the observer's expectations. An agent that takes a turn while its goal is straight ahead does not behave explicably by this definition, even if it has good reasons for its behaviour, as long as these reasons are not captured in the observer's model. **Predictable** behaviour reduces the observer's uncertainty about the agent's future behaviour. For example, an agent that is tasked to wait in a room behaves more predictably if it shuts itself off temporarily than if it paced around the room. Lastly, **legibility** or **transparency** reduces observer's uncertainty about an agent's goal. This can be achieved by preferentially taking actions that do not help with other goals. For example, an agent tasked with collecting apples can increase its legibility by actively avoiding pears, even if it could collect them without any additional costs. 
These definitions do not always assume correctness of the observer's model. In particular, an agent can explicably and predictably achieve the observer's task in a specific context while actually trying to do something else. Furthermore, these properties are dynamic. If the observer's model is imperfect and evolves from observing the agent, formerly inexplicable behaviour can become explicable as the agent's plans unfold.</v>
      </c>
      <c r="K705" t="str">
        <f>IFERROR(__xludf.DUMMYFUNCTION("""COMPUTED_VALUE"""),"Conceptual clarity about these concepts seems useful for more nuanced discussions and I like the emphasis on the importance of the observer's model for interpretability. However, it seems like concepts around interpretability that are not contingent on an"&amp;" agent's actual behaviour (or explicit planning) would be even more important. Many state-of-the-art RL agents do not perform explicit planning, and ideally we would like to know something about their behaviour before we deploy them in novel environments."&amp;"  ")</f>
        <v>Conceptual clarity about these concepts seems useful for more nuanced discussions and I like the emphasis on the importance of the observer's model for interpretability. However, it seems like concepts around interpretability that are not contingent on an agent's actual behaviour (or explicit planning) would be even more important. Many state-of-the-art RL agents do not perform explicit planning, and ideally we would like to know something about their behaviour before we deploy them in novel environments.  </v>
      </c>
    </row>
    <row r="706">
      <c r="A706" t="str">
        <f>IFERROR(__xludf.DUMMYFUNCTION("""COMPUTED_VALUE"""),"Interpretability")</f>
        <v>Interpretability</v>
      </c>
      <c r="B706" t="str">
        <f>IFERROR(__xludf.DUMMYFUNCTION("""COMPUTED_VALUE"""),"")</f>
        <v/>
      </c>
      <c r="C706" s="3" t="str">
        <f>IFERROR(__xludf.DUMMYFUNCTION("""COMPUTED_VALUE"""),"Right for the Right Reasons: Training Differentiable Models by Constraining their Explanations")</f>
        <v>Right for the Right Reasons: Training Differentiable Models by Constraining their Explanations</v>
      </c>
      <c r="D706" t="str">
        <f>IFERROR(__xludf.DUMMYFUNCTION("""COMPUTED_VALUE"""),"Andrew Slavin Ross, Michael C. Hughes, Finale Doshi-Velez")</f>
        <v>Andrew Slavin Ross, Michael C. Hughes, Finale Doshi-Velez</v>
      </c>
      <c r="E706" t="str">
        <f>IFERROR(__xludf.DUMMYFUNCTION("""COMPUTED_VALUE"""),"arXiv")</f>
        <v>arXiv</v>
      </c>
      <c r="F706">
        <f>IFERROR(__xludf.DUMMYFUNCTION("""COMPUTED_VALUE"""),2017.0)</f>
        <v>2017</v>
      </c>
      <c r="H706" s="3" t="str">
        <f>IFERROR(__xludf.DUMMYFUNCTION("""COMPUTED_VALUE"""),"AN #53")</f>
        <v>AN #53</v>
      </c>
    </row>
    <row r="707">
      <c r="A707" t="str">
        <f>IFERROR(__xludf.DUMMYFUNCTION("""COMPUTED_VALUE"""),"Interpretability")</f>
        <v>Interpretability</v>
      </c>
      <c r="B707" t="str">
        <f>IFERROR(__xludf.DUMMYFUNCTION("""COMPUTED_VALUE"""),"")</f>
        <v/>
      </c>
      <c r="C707" s="3" t="str">
        <f>IFERROR(__xludf.DUMMYFUNCTION("""COMPUTED_VALUE"""),"Visualizing memorization in RNNs")</f>
        <v>Visualizing memorization in RNNs</v>
      </c>
      <c r="D707" t="str">
        <f>IFERROR(__xludf.DUMMYFUNCTION("""COMPUTED_VALUE"""),"Andreas Madsen")</f>
        <v>Andreas Madsen</v>
      </c>
      <c r="E707" t="str">
        <f>IFERROR(__xludf.DUMMYFUNCTION("""COMPUTED_VALUE"""),"Distill")</f>
        <v>Distill</v>
      </c>
      <c r="F707">
        <f>IFERROR(__xludf.DUMMYFUNCTION("""COMPUTED_VALUE"""),2019.0)</f>
        <v>2019</v>
      </c>
      <c r="H707" s="3" t="str">
        <f>IFERROR(__xludf.DUMMYFUNCTION("""COMPUTED_VALUE"""),"AN #51")</f>
        <v>AN #51</v>
      </c>
      <c r="I707" t="str">
        <f>IFERROR(__xludf.DUMMYFUNCTION("""COMPUTED_VALUE"""),"Rohin")</f>
        <v>Rohin</v>
      </c>
      <c r="J707" t="str">
        <f>IFERROR(__xludf.DUMMYFUNCTION("""COMPUTED_VALUE"""),"This is a short Distill article that showcases a visualization tool that demonstrates how contextual information is used by various RNN units (LSTMs, GRUs, and nested LSTMs). The method is very simple: for each character in the context, they highlight the"&amp;" character in proportion to the gradient of the logits with respect to that character. Looking at this visualization allows us to see that GRUs are better at using long-term context, while LSTMs perform better for short-term contexts.")</f>
        <v>This is a short Distill article that showcases a visualization tool that demonstrates how contextual information is used by various RNN units (LSTMs, GRUs, and nested LSTMs). The method is very simple: for each character in the context, they highlight the character in proportion to the gradient of the logits with respect to that character. Looking at this visualization allows us to see that GRUs are better at using long-term context, while LSTMs perform better for short-term contexts.</v>
      </c>
      <c r="K707" t="str">
        <f>IFERROR(__xludf.DUMMYFUNCTION("""COMPUTED_VALUE"""),"I'd recommend you actually look at and play around with the visualization, it's very nice. The summary is short because the value of the work is in the visualization, not in the technical details.")</f>
        <v>I'd recommend you actually look at and play around with the visualization, it's very nice. The summary is short because the value of the work is in the visualization, not in the technical details.</v>
      </c>
    </row>
    <row r="708">
      <c r="A708" t="str">
        <f>IFERROR(__xludf.DUMMYFUNCTION("""COMPUTED_VALUE"""),"Interpretability")</f>
        <v>Interpretability</v>
      </c>
      <c r="B708" t="str">
        <f>IFERROR(__xludf.DUMMYFUNCTION("""COMPUTED_VALUE"""),"")</f>
        <v/>
      </c>
      <c r="C708" s="3" t="str">
        <f>IFERROR(__xludf.DUMMYFUNCTION("""COMPUTED_VALUE"""),"Synthesizing the preferred inputs for neurons in neural networks via deep generator networks")</f>
        <v>Synthesizing the preferred inputs for neurons in neural networks via deep generator networks</v>
      </c>
      <c r="D708" t="str">
        <f>IFERROR(__xludf.DUMMYFUNCTION("""COMPUTED_VALUE"""),"Anh Nguyen, Alexey Dosovitskiy, Jason Yosinski, Thomas Brox, Jeff Clune")</f>
        <v>Anh Nguyen, Alexey Dosovitskiy, Jason Yosinski, Thomas Brox, Jeff Clune</v>
      </c>
      <c r="E708" t="str">
        <f>IFERROR(__xludf.DUMMYFUNCTION("""COMPUTED_VALUE"""),"NeurIPS 2016")</f>
        <v>NeurIPS 2016</v>
      </c>
      <c r="F708">
        <f>IFERROR(__xludf.DUMMYFUNCTION("""COMPUTED_VALUE"""),2016.0)</f>
        <v>2016</v>
      </c>
      <c r="H708" s="3" t="str">
        <f>IFERROR(__xludf.DUMMYFUNCTION("""COMPUTED_VALUE"""),"AN #48")</f>
        <v>AN #48</v>
      </c>
    </row>
    <row r="709">
      <c r="A709" t="str">
        <f>IFERROR(__xludf.DUMMYFUNCTION("""COMPUTED_VALUE"""),"Interpretability")</f>
        <v>Interpretability</v>
      </c>
      <c r="B709" t="str">
        <f>IFERROR(__xludf.DUMMYFUNCTION("""COMPUTED_VALUE"""),"")</f>
        <v/>
      </c>
      <c r="C709" s="3" t="str">
        <f>IFERROR(__xludf.DUMMYFUNCTION("""COMPUTED_VALUE"""),"Regularizing Black-box Models for Improved Interpretability")</f>
        <v>Regularizing Black-box Models for Improved Interpretability</v>
      </c>
      <c r="D709" t="str">
        <f>IFERROR(__xludf.DUMMYFUNCTION("""COMPUTED_VALUE"""),"Gregory Plumb, Maruan Al-Shedivat, Eric Xing, Ameet Talwalkar")</f>
        <v>Gregory Plumb, Maruan Al-Shedivat, Eric Xing, Ameet Talwalkar</v>
      </c>
      <c r="E709" t="str">
        <f>IFERROR(__xludf.DUMMYFUNCTION("""COMPUTED_VALUE"""),"arXiv")</f>
        <v>arXiv</v>
      </c>
      <c r="F709">
        <f>IFERROR(__xludf.DUMMYFUNCTION("""COMPUTED_VALUE"""),2019.0)</f>
        <v>2019</v>
      </c>
      <c r="H709" s="3" t="str">
        <f>IFERROR(__xludf.DUMMYFUNCTION("""COMPUTED_VALUE"""),"AN #47")</f>
        <v>AN #47</v>
      </c>
    </row>
    <row r="710">
      <c r="A710" t="str">
        <f>IFERROR(__xludf.DUMMYFUNCTION("""COMPUTED_VALUE"""),"Interpretability")</f>
        <v>Interpretability</v>
      </c>
      <c r="B710" t="str">
        <f>IFERROR(__xludf.DUMMYFUNCTION("""COMPUTED_VALUE"""),"")</f>
        <v/>
      </c>
      <c r="C710" s="3" t="str">
        <f>IFERROR(__xludf.DUMMYFUNCTION("""COMPUTED_VALUE"""),"Explicability? Legibility? Predictability? Transparency? Privacy? Security? The Emerging Landscape of Interpretable Agent Behavior")</f>
        <v>Explicability? Legibility? Predictability? Transparency? Privacy? Security? The Emerging Landscape of Interpretable Agent Behavior</v>
      </c>
      <c r="D710" t="str">
        <f>IFERROR(__xludf.DUMMYFUNCTION("""COMPUTED_VALUE"""),"Tathagata Chakraborti, Anagha Kulkarni, Sarath Sreedharan, David E. Smith, Subbarao Kambhampati")</f>
        <v>Tathagata Chakraborti, Anagha Kulkarni, Sarath Sreedharan, David E. Smith, Subbarao Kambhampati</v>
      </c>
      <c r="E710" t="str">
        <f>IFERROR(__xludf.DUMMYFUNCTION("""COMPUTED_VALUE"""),"ECCV 2018")</f>
        <v>ECCV 2018</v>
      </c>
      <c r="F710">
        <f>IFERROR(__xludf.DUMMYFUNCTION("""COMPUTED_VALUE"""),2018.0)</f>
        <v>2018</v>
      </c>
      <c r="H710" s="3" t="str">
        <f>IFERROR(__xludf.DUMMYFUNCTION("""COMPUTED_VALUE"""),"AN #36")</f>
        <v>AN #36</v>
      </c>
    </row>
    <row r="711">
      <c r="A711" t="str">
        <f>IFERROR(__xludf.DUMMYFUNCTION("""COMPUTED_VALUE"""),"Interpretability")</f>
        <v>Interpretability</v>
      </c>
      <c r="B711" t="str">
        <f>IFERROR(__xludf.DUMMYFUNCTION("""COMPUTED_VALUE"""),"")</f>
        <v/>
      </c>
      <c r="C711" s="3" t="str">
        <f>IFERROR(__xludf.DUMMYFUNCTION("""COMPUTED_VALUE"""),"Please Stop Explaining Black Box Models for High Stakes Decisions")</f>
        <v>Please Stop Explaining Black Box Models for High Stakes Decisions</v>
      </c>
      <c r="D711" t="str">
        <f>IFERROR(__xludf.DUMMYFUNCTION("""COMPUTED_VALUE"""),"Cynthia Rudin")</f>
        <v>Cynthia Rudin</v>
      </c>
      <c r="E711" t="str">
        <f>IFERROR(__xludf.DUMMYFUNCTION("""COMPUTED_VALUE"""),"NeurIPS Deep RL Workshop 2018")</f>
        <v>NeurIPS Deep RL Workshop 2018</v>
      </c>
      <c r="F711">
        <f>IFERROR(__xludf.DUMMYFUNCTION("""COMPUTED_VALUE"""),2018.0)</f>
        <v>2018</v>
      </c>
      <c r="H711" s="3" t="str">
        <f>IFERROR(__xludf.DUMMYFUNCTION("""COMPUTED_VALUE"""),"AN #35")</f>
        <v>AN #35</v>
      </c>
    </row>
    <row r="712">
      <c r="A712" t="str">
        <f>IFERROR(__xludf.DUMMYFUNCTION("""COMPUTED_VALUE"""),"Interpretability")</f>
        <v>Interpretability</v>
      </c>
      <c r="B712" t="str">
        <f>IFERROR(__xludf.DUMMYFUNCTION("""COMPUTED_VALUE"""),"")</f>
        <v/>
      </c>
      <c r="C712" s="3" t="str">
        <f>IFERROR(__xludf.DUMMYFUNCTION("""COMPUTED_VALUE"""),"Representer Point Selection for Explaining Deep Neural Networks")</f>
        <v>Representer Point Selection for Explaining Deep Neural Networks</v>
      </c>
      <c r="D712" t="str">
        <f>IFERROR(__xludf.DUMMYFUNCTION("""COMPUTED_VALUE"""),"Chih-Kuan Yeh, Joon Sik Kim, Ian E.H. Yen, Pradeep Ravikumar")</f>
        <v>Chih-Kuan Yeh, Joon Sik Kim, Ian E.H. Yen, Pradeep Ravikumar</v>
      </c>
      <c r="E712" t="str">
        <f>IFERROR(__xludf.DUMMYFUNCTION("""COMPUTED_VALUE"""),"arXiv")</f>
        <v>arXiv</v>
      </c>
      <c r="F712">
        <f>IFERROR(__xludf.DUMMYFUNCTION("""COMPUTED_VALUE"""),2018.0)</f>
        <v>2018</v>
      </c>
      <c r="H712" s="3" t="str">
        <f>IFERROR(__xludf.DUMMYFUNCTION("""COMPUTED_VALUE"""),"AN #35")</f>
        <v>AN #35</v>
      </c>
    </row>
    <row r="713">
      <c r="A713" t="str">
        <f>IFERROR(__xludf.DUMMYFUNCTION("""COMPUTED_VALUE"""),"Interpretability")</f>
        <v>Interpretability</v>
      </c>
      <c r="B713" t="str">
        <f>IFERROR(__xludf.DUMMYFUNCTION("""COMPUTED_VALUE"""),"")</f>
        <v/>
      </c>
      <c r="C713" s="3" t="str">
        <f>IFERROR(__xludf.DUMMYFUNCTION("""COMPUTED_VALUE"""),"Towards Governing Agent's Efficacy: Action-Conditional β-VAE for Deep Transparent Reinforcement Learning")</f>
        <v>Towards Governing Agent's Efficacy: Action-Conditional β-VAE for Deep Transparent Reinforcement Learning</v>
      </c>
      <c r="D713" t="str">
        <f>IFERROR(__xludf.DUMMYFUNCTION("""COMPUTED_VALUE"""),"John Yang, Gyujeong Lee, Minsung Hyun, Simyung Chang, Nojun Kwak")</f>
        <v>John Yang, Gyujeong Lee, Minsung Hyun, Simyung Chang, Nojun Kwak</v>
      </c>
      <c r="E713" t="str">
        <f>IFERROR(__xludf.DUMMYFUNCTION("""COMPUTED_VALUE"""),"arXiv")</f>
        <v>arXiv</v>
      </c>
      <c r="F713">
        <f>IFERROR(__xludf.DUMMYFUNCTION("""COMPUTED_VALUE"""),2018.0)</f>
        <v>2018</v>
      </c>
      <c r="H713" s="3" t="str">
        <f>IFERROR(__xludf.DUMMYFUNCTION("""COMPUTED_VALUE"""),"AN #33")</f>
        <v>AN #33</v>
      </c>
    </row>
    <row r="714">
      <c r="A714" t="str">
        <f>IFERROR(__xludf.DUMMYFUNCTION("""COMPUTED_VALUE"""),"Interpretability")</f>
        <v>Interpretability</v>
      </c>
      <c r="B714" t="str">
        <f>IFERROR(__xludf.DUMMYFUNCTION("""COMPUTED_VALUE"""),"")</f>
        <v/>
      </c>
      <c r="C714" s="3" t="str">
        <f>IFERROR(__xludf.DUMMYFUNCTION("""COMPUTED_VALUE"""),"Explaining Explanations in AI")</f>
        <v>Explaining Explanations in AI</v>
      </c>
      <c r="D714" t="str">
        <f>IFERROR(__xludf.DUMMYFUNCTION("""COMPUTED_VALUE"""),"Brent Mittelstadt, Chris Russell, Sandra Wachter")</f>
        <v>Brent Mittelstadt, Chris Russell, Sandra Wachter</v>
      </c>
      <c r="E714" t="str">
        <f>IFERROR(__xludf.DUMMYFUNCTION("""COMPUTED_VALUE"""),"arXiv")</f>
        <v>arXiv</v>
      </c>
      <c r="F714">
        <f>IFERROR(__xludf.DUMMYFUNCTION("""COMPUTED_VALUE"""),2018.0)</f>
        <v>2018</v>
      </c>
      <c r="H714" s="3" t="str">
        <f>IFERROR(__xludf.DUMMYFUNCTION("""COMPUTED_VALUE"""),"AN #32")</f>
        <v>AN #32</v>
      </c>
    </row>
    <row r="715">
      <c r="A715" t="str">
        <f>IFERROR(__xludf.DUMMYFUNCTION("""COMPUTED_VALUE"""),"Interpretability")</f>
        <v>Interpretability</v>
      </c>
      <c r="B715" t="str">
        <f>IFERROR(__xludf.DUMMYFUNCTION("""COMPUTED_VALUE"""),"")</f>
        <v/>
      </c>
      <c r="C715" s="3" t="str">
        <f>IFERROR(__xludf.DUMMYFUNCTION("""COMPUTED_VALUE"""),"Training Machine Learning Models by Regularizing their Explanations")</f>
        <v>Training Machine Learning Models by Regularizing their Explanations</v>
      </c>
      <c r="D715" t="str">
        <f>IFERROR(__xludf.DUMMYFUNCTION("""COMPUTED_VALUE"""),"Andrew Slavin Ross")</f>
        <v>Andrew Slavin Ross</v>
      </c>
      <c r="E715" t="str">
        <f>IFERROR(__xludf.DUMMYFUNCTION("""COMPUTED_VALUE"""),"arXiv")</f>
        <v>arXiv</v>
      </c>
      <c r="F715">
        <f>IFERROR(__xludf.DUMMYFUNCTION("""COMPUTED_VALUE"""),2018.0)</f>
        <v>2018</v>
      </c>
      <c r="H715" s="3" t="str">
        <f>IFERROR(__xludf.DUMMYFUNCTION("""COMPUTED_VALUE"""),"AN #27")</f>
        <v>AN #27</v>
      </c>
    </row>
    <row r="716">
      <c r="A716" t="str">
        <f>IFERROR(__xludf.DUMMYFUNCTION("""COMPUTED_VALUE"""),"Interpretability")</f>
        <v>Interpretability</v>
      </c>
      <c r="B716" t="str">
        <f>IFERROR(__xludf.DUMMYFUNCTION("""COMPUTED_VALUE"""),"")</f>
        <v/>
      </c>
      <c r="C716" s="3" t="str">
        <f>IFERROR(__xludf.DUMMYFUNCTION("""COMPUTED_VALUE"""),"Towards Better Interpretability in Deep Q-Networks")</f>
        <v>Towards Better Interpretability in Deep Q-Networks</v>
      </c>
      <c r="D716" t="str">
        <f>IFERROR(__xludf.DUMMYFUNCTION("""COMPUTED_VALUE"""),"Raghuram Mandyam Annasamy, Katia Sycara")</f>
        <v>Raghuram Mandyam Annasamy, Katia Sycara</v>
      </c>
      <c r="E716" t="str">
        <f>IFERROR(__xludf.DUMMYFUNCTION("""COMPUTED_VALUE"""),"arXiv")</f>
        <v>arXiv</v>
      </c>
      <c r="F716">
        <f>IFERROR(__xludf.DUMMYFUNCTION("""COMPUTED_VALUE"""),2018.0)</f>
        <v>2018</v>
      </c>
      <c r="H716" s="3" t="str">
        <f>IFERROR(__xludf.DUMMYFUNCTION("""COMPUTED_VALUE"""),"AN #25")</f>
        <v>AN #25</v>
      </c>
    </row>
    <row r="717">
      <c r="A717" t="str">
        <f>IFERROR(__xludf.DUMMYFUNCTION("""COMPUTED_VALUE"""),"Interpretability")</f>
        <v>Interpretability</v>
      </c>
      <c r="B717" t="str">
        <f>IFERROR(__xludf.DUMMYFUNCTION("""COMPUTED_VALUE"""),"")</f>
        <v/>
      </c>
      <c r="C717" s="3" t="str">
        <f>IFERROR(__xludf.DUMMYFUNCTION("""COMPUTED_VALUE"""),"Transparency and Explanation in Deep Reinforcement Learning Neural Networks")</f>
        <v>Transparency and Explanation in Deep Reinforcement Learning Neural Networks</v>
      </c>
      <c r="D717" t="str">
        <f>IFERROR(__xludf.DUMMYFUNCTION("""COMPUTED_VALUE"""),"Rahul Iyer, Yuezhang Li, Huao Li, Michael Lewis, Ramitha Sundar, Katia Sycara")</f>
        <v>Rahul Iyer, Yuezhang Li, Huao Li, Michael Lewis, Ramitha Sundar, Katia Sycara</v>
      </c>
      <c r="E717" t="str">
        <f>IFERROR(__xludf.DUMMYFUNCTION("""COMPUTED_VALUE"""),"ICLR 2019")</f>
        <v>ICLR 2019</v>
      </c>
      <c r="F717">
        <f>IFERROR(__xludf.DUMMYFUNCTION("""COMPUTED_VALUE"""),2018.0)</f>
        <v>2018</v>
      </c>
      <c r="H717" s="3" t="str">
        <f>IFERROR(__xludf.DUMMYFUNCTION("""COMPUTED_VALUE"""),"AN #25")</f>
        <v>AN #25</v>
      </c>
    </row>
    <row r="718">
      <c r="A718" t="str">
        <f>IFERROR(__xludf.DUMMYFUNCTION("""COMPUTED_VALUE"""),"Interpretability")</f>
        <v>Interpretability</v>
      </c>
      <c r="B718" t="str">
        <f>IFERROR(__xludf.DUMMYFUNCTION("""COMPUTED_VALUE"""),"")</f>
        <v/>
      </c>
      <c r="C718" s="3" t="str">
        <f>IFERROR(__xludf.DUMMYFUNCTION("""COMPUTED_VALUE"""),"Programmatically Interpretable Reinforcement Learning")</f>
        <v>Programmatically Interpretable Reinforcement Learning</v>
      </c>
      <c r="D718" t="str">
        <f>IFERROR(__xludf.DUMMYFUNCTION("""COMPUTED_VALUE"""),"Abhinav Verma, Vijayaraghavan Murali, Rishabh Singh, Pushmeet Kohli, Swarat Chaudhuri")</f>
        <v>Abhinav Verma, Vijayaraghavan Murali, Rishabh Singh, Pushmeet Kohli, Swarat Chaudhuri</v>
      </c>
      <c r="E718" t="str">
        <f>IFERROR(__xludf.DUMMYFUNCTION("""COMPUTED_VALUE"""),"NeurIPS 2018")</f>
        <v>NeurIPS 2018</v>
      </c>
      <c r="F718">
        <f>IFERROR(__xludf.DUMMYFUNCTION("""COMPUTED_VALUE"""),2018.0)</f>
        <v>2018</v>
      </c>
      <c r="H718" s="3" t="str">
        <f>IFERROR(__xludf.DUMMYFUNCTION("""COMPUTED_VALUE"""),"AN #2")</f>
        <v>AN #2</v>
      </c>
      <c r="I718" t="str">
        <f>IFERROR(__xludf.DUMMYFUNCTION("""COMPUTED_VALUE"""),"Rohin")</f>
        <v>Rohin</v>
      </c>
      <c r="J718" t="str">
        <f>IFERROR(__xludf.DUMMYFUNCTION("""COMPUTED_VALUE"""),"This work uses program synthesis in order to get interpretable reinforcement learning policies. Some of you can probably guess that I'm very excited by this paper :P As with most program synthesis techniques, they define a space of possible programs (poli"&amp;"cies), and then search through the space for the program that achieves the highest reward. Since they are using program synthesis, they can take advantage of standard tricks such as sketching. They also train a deep RL agent and use the agent to give feed"&amp;"back to the program synthesis algorithm, so that the algorithm produces the program whose outputs are closest to the outputs of the deep RL policy. They evaluate on TORCS (a racecar simulator) and find that the policy does almost as well as deep RL. Howev"&amp;"er, it has a few major advantages over deep RL. Since it is a program, it is much more interpretable -- a human can actually look at the resulting program and understand it (and hence the title of the paper). It is also possible to use formal verification"&amp;" methods to prove properties about the program (whereas neural nets are often too large for these techniques to work). But perhaps most importantly, restricting your class of functions to the space of (small) programs is often a very useful inductive bias"&amp;", and it is no different in this case -- the learned programs perform much better than deep RL when run on a new unseen track, showing good generalization.")</f>
        <v>This work uses program synthesis in order to get interpretable reinforcement learning policies. Some of you can probably guess that I'm very excited by this paper :P As with most program synthesis techniques, they define a space of possible programs (policies), and then search through the space for the program that achieves the highest reward. Since they are using program synthesis, they can take advantage of standard tricks such as sketching. They also train a deep RL agent and use the agent to give feedback to the program synthesis algorithm, so that the algorithm produces the program whose outputs are closest to the outputs of the deep RL policy. They evaluate on TORCS (a racecar simulator) and find that the policy does almost as well as deep RL. However, it has a few major advantages over deep RL. Since it is a program, it is much more interpretable -- a human can actually look at the resulting program and understand it (and hence the title of the paper). It is also possible to use formal verification methods to prove properties about the program (whereas neural nets are often too large for these techniques to work). But perhaps most importantly, restricting your class of functions to the space of (small) programs is often a very useful inductive bias, and it is no different in this case -- the learned programs perform much better than deep RL when run on a new unseen track, showing good generalization.</v>
      </c>
      <c r="K718" t="str">
        <f>IFERROR(__xludf.DUMMYFUNCTION("""COMPUTED_VALUE"""),"I want people to read this paper, but I'm a bit biased here -- I've thought about this area a lot, and I expect that we'll need to have inductive biases of the form ""something like an algorithm/program"" to get good generalization from AI, and this paper"&amp;" is some evidence towards that. It's also the first paper I know of that makes RL-learned policies look like simple programs.")</f>
        <v>I want people to read this paper, but I'm a bit biased here -- I've thought about this area a lot, and I expect that we'll need to have inductive biases of the form "something like an algorithm/program" to get good generalization from AI, and this paper is some evidence towards that. It's also the first paper I know of that makes RL-learned policies look like simple programs.</v>
      </c>
    </row>
    <row r="719">
      <c r="A719" t="str">
        <f>IFERROR(__xludf.DUMMYFUNCTION("""COMPUTED_VALUE"""),"Interpretability")</f>
        <v>Interpretability</v>
      </c>
      <c r="B719" t="str">
        <f>IFERROR(__xludf.DUMMYFUNCTION("""COMPUTED_VALUE"""),"")</f>
        <v/>
      </c>
      <c r="C719" s="3" t="str">
        <f>IFERROR(__xludf.DUMMYFUNCTION("""COMPUTED_VALUE"""),"Techniques for Interpretable Machine Learning")</f>
        <v>Techniques for Interpretable Machine Learning</v>
      </c>
      <c r="D719" t="str">
        <f>IFERROR(__xludf.DUMMYFUNCTION("""COMPUTED_VALUE"""),"Mengnan Du, Ninghao Liu, Xia Hu")</f>
        <v>Mengnan Du, Ninghao Liu, Xia Hu</v>
      </c>
      <c r="E719" t="str">
        <f>IFERROR(__xludf.DUMMYFUNCTION("""COMPUTED_VALUE"""),"AGI 2018: Artificial General Intelligence")</f>
        <v>AGI 2018: Artificial General Intelligence</v>
      </c>
      <c r="F719">
        <f>IFERROR(__xludf.DUMMYFUNCTION("""COMPUTED_VALUE"""),2018.0)</f>
        <v>2018</v>
      </c>
      <c r="H719" s="3" t="str">
        <f>IFERROR(__xludf.DUMMYFUNCTION("""COMPUTED_VALUE"""),"AN #19")</f>
        <v>AN #19</v>
      </c>
      <c r="I719" t="str">
        <f>IFERROR(__xludf.DUMMYFUNCTION("""COMPUTED_VALUE"""),"Rohin")</f>
        <v>Rohin</v>
      </c>
      <c r="J719" t="str">
        <f>IFERROR(__xludf.DUMMYFUNCTION("""COMPUTED_VALUE"""),"This paper summarizes work on interpretability, providing a classification of different ways of achieving interpretability. There are two main axes -- first, whether you are trying to gain insight into the entire model, or its classification of a particul"&amp;"ar example; and second, whether you try to create a new model that is inherently interpretable, or whether you are post-hoc explaining the decision made by an uninterpretable model. The whole paper is a summary of techniques, so I'm not going to summarize"&amp;" it even further.")</f>
        <v>This paper summarizes work on interpretability, providing a classification of different ways of achieving interpretability. There are two main axes -- first, whether you are trying to gain insight into the entire model, or its classification of a particular example; and second, whether you try to create a new model that is inherently interpretable, or whether you are post-hoc explaining the decision made by an uninterpretable model. The whole paper is a summary of techniques, so I'm not going to summarize it even further.</v>
      </c>
      <c r="K719" t="str">
        <f>IFERROR(__xludf.DUMMYFUNCTION("""COMPUTED_VALUE"""),"This seems like a useful taxonomy that hits the kinds of interpretability research I know about, though the citation list is relatively low for a summary paper, and there are a few papers I expected to see that weren't present. On the other hand, I'm not "&amp;"actively a part of this field, so take it with a grain of salt.")</f>
        <v>This seems like a useful taxonomy that hits the kinds of interpretability research I know about, though the citation list is relatively low for a summary paper, and there are a few papers I expected to see that weren't present. On the other hand, I'm not actively a part of this field, so take it with a grain of salt.</v>
      </c>
    </row>
    <row r="720">
      <c r="A720" t="str">
        <f>IFERROR(__xludf.DUMMYFUNCTION("""COMPUTED_VALUE"""),"Interpretability")</f>
        <v>Interpretability</v>
      </c>
      <c r="B720" t="str">
        <f>IFERROR(__xludf.DUMMYFUNCTION("""COMPUTED_VALUE"""),"")</f>
        <v/>
      </c>
      <c r="C720" s="3" t="str">
        <f>IFERROR(__xludf.DUMMYFUNCTION("""COMPUTED_VALUE"""),"Interpretability Beyond Feature Attribution: Quantitative Testing with Concept Activation Vectors (TCAV)")</f>
        <v>Interpretability Beyond Feature Attribution: Quantitative Testing with Concept Activation Vectors (TCAV)</v>
      </c>
      <c r="D720" t="str">
        <f>IFERROR(__xludf.DUMMYFUNCTION("""COMPUTED_VALUE"""),"Been Kim, Martin Wattenberg, Justin Gilmer, Carrie Cai, James Wexler, Fernanda Viegas, Rory Sayres")</f>
        <v>Been Kim, Martin Wattenberg, Justin Gilmer, Carrie Cai, James Wexler, Fernanda Viegas, Rory Sayres</v>
      </c>
      <c r="E720" t="str">
        <f>IFERROR(__xludf.DUMMYFUNCTION("""COMPUTED_VALUE"""),"Conference on Robot Learning (CoRL) 2018")</f>
        <v>Conference on Robot Learning (CoRL) 2018</v>
      </c>
      <c r="F720">
        <f>IFERROR(__xludf.DUMMYFUNCTION("""COMPUTED_VALUE"""),2018.0)</f>
        <v>2018</v>
      </c>
      <c r="H720" s="3" t="str">
        <f>IFERROR(__xludf.DUMMYFUNCTION("""COMPUTED_VALUE"""),"AN #15")</f>
        <v>AN #15</v>
      </c>
    </row>
    <row r="721">
      <c r="A721" t="str">
        <f>IFERROR(__xludf.DUMMYFUNCTION("""COMPUTED_VALUE"""),"Interpretability")</f>
        <v>Interpretability</v>
      </c>
      <c r="B721" t="str">
        <f>IFERROR(__xludf.DUMMYFUNCTION("""COMPUTED_VALUE"""),"")</f>
        <v/>
      </c>
      <c r="C721" s="3" t="str">
        <f>IFERROR(__xludf.DUMMYFUNCTION("""COMPUTED_VALUE"""),"Measuring abstract reasoning in neural networks")</f>
        <v>Measuring abstract reasoning in neural networks</v>
      </c>
      <c r="D721" t="str">
        <f>IFERROR(__xludf.DUMMYFUNCTION("""COMPUTED_VALUE"""),"David G. T. Barrett, Felix Hill, Adam Santoro, 
Ari Morcos, and Timothy Lillicrap")</f>
        <v>David G. T. Barrett, Felix Hill, Adam Santoro, 
Ari Morcos, and Timothy Lillicrap</v>
      </c>
      <c r="E721" t="str">
        <f>IFERROR(__xludf.DUMMYFUNCTION("""COMPUTED_VALUE"""),"DeepMind Blog")</f>
        <v>DeepMind Blog</v>
      </c>
      <c r="F721">
        <f>IFERROR(__xludf.DUMMYFUNCTION("""COMPUTED_VALUE"""),2018.0)</f>
        <v>2018</v>
      </c>
      <c r="H721" s="3" t="str">
        <f>IFERROR(__xludf.DUMMYFUNCTION("""COMPUTED_VALUE"""),"AN #15")</f>
        <v>AN #15</v>
      </c>
    </row>
    <row r="722">
      <c r="A722" t="str">
        <f>IFERROR(__xludf.DUMMYFUNCTION("""COMPUTED_VALUE"""),"Interpretability")</f>
        <v>Interpretability</v>
      </c>
      <c r="B722" t="str">
        <f>IFERROR(__xludf.DUMMYFUNCTION("""COMPUTED_VALUE"""),"")</f>
        <v/>
      </c>
      <c r="C722" s="3" t="str">
        <f>IFERROR(__xludf.DUMMYFUNCTION("""COMPUTED_VALUE"""),"What mechanisms drive agent behaviour?")</f>
        <v>What mechanisms drive agent behaviour?</v>
      </c>
      <c r="D722" t="str">
        <f>IFERROR(__xludf.DUMMYFUNCTION("""COMPUTED_VALUE"""),"Grégoire Déletang, Jordi Grau-Moya, Miljan Martic, Tim Genewein, Tom McGrath, Vladimir Mikulik, Markus Kunesch, Shane Legg, Pedro A. Ortega")</f>
        <v>Grégoire Déletang, Jordi Grau-Moya, Miljan Martic, Tim Genewein, Tom McGrath, Vladimir Mikulik, Markus Kunesch, Shane Legg, Pedro A. Ortega</v>
      </c>
      <c r="E722" t="str">
        <f>IFERROR(__xludf.DUMMYFUNCTION("""COMPUTED_VALUE"""),"arXiv")</f>
        <v>arXiv</v>
      </c>
      <c r="F722">
        <f>IFERROR(__xludf.DUMMYFUNCTION("""COMPUTED_VALUE"""),2021.0)</f>
        <v>2021</v>
      </c>
      <c r="H722" s="3" t="str">
        <f>IFERROR(__xludf.DUMMYFUNCTION("""COMPUTED_VALUE"""),"AN #141")</f>
        <v>AN #141</v>
      </c>
      <c r="I722" t="str">
        <f>IFERROR(__xludf.DUMMYFUNCTION("""COMPUTED_VALUE"""),"Rohin")</f>
        <v>Rohin</v>
      </c>
      <c r="J722" t="str">
        <f>IFERROR(__xludf.DUMMYFUNCTION("""COMPUTED_VALUE"""),"A common challenge when understanding the world is that it is very hard to infer causal structure from only observational data. Luckily, we aren’t limited to observational data in the case of AI systems: we can intervene on either the environment the agen"&amp;"t is acting in, or the agent itself, and see what happens. In this paper, the authors present an “agent debugger” that helps with this, which has all the features you’d normally expect in a debugger: you can set breakpoints, step forward or backward in th"&amp;"e execution trace, and set or monitor variables.
Let’s consider an example where an agent is trained to go to a high reward apple. However, during training the location of the apple is correlated with the floor type (grass or sand). Suppose we now get an"&amp;" agent that does well in the training environment. How can we tell if the agent looks for the apple and goes there, rather than looking at the floor type and going to the location where the apple was during training?
We can’t distinguish between these po"&amp;"ssibilities with just observational data. However, with the agent debugger, we can simulate what the agent would do in the case where the floor type and apple location are different from how they were in training, which can then answer our question.
We c"&amp;"an go further: using the data collected from simulations using the agent debugger, we can also build a causal model that explains how the agent makes decisions. We do have to identify the features of interest (i.e. the nodes in the causal graph), but the "&amp;"probability tables can be computed automatically from the data from the agent debugger. The resulting causal model can then be thought of as an “explanation” for the behavior of the agent.")</f>
        <v>A common challenge when understanding the world is that it is very hard to infer causal structure from only observational data. Luckily, we aren’t limited to observational data in the case of AI systems: we can intervene on either the environment the agent is acting in, or the agent itself, and see what happens. In this paper, the authors present an “agent debugger” that helps with this, which has all the features you’d normally expect in a debugger: you can set breakpoints, step forward or backward in the execution trace, and set or monitor variables.
Let’s consider an example where an agent is trained to go to a high reward apple. However, during training the location of the apple is correlated with the floor type (grass or sand). Suppose we now get an agent that does well in the training environment. How can we tell if the agent looks for the apple and goes there, rather than looking at the floor type and going to the location where the apple was during training?
We can’t distinguish between these possibilities with just observational data. However, with the agent debugger, we can simulate what the agent would do in the case where the floor type and apple location are different from how they were in training, which can then answer our question.
We can go further: using the data collected from simulations using the agent debugger, we can also build a causal model that explains how the agent makes decisions. We do have to identify the features of interest (i.e. the nodes in the causal graph), but the probability tables can be computed automatically from the data from the agent debugger. The resulting causal model can then be thought of as an “explanation” for the behavior of the agent.</v>
      </c>
      <c r="K722" t="str">
        <f>IFERROR(__xludf.DUMMYFUNCTION("""COMPUTED_VALUE"""),"I very much like the general idea that we really can look at counterfactuals for artificial agents, given that we can control their inputs and internal state. This is the same idea underlying &lt;@cross-examination@&gt;(@Writeup: Progress on AI Safety via Debat"&amp;"e@), as well as various other kinds of interpretability research.
In addition, one nice aspect of causal models as your form of “explanation” is that you can modulate the size of the causal model based on how many nodes you add to the graph. The full cau"&amp;"sal model for e.g. GPT-3 would be way too complex to understand, but perhaps we can get a high-level understanding with a causal model with higher-level concepts. I’d be very interested to see research tackling these sorts of scaling challenges.")</f>
        <v>I very much like the general idea that we really can look at counterfactuals for artificial agents, given that we can control their inputs and internal state. This is the same idea underlying &lt;@cross-examination@&gt;(@Writeup: Progress on AI Safety via Debate@), as well as various other kinds of interpretability research.
In addition, one nice aspect of causal models as your form of “explanation” is that you can modulate the size of the causal model based on how many nodes you add to the graph. The full causal model for e.g. GPT-3 would be way too complex to understand, but perhaps we can get a high-level understanding with a causal model with higher-level concepts. I’d be very interested to see research tackling these sorts of scaling challenges.</v>
      </c>
      <c r="M722" s="3" t="str">
        <f>IFERROR(__xludf.DUMMYFUNCTION("""COMPUTED_VALUE"""),"Paper: Causal Analysis of Agent Behavior for AI Safety")</f>
        <v>Paper: Causal Analysis of Agent Behavior for AI Safety</v>
      </c>
    </row>
    <row r="723">
      <c r="A723" t="str">
        <f>IFERROR(__xludf.DUMMYFUNCTION("""COMPUTED_VALUE"""),"Interpretability")</f>
        <v>Interpretability</v>
      </c>
      <c r="B723" t="str">
        <f>IFERROR(__xludf.DUMMYFUNCTION("""COMPUTED_VALUE"""),"")</f>
        <v/>
      </c>
      <c r="C723" s="3" t="str">
        <f>IFERROR(__xludf.DUMMYFUNCTION("""COMPUTED_VALUE"""),"Proxy Tasks and Subjective Measures Can Be Misleading in Evaluating Explainable AI Systems")</f>
        <v>Proxy Tasks and Subjective Measures Can Be Misleading in Evaluating Explainable AI Systems</v>
      </c>
      <c r="D723" t="str">
        <f>IFERROR(__xludf.DUMMYFUNCTION("""COMPUTED_VALUE"""),"Zana Buçinca*, Phoebe Lin*, Krzysztof Z. Gajos, Elena L. Glassman")</f>
        <v>Zana Buçinca*, Phoebe Lin*, Krzysztof Z. Gajos, Elena L. Glassman</v>
      </c>
      <c r="E723" t="str">
        <f>IFERROR(__xludf.DUMMYFUNCTION("""COMPUTED_VALUE"""),"IUI 2020")</f>
        <v>IUI 2020</v>
      </c>
      <c r="F723">
        <f>IFERROR(__xludf.DUMMYFUNCTION("""COMPUTED_VALUE"""),2020.0)</f>
        <v>2020</v>
      </c>
      <c r="H723" s="3" t="str">
        <f>IFERROR(__xludf.DUMMYFUNCTION("""COMPUTED_VALUE"""),"AN #128")</f>
        <v>AN #128</v>
      </c>
      <c r="I723" t="str">
        <f>IFERROR(__xludf.DUMMYFUNCTION("""COMPUTED_VALUE"""),"Flo")</f>
        <v>Flo</v>
      </c>
      <c r="J723" t="str">
        <f>IFERROR(__xludf.DUMMYFUNCTION("""COMPUTED_VALUE"""),"As humans and AI systems have different strengths, it might make sense to combine them into human+AI teams for decision-making tasks. However, this does not always work well: if the human puts too little trust in a competent AI, the AI is of little use, a"&amp;"nd if they put too much trust in an incompetent AI, they might make worse decisions than had they been on their own.  A lot of explainability research has focused on instilling more trust in AI systems without asking how much trust would be appropriate, e"&amp;"ven though there is research showing that hiding model bias instead of truthfully revealing it can increase trust in an AI system.
The authors conduct two experiments using an AI system that predicts nutrition information from pictures of food. In the fi"&amp;"rst experiment, participants were asked to predict the AI's decision based on the ground truth and one of two types of explanations. In the inductive condition, the explanation consisted of a series of images the AI had identified as similar. In the deduc"&amp;"tive condition, subjects were shown a list of main ingredients identified by the AI. Subjects put more trust in the inductive explanations but were equally good at predicting the system's output in both cases. In the second experiment, a new set of subjec"&amp;"ts was asked to predict nutritional values with the help of the AI's predictions. Overall, access to the AI strongly improved the subjects' accuracy from below 50% to around 70%, which was further boosted to a value slightly below the AI's accuracy of 75%"&amp;" when users also saw explanations. This time, subjects put more trust in the AI when given deductive explanations, but performed better when given inductive explanations, as they were more likely to go against the AI's wrong decisions in that case. 
The "&amp;"authors hypothesize that the between-task difference in which explanations are trusted more is connected to the cognitive effort required by the tasks and for understanding the explanations, combined with human reluctance to exert mental effort. They sugg"&amp;"est to pay more attention to the exact form of the human-AI interaction and recommend to view AI-based decision aids as sociotechnical systems that are to be evaluated by their usefulness for actual decision making, rather than trust.")</f>
        <v>As humans and AI systems have different strengths, it might make sense to combine them into human+AI teams for decision-making tasks. However, this does not always work well: if the human puts too little trust in a competent AI, the AI is of little use, and if they put too much trust in an incompetent AI, they might make worse decisions than had they been on their own.  A lot of explainability research has focused on instilling more trust in AI systems without asking how much trust would be appropriate, even though there is research showing that hiding model bias instead of truthfully revealing it can increase trust in an AI system.
The authors conduct two experiments using an AI system that predicts nutrition information from pictures of food. In the first experiment, participants were asked to predict the AI's decision based on the ground truth and one of two types of explanations. In the inductive condition, the explanation consisted of a series of images the AI had identified as similar. In the deductive condition, subjects were shown a list of main ingredients identified by the AI. Subjects put more trust in the inductive explanations but were equally good at predicting the system's output in both cases. In the second experiment, a new set of subjects was asked to predict nutritional values with the help of the AI's predictions. Overall, access to the AI strongly improved the subjects' accuracy from below 50% to around 70%, which was further boosted to a value slightly below the AI's accuracy of 75% when users also saw explanations. This time, subjects put more trust in the AI when given deductive explanations, but performed better when given inductive explanations, as they were more likely to go against the AI's wrong decisions in that case. 
The authors hypothesize that the between-task difference in which explanations are trusted more is connected to the cognitive effort required by the tasks and for understanding the explanations, combined with human reluctance to exert mental effort. They suggest to pay more attention to the exact form of the human-AI interaction and recommend to view AI-based decision aids as sociotechnical systems that are to be evaluated by their usefulness for actual decision making, rather than trust.</v>
      </c>
      <c r="K723" t="str">
        <f>IFERROR(__xludf.DUMMYFUNCTION("""COMPUTED_VALUE"""),"I am not sure whether the authors used an actual AI system or just handcrafted the input-prediction-explanation tuples, and how that might affect the correlation between explanations and the system's outputs, which can influence trust. Overall, the study "&amp;"reinforces my prior that trust induced by explanations is not a good predictor of an AI system's usefulness, but I am more sceptical that the differences between inductive and deductive explanations will be the same in different contexts. ")</f>
        <v>I am not sure whether the authors used an actual AI system or just handcrafted the input-prediction-explanation tuples, and how that might affect the correlation between explanations and the system's outputs, which can influence trust. Overall, the study reinforces my prior that trust induced by explanations is not a good predictor of an AI system's usefulness, but I am more sceptical that the differences between inductive and deductive explanations will be the same in different contexts. </v>
      </c>
    </row>
    <row r="724">
      <c r="A724" t="str">
        <f>IFERROR(__xludf.DUMMYFUNCTION("""COMPUTED_VALUE"""),"Interpretability")</f>
        <v>Interpretability</v>
      </c>
      <c r="B724" t="str">
        <f>IFERROR(__xludf.DUMMYFUNCTION("""COMPUTED_VALUE"""),"")</f>
        <v/>
      </c>
      <c r="C724" s="3" t="str">
        <f>IFERROR(__xludf.DUMMYFUNCTION("""COMPUTED_VALUE"""),"Towards Robust Interpretability with Self-Explaining Neural Networks")</f>
        <v>Towards Robust Interpretability with Self-Explaining Neural Networks</v>
      </c>
      <c r="D724" t="str">
        <f>IFERROR(__xludf.DUMMYFUNCTION("""COMPUTED_VALUE"""),"David Alvarez-Melis, Tommi S. Jaakkola")</f>
        <v>David Alvarez-Melis, Tommi S. Jaakkola</v>
      </c>
      <c r="E724" t="str">
        <f>IFERROR(__xludf.DUMMYFUNCTION("""COMPUTED_VALUE"""),"AIES '18 Proceedings of the 2018 AAAI/ACM Conference on AI, Ethics, and Society")</f>
        <v>AIES '18 Proceedings of the 2018 AAAI/ACM Conference on AI, Ethics, and Society</v>
      </c>
      <c r="F724">
        <f>IFERROR(__xludf.DUMMYFUNCTION("""COMPUTED_VALUE"""),2018.0)</f>
        <v>2018</v>
      </c>
      <c r="H724" s="3" t="str">
        <f>IFERROR(__xludf.DUMMYFUNCTION("""COMPUTED_VALUE"""),"AN #12")</f>
        <v>AN #12</v>
      </c>
    </row>
    <row r="725">
      <c r="A725" t="str">
        <f>IFERROR(__xludf.DUMMYFUNCTION("""COMPUTED_VALUE"""),"Interpretability")</f>
        <v>Interpretability</v>
      </c>
      <c r="B725" t="str">
        <f>IFERROR(__xludf.DUMMYFUNCTION("""COMPUTED_VALUE"""),"")</f>
        <v/>
      </c>
      <c r="C725" s="3" t="str">
        <f>IFERROR(__xludf.DUMMYFUNCTION("""COMPUTED_VALUE"""),"Explaining Explanations: An Approach to Evaluating Interpretability of Machine Learning")</f>
        <v>Explaining Explanations: An Approach to Evaluating Interpretability of Machine Learning</v>
      </c>
      <c r="D725" t="str">
        <f>IFERROR(__xludf.DUMMYFUNCTION("""COMPUTED_VALUE"""),"Leilani H. Gilpin, David Bau, Ben Z. Yuan, Ayesha Bajwa, Michael Specter, Lalana Kagal")</f>
        <v>Leilani H. Gilpin, David Bau, Ben Z. Yuan, Ayesha Bajwa, Michael Specter, Lalana Kagal</v>
      </c>
      <c r="E725" t="str">
        <f>IFERROR(__xludf.DUMMYFUNCTION("""COMPUTED_VALUE"""),"arXiv")</f>
        <v>arXiv</v>
      </c>
      <c r="F725">
        <f>IFERROR(__xludf.DUMMYFUNCTION("""COMPUTED_VALUE"""),2018.0)</f>
        <v>2018</v>
      </c>
      <c r="H725" s="3" t="str">
        <f>IFERROR(__xludf.DUMMYFUNCTION("""COMPUTED_VALUE"""),"AN #11")</f>
        <v>AN #11</v>
      </c>
    </row>
    <row r="726">
      <c r="A726" t="str">
        <f>IFERROR(__xludf.DUMMYFUNCTION("""COMPUTED_VALUE"""),"Interpretability")</f>
        <v>Interpretability</v>
      </c>
      <c r="B726" t="str">
        <f>IFERROR(__xludf.DUMMYFUNCTION("""COMPUTED_VALUE"""),"")</f>
        <v/>
      </c>
      <c r="C726" s="3" t="str">
        <f>IFERROR(__xludf.DUMMYFUNCTION("""COMPUTED_VALUE"""),"Neural Stethoscopes: Unifying Analytic, Auxiliary and Adversarial Network Probing")</f>
        <v>Neural Stethoscopes: Unifying Analytic, Auxiliary and Adversarial Network Probing</v>
      </c>
      <c r="D726" t="str">
        <f>IFERROR(__xludf.DUMMYFUNCTION("""COMPUTED_VALUE"""),"Fabian B. Fuchs, Oliver Groth, Adam R. Kosiorek, Alex Bewley, Markus Wulfmeier, Andrea Vedaldi, Ingmar Posner")</f>
        <v>Fabian B. Fuchs, Oliver Groth, Adam R. Kosiorek, Alex Bewley, Markus Wulfmeier, Andrea Vedaldi, Ingmar Posner</v>
      </c>
      <c r="E726" t="str">
        <f>IFERROR(__xludf.DUMMYFUNCTION("""COMPUTED_VALUE"""),"arXiv")</f>
        <v>arXiv</v>
      </c>
      <c r="F726">
        <f>IFERROR(__xludf.DUMMYFUNCTION("""COMPUTED_VALUE"""),2018.0)</f>
        <v>2018</v>
      </c>
      <c r="H726" s="3" t="str">
        <f>IFERROR(__xludf.DUMMYFUNCTION("""COMPUTED_VALUE"""),"AN #11")</f>
        <v>AN #11</v>
      </c>
    </row>
    <row r="727">
      <c r="A727" t="str">
        <f>IFERROR(__xludf.DUMMYFUNCTION("""COMPUTED_VALUE"""),"Interpretability")</f>
        <v>Interpretability</v>
      </c>
      <c r="B727" t="str">
        <f>IFERROR(__xludf.DUMMYFUNCTION("""COMPUTED_VALUE"""),"")</f>
        <v/>
      </c>
      <c r="C727" s="3" t="str">
        <f>IFERROR(__xludf.DUMMYFUNCTION("""COMPUTED_VALUE"""),"Towards A Rigorous Science of Interpretable Machine Learning")</f>
        <v>Towards A Rigorous Science of Interpretable Machine Learning</v>
      </c>
      <c r="D727" t="str">
        <f>IFERROR(__xludf.DUMMYFUNCTION("""COMPUTED_VALUE"""),"Finale Doshi-Velez, Been Kim")</f>
        <v>Finale Doshi-Velez, Been Kim</v>
      </c>
      <c r="E727" t="str">
        <f>IFERROR(__xludf.DUMMYFUNCTION("""COMPUTED_VALUE"""),"arXiv")</f>
        <v>arXiv</v>
      </c>
      <c r="F727">
        <f>IFERROR(__xludf.DUMMYFUNCTION("""COMPUTED_VALUE"""),2017.0)</f>
        <v>2017</v>
      </c>
      <c r="H727" s="3" t="str">
        <f>IFERROR(__xludf.DUMMYFUNCTION("""COMPUTED_VALUE"""),"AN #106")</f>
        <v>AN #106</v>
      </c>
      <c r="I727" t="str">
        <f>IFERROR(__xludf.DUMMYFUNCTION("""COMPUTED_VALUE"""),"Robert")</f>
        <v>Robert</v>
      </c>
      <c r="J727" t="str">
        <f>IFERROR(__xludf.DUMMYFUNCTION("""COMPUTED_VALUE"""),"This paper from 2017 discusses the field of interpretability research, and how it can be made more rigorous and well-defined. The authors first highlight the problem of defining interpretability in the first place - they don't have a resolution to this pr"&amp;"oblem, but suggest that we can think of interpretability in terms of what it's used for. They claim that interpretability is used for confirming other important desiderata in ML systems, which stem from an incompleteness in the problem formalization. For "&amp;"example, if we want a system to be unbiased but aren't able to formally specify this in the reward function, or the reward we're optimising for is only a proxy of the true reward, then we could use interpretability to inspect our model and see whether it'"&amp;"s reasoning how we want it to.
The authors next move on to discussing how we can evaluate interpretability methods, providing a taxonomy of different evaluation methods: Application-grounded is when the method is evaluated in the context it will actually"&amp;" be used in, by real humans (i.e. doctors getting explanations for AI diagnoses); Human-grounded is about conducting simpler human-subject experiments (who are perhaps not domain experts) using possibly simpler tasks than what the intended purpose of the "&amp;"method is; Functionally-grounded is where no humans are involved in the experiments, and instead some formal notion of interpretability is measured for the method to evaluate its quality. Each of these evaluation methods can be used in different circumsta"&amp;"nces, depending on the method and the context it will be used in.
Finally, the authors propose a data-driven approach to understanding the factors which are important in interpretability. They propose to try and create a dataset of applications of machin"&amp;"e learning models to tasks, and then analyse this dataset to find important factors. They list some possible task- and method- related factors, and then conclude with recommendations to researchers doing interpretability.")</f>
        <v>This paper from 2017 discusses the field of interpretability research, and how it can be made more rigorous and well-defined. The authors first highlight the problem of defining interpretability in the first place - they don't have a resolution to this problem, but suggest that we can think of interpretability in terms of what it's used for. They claim that interpretability is used for confirming other important desiderata in ML systems, which stem from an incompleteness in the problem formalization. For example, if we want a system to be unbiased but aren't able to formally specify this in the reward function, or the reward we're optimising for is only a proxy of the true reward, then we could use interpretability to inspect our model and see whether it's reasoning how we want it to.
The authors next move on to discussing how we can evaluate interpretability methods, providing a taxonomy of different evaluation methods: Application-grounded is when the method is evaluated in the context it will actually be used in, by real humans (i.e. doctors getting explanations for AI diagnoses); Human-grounded is about conducting simpler human-subject experiments (who are perhaps not domain experts) using possibly simpler tasks than what the intended purpose of the method is; Functionally-grounded is where no humans are involved in the experiments, and instead some formal notion of interpretability is measured for the method to evaluate its quality. Each of these evaluation methods can be used in different circumstances, depending on the method and the context it will be used in.
Finally, the authors propose a data-driven approach to understanding the factors which are important in interpretability. They propose to try and create a dataset of applications of machine learning models to tasks, and then analyse this dataset to find important factors. They list some possible task- and method- related factors, and then conclude with recommendations to researchers doing interpretability.</v>
      </c>
      <c r="K727" t="str">
        <f>IFERROR(__xludf.DUMMYFUNCTION("""COMPUTED_VALUE"""),"I like the idea of interpretability being aimed at trying to fill in mis- or under-specified optimisation objectives. I think this proposes that interpretability is more useful for outer alignment, which is interesting as I think that most people in the s"&amp;"afety community think interpretability could help with inner alignment (for example, see &lt;@An overview of 11 proposals for building safe advanced AI@&gt;, in which transparency (which could be seen as interpretability) is used to solve inner alignment in 4 o"&amp;"f the proposals).")</f>
        <v>I like the idea of interpretability being aimed at trying to fill in mis- or under-specified optimisation objectives. I think this proposes that interpretability is more useful for outer alignment, which is interesting as I think that most people in the safety community think interpretability could help with inner alignment (for example, see &lt;@An overview of 11 proposals for building safe advanced AI@&gt;, in which transparency (which could be seen as interpretability) is used to solve inner alignment in 4 of the proposals).</v>
      </c>
    </row>
    <row r="728">
      <c r="A728" t="str">
        <f>IFERROR(__xludf.DUMMYFUNCTION("""COMPUTED_VALUE"""),"Interpretability")</f>
        <v>Interpretability</v>
      </c>
      <c r="B728" t="str">
        <f>IFERROR(__xludf.DUMMYFUNCTION("""COMPUTED_VALUE"""),"")</f>
        <v/>
      </c>
      <c r="C728" s="3" t="str">
        <f>IFERROR(__xludf.DUMMYFUNCTION("""COMPUTED_VALUE"""),"Sparsity and interpretability?")</f>
        <v>Sparsity and interpretability?</v>
      </c>
      <c r="D728" t="str">
        <f>IFERROR(__xludf.DUMMYFUNCTION("""COMPUTED_VALUE"""),"Stanislav Böhm, Robert Kirk, Tomáš Gavenčiak")</f>
        <v>Stanislav Böhm, Robert Kirk, Tomáš Gavenčiak</v>
      </c>
      <c r="E728" t="str">
        <f>IFERROR(__xludf.DUMMYFUNCTION("""COMPUTED_VALUE"""),"Alignment Forum")</f>
        <v>Alignment Forum</v>
      </c>
      <c r="F728">
        <f>IFERROR(__xludf.DUMMYFUNCTION("""COMPUTED_VALUE"""),2020.0)</f>
        <v>2020</v>
      </c>
      <c r="H728" s="3" t="str">
        <f>IFERROR(__xludf.DUMMYFUNCTION("""COMPUTED_VALUE"""),"AN #104")</f>
        <v>AN #104</v>
      </c>
      <c r="I728" t="str">
        <f>IFERROR(__xludf.DUMMYFUNCTION("""COMPUTED_VALUE"""),"Rohin")</f>
        <v>Rohin</v>
      </c>
      <c r="J728" t="str">
        <f>IFERROR(__xludf.DUMMYFUNCTION("""COMPUTED_VALUE"""),"If you want to visualize exactly what a neural network is doing, one approach is to visualize the entire computation graph of multiplies, additions, and nonlinearities. While this is extremely complex even on MNIST, we can make it much simpler by making t"&amp;"he networks _sparse_, since any zero weights can be removed from the computation graph. Previous work has shown that we can remove well over 95% of weights from a model without degrading accuracy too much, so the authors do this to make the computation gr"&amp;"aph easier to understand.
They use this to visualize an MLP model for classifying MNIST digits, and for a DQN agent trained to play Cartpole. In the MNIST case, the computation graph can be drastically simplified by visualizing the first layer of the net"&amp;" as a list of 2D images, where the kth activation is given by the dot product of the 2D image with the input image. This deals with the vast majority of the weights in the neural net.")</f>
        <v>If you want to visualize exactly what a neural network is doing, one approach is to visualize the entire computation graph of multiplies, additions, and nonlinearities. While this is extremely complex even on MNIST, we can make it much simpler by making the networks _sparse_, since any zero weights can be removed from the computation graph. Previous work has shown that we can remove well over 95% of weights from a model without degrading accuracy too much, so the authors do this to make the computation graph easier to understand.
They use this to visualize an MLP model for classifying MNIST digits, and for a DQN agent trained to play Cartpole. In the MNIST case, the computation graph can be drastically simplified by visualizing the first layer of the net as a list of 2D images, where the kth activation is given by the dot product of the 2D image with the input image. This deals with the vast majority of the weights in the neural net.</v>
      </c>
      <c r="K728" t="str">
        <f>IFERROR(__xludf.DUMMYFUNCTION("""COMPUTED_VALUE"""),"This method has the nice property that it visualizes exactly what the neural net is doing -- it isn’t “rationalizing” an explanation, or eliding potentially important details. It is possible to gain interesting insights about the model: for example, the l"&amp;"ogit for digit 2 is always -2.39, implying that everything else is computed relative to -2.39. Looking at the images for digit 7, it seems like the model strongly believes that sevens must have the top few rows of pixels be blank, which I found a bit surp"&amp;"rising. (I chose to look at the digit 7 somewhat arbitrarily.)
Of course, since the technique doesn’t throw away any information about the model, it becomes very complicated very quickly, and wouldn’t scale to larger models.")</f>
        <v>This method has the nice property that it visualizes exactly what the neural net is doing -- it isn’t “rationalizing” an explanation, or eliding potentially important details. It is possible to gain interesting insights about the model: for example, the logit for digit 2 is always -2.39, implying that everything else is computed relative to -2.39. Looking at the images for digit 7, it seems like the model strongly believes that sevens must have the top few rows of pixels be blank, which I found a bit surprising. (I chose to look at the digit 7 somewhat arbitrarily.)
Of course, since the technique doesn’t throw away any information about the model, it becomes very complicated very quickly, and wouldn’t scale to larger models.</v>
      </c>
    </row>
    <row r="729">
      <c r="A729" t="str">
        <f>IFERROR(__xludf.DUMMYFUNCTION("""COMPUTED_VALUE"""),"Interpretability")</f>
        <v>Interpretability</v>
      </c>
      <c r="B729" t="str">
        <f>IFERROR(__xludf.DUMMYFUNCTION("""COMPUTED_VALUE"""),"")</f>
        <v/>
      </c>
      <c r="C729" s="3" t="str">
        <f>IFERROR(__xludf.DUMMYFUNCTION("""COMPUTED_VALUE"""),"How can Interpretability help Alignment?")</f>
        <v>How can Interpretability help Alignment?</v>
      </c>
      <c r="D729" t="str">
        <f>IFERROR(__xludf.DUMMYFUNCTION("""COMPUTED_VALUE"""),"Robert Kirk, Tomáš Gavenčiak, Flo Dorner")</f>
        <v>Robert Kirk, Tomáš Gavenčiak, Flo Dorner</v>
      </c>
      <c r="E729" t="str">
        <f>IFERROR(__xludf.DUMMYFUNCTION("""COMPUTED_VALUE"""),"Alignment Forum")</f>
        <v>Alignment Forum</v>
      </c>
      <c r="F729">
        <f>IFERROR(__xludf.DUMMYFUNCTION("""COMPUTED_VALUE"""),2020.0)</f>
        <v>2020</v>
      </c>
      <c r="H729" s="3" t="str">
        <f>IFERROR(__xludf.DUMMYFUNCTION("""COMPUTED_VALUE"""),"AN #101")</f>
        <v>AN #101</v>
      </c>
      <c r="I729" t="str">
        <f>IFERROR(__xludf.DUMMYFUNCTION("""COMPUTED_VALUE"""),"Rohin")</f>
        <v>Rohin</v>
      </c>
      <c r="J729" t="str">
        <f>IFERROR(__xludf.DUMMYFUNCTION("""COMPUTED_VALUE"""),"Interpretability seems to be useful for a wide variety of AI alignment proposals. Presumably, different proposals require different kinds of interpretability. This post analyzes this question to allow researchers to prioritize across different kinds of in"&amp;"terpretability research.
At a high level, interpretability can either make our current experiments more informative to help us answer _research questions_ (e.g. “when I set up a &lt;@debate@&gt;(@AI safety via debate@) in this particular way, does honesty win?"&amp;"”), or it could be used as part of an alignment technique to train AI systems. The former only have to be done once (to answer the question), and so we can spend a lot of effort on them, while the latter must be efficient in order to be competitive with o"&amp;"ther AI algorithms.
The Authors then analyze how interpretability could apply to several alignment techniques, and come to several tentative conclusions. For example, they suggest that for recursive techniques like iterated amplification, we may want com"&amp;"parative interpretability, that can explain the changes between models (e.g. between distillation steps, in iterated amplification). They also suggest that by having interpretability techniques that can be used by other ML models, we can regularize a trai"&amp;"ned model to be aligned, without requiring a human in the loop.")</f>
        <v>Interpretability seems to be useful for a wide variety of AI alignment proposals. Presumably, different proposals require different kinds of interpretability. This post analyzes this question to allow researchers to prioritize across different kinds of interpretability research.
At a high level, interpretability can either make our current experiments more informative to help us answer _research questions_ (e.g. “when I set up a &lt;@debate@&gt;(@AI safety via debate@) in this particular way, does honesty win?”), or it could be used as part of an alignment technique to train AI systems. The former only have to be done once (to answer the question), and so we can spend a lot of effort on them, while the latter must be efficient in order to be competitive with other AI algorithms.
The Authors then analyze how interpretability could apply to several alignment techniques, and come to several tentative conclusions. For example, they suggest that for recursive techniques like iterated amplification, we may want comparative interpretability, that can explain the changes between models (e.g. between distillation steps, in iterated amplification). They also suggest that by having interpretability techniques that can be used by other ML models, we can regularize a trained model to be aligned, without requiring a human in the loop.</v>
      </c>
      <c r="K729" t="str">
        <f>IFERROR(__xludf.DUMMYFUNCTION("""COMPUTED_VALUE"""),"I like this general direction of thought, and hope that people continue to pursue it, especially since I think interpretability will be necessary for inner alignment. I think it would be easier to build on the ideas in this post if they were made more con"&amp;"crete.")</f>
        <v>I like this general direction of thought, and hope that people continue to pursue it, especially since I think interpretability will be necessary for inner alignment. I think it would be easier to build on the ideas in this post if they were made more concrete.</v>
      </c>
    </row>
    <row r="730">
      <c r="A730" t="str">
        <f>IFERROR(__xludf.DUMMYFUNCTION("""COMPUTED_VALUE"""),"Interpretability")</f>
        <v>Interpretability</v>
      </c>
      <c r="B730" t="str">
        <f>IFERROR(__xludf.DUMMYFUNCTION("""COMPUTED_VALUE"""),"")</f>
        <v/>
      </c>
      <c r="C730" s="3" t="str">
        <f>IFERROR(__xludf.DUMMYFUNCTION("""COMPUTED_VALUE"""),"A Benchmark for Interpretability Methods in Deep Neural Networks")</f>
        <v>A Benchmark for Interpretability Methods in Deep Neural Networks</v>
      </c>
      <c r="D730" t="str">
        <f>IFERROR(__xludf.DUMMYFUNCTION("""COMPUTED_VALUE"""),"Sara Hooker, Dumitru Erhan, Pieter-Jan Kindermans, Been Kim")</f>
        <v>Sara Hooker, Dumitru Erhan, Pieter-Jan Kindermans, Been Kim</v>
      </c>
      <c r="E730" t="str">
        <f>IFERROR(__xludf.DUMMYFUNCTION("""COMPUTED_VALUE"""),"NeurIPS 2019")</f>
        <v>NeurIPS 2019</v>
      </c>
      <c r="F730">
        <f>IFERROR(__xludf.DUMMYFUNCTION("""COMPUTED_VALUE"""),2019.0)</f>
        <v>2019</v>
      </c>
      <c r="H730" s="3" t="str">
        <f>IFERROR(__xludf.DUMMYFUNCTION("""COMPUTED_VALUE"""),"AN #101")</f>
        <v>AN #101</v>
      </c>
      <c r="I730" t="str">
        <f>IFERROR(__xludf.DUMMYFUNCTION("""COMPUTED_VALUE"""),"Robert")</f>
        <v>Robert</v>
      </c>
      <c r="J730" t="str">
        <f>IFERROR(__xludf.DUMMYFUNCTION("""COMPUTED_VALUE"""),"This paper presents an automatic benchmark for *feature importance* methods (otherwise known as saliency maps) called *RemOve And Retrain* (ROAR). The benchmark follows the following procedure:
1. Train an image classifier on a dataset (they use ResNet-5"&amp;"0s on ImageNet, and get about 77% accuracy)
2. Measure the test-set accuracy at convergence
3. Using the feature importance method, find the most important features in the dataset, and remove them (by greying out the pixels)
4. Train another model on t"&amp;"his new dataset, and measure the new test-set accuracy
5. **The difference between the accuracy in (4) and in (2) is the measure of how effective the feature importance method is at finding important features**
The idea behind retraining is that giving"&amp;" the original classifier images where many pixels have been greyed out will obviously result in lower accuracy, as they're out of the training distribution. Retraining solves this problem.
They benchmark a variety of feature importance methods (Gradient "&amp;"heatmap, Guided backprop, Integrated gradients, Classic SmoothGrad, SmoothGrad^2, VarGrad) on their benchmark, and compare to a random baseline, and a Sobel Edge detector (a hard-coded algorithm for finding edges in images). **Only SmoothGrad^2 and VarGra"&amp;"d (which are both methods which ensemble other feature importance methods) do better than random.** They can't explain why these methods perform better than other methods. They also note that even when removing 90% of the pixels in every image (i.e. the r"&amp;"andom baseline), the accuracy only drops from 77% to 63%, which shows how correlated pixels in images are.")</f>
        <v>This paper presents an automatic benchmark for *feature importance* methods (otherwise known as saliency maps) called *RemOve And Retrain* (ROAR). The benchmark follows the following procedure:
1. Train an image classifier on a dataset (they use ResNet-50s on ImageNet, and get about 77% accuracy)
2. Measure the test-set accuracy at convergence
3. Using the feature importance method, find the most important features in the dataset, and remove them (by greying out the pixels)
4. Train another model on this new dataset, and measure the new test-set accuracy
5. **The difference between the accuracy in (4) and in (2) is the measure of how effective the feature importance method is at finding important features**
The idea behind retraining is that giving the original classifier images where many pixels have been greyed out will obviously result in lower accuracy, as they're out of the training distribution. Retraining solves this problem.
They benchmark a variety of feature importance methods (Gradient heatmap, Guided backprop, Integrated gradients, Classic SmoothGrad, SmoothGrad^2, VarGrad) on their benchmark, and compare to a random baseline, and a Sobel Edge detector (a hard-coded algorithm for finding edges in images). **Only SmoothGrad^2 and VarGrad (which are both methods which ensemble other feature importance methods) do better than random.** They can't explain why these methods perform better than other methods. They also note that even when removing 90% of the pixels in every image (i.e. the random baseline), the accuracy only drops from 77% to 63%, which shows how correlated pixels in images are.</v>
      </c>
      <c r="K730" t="str">
        <f>IFERROR(__xludf.DUMMYFUNCTION("""COMPUTED_VALUE"""),"I'm in favour of developing methods which allow us to rigorously compare interpretability methods. This benchmark is a step in the right direction, but I think it does have several flaws:
1. In images especially, there's high correlation between "&amp;"pixels, and greying out pixels isn't the same as ""removing"" the feature (the model trained on the altered images could learn something like ""these pixels are greyed out (and hence important), so this must be a bird otherwise the pixels wouldn't be impo"&amp;"rtant"").
2. The benchmark doesn't measure exactly what these methods are trying to capture. The methods are trying to answer ""what parts of this image were important for making this classification?"", which is at least slightly different from ""what pa"&amp;"rts of this image, when removed, will prevent a new model from classifying accurately?"". 
I'd be interested in seeing the benchmark (or something conceptually similar) applied to domains other than images, where the correlation between features is lower"&amp;": I imagine for some kinds of tabular data the methods would perform much better (although the methods have mostly been designed to work on images rather than tabular data).")</f>
        <v>I'm in favour of developing methods which allow us to rigorously compare interpretability methods. This benchmark is a step in the right direction, but I think it does have several flaws:
1. In images especially, there's high correlation between pixels, and greying out pixels isn't the same as "removing" the feature (the model trained on the altered images could learn something like "these pixels are greyed out (and hence important), so this must be a bird otherwise the pixels wouldn't be important").
2. The benchmark doesn't measure exactly what these methods are trying to capture. The methods are trying to answer "what parts of this image were important for making this classification?", which is at least slightly different from "what parts of this image, when removed, will prevent a new model from classifying accurately?". 
I'd be interested in seeing the benchmark (or something conceptually similar) applied to domains other than images, where the correlation between features is lower: I imagine for some kinds of tabular data the methods would perform much better (although the methods have mostly been designed to work on images rather than tabular data).</v>
      </c>
    </row>
    <row r="731">
      <c r="A731" t="str">
        <f>IFERROR(__xludf.DUMMYFUNCTION("""COMPUTED_VALUE"""),"Interpretability")</f>
        <v>Interpretability</v>
      </c>
      <c r="B731" t="str">
        <f>IFERROR(__xludf.DUMMYFUNCTION("""COMPUTED_VALUE"""),"")</f>
        <v/>
      </c>
      <c r="C731" s="3" t="str">
        <f>IFERROR(__xludf.DUMMYFUNCTION("""COMPUTED_VALUE"""),"Towards Interpretable Reinforcement Learning Using Attention Augmented Agents")</f>
        <v>Towards Interpretable Reinforcement Learning Using Attention Augmented Agents</v>
      </c>
      <c r="D731" t="str">
        <f>IFERROR(__xludf.DUMMYFUNCTION("""COMPUTED_VALUE"""),"Alexander Mott, Daniel Zoran, Mike Chrzanowski, Daan Wierstra, Danilo Jimenez Rezende")</f>
        <v>Alexander Mott, Daniel Zoran, Mike Chrzanowski, Daan Wierstra, Danilo Jimenez Rezende</v>
      </c>
      <c r="E731" t="str">
        <f>IFERROR(__xludf.DUMMYFUNCTION("""COMPUTED_VALUE"""),"NeurIPS 2019")</f>
        <v>NeurIPS 2019</v>
      </c>
      <c r="F731">
        <f>IFERROR(__xludf.DUMMYFUNCTION("""COMPUTED_VALUE"""),2019.0)</f>
        <v>2019</v>
      </c>
      <c r="H731" s="3" t="str">
        <f>IFERROR(__xludf.DUMMYFUNCTION("""COMPUTED_VALUE"""),"AN #100")</f>
        <v>AN #100</v>
      </c>
      <c r="I731" t="str">
        <f>IFERROR(__xludf.DUMMYFUNCTION("""COMPUTED_VALUE"""),"Robert")</f>
        <v>Robert</v>
      </c>
      <c r="J731" t="str">
        <f>IFERROR(__xludf.DUMMYFUNCTION("""COMPUTED_VALUE"""),"In this paper the authors train a reinforcement learning agent with a soft attention module built into it. The attention module forms a bottleneck between the visual input and the network choosing the next action, which forces the model to learn to attend"&amp;" to only important parts of the scene. This means they can visualise which parts of the input the model thinks are important, as those are the parts of the input that the model is attending to. The queries to the attention model are determined by a top le"&amp;"vel recurrent network, without input from the current image, so act as a form of ""top down"" attention, where the top controller can be imagined to be querying the processed image for various locations and objects.
Having trained this agent (which still"&amp;" gets competitive performance with SOTA RL models on a fair few ATARI games), they qualitatively evaluate the attention visualisation on a variety of games. They find several common strategies in the attention schemes, such as the agents attending to spec"&amp;"ific points until an object crosses the point (""Tripwires""). The attention is computed over both regular pixels, as well as Fourier-based positional encoding. Thanks to this and other aspects of their architecture, the authors can check whether the quer"&amp;"ies are focused on pixel values (i.e. looking for a specific pattern of pixels anywhere) or on location features (i.e. asking what pixels are present at a specific location). For example, they find that the agent often queries the location where the score"&amp;" is displayed, presumably because it is useful for calculating the value function. They also compare their method with self-attention based models, and with other saliency methods.
The best way to get a feel for the visualisations is to go to the paper's"&amp;" website and watch the example videos.")</f>
        <v>In this paper the authors train a reinforcement learning agent with a soft attention module built into it. The attention module forms a bottleneck between the visual input and the network choosing the next action, which forces the model to learn to attend to only important parts of the scene. This means they can visualise which parts of the input the model thinks are important, as those are the parts of the input that the model is attending to. The queries to the attention model are determined by a top level recurrent network, without input from the current image, so act as a form of "top down" attention, where the top controller can be imagined to be querying the processed image for various locations and objects.
Having trained this agent (which still gets competitive performance with SOTA RL models on a fair few ATARI games), they qualitatively evaluate the attention visualisation on a variety of games. They find several common strategies in the attention schemes, such as the agents attending to specific points until an object crosses the point ("Tripwires"). The attention is computed over both regular pixels, as well as Fourier-based positional encoding. Thanks to this and other aspects of their architecture, the authors can check whether the queries are focused on pixel values (i.e. looking for a specific pattern of pixels anywhere) or on location features (i.e. asking what pixels are present at a specific location). For example, they find that the agent often queries the location where the score is displayed, presumably because it is useful for calculating the value function. They also compare their method with self-attention based models, and with other saliency methods.
The best way to get a feel for the visualisations is to go to the paper's website and watch the example videos.</v>
      </c>
      <c r="K731" t="str">
        <f>IFERROR(__xludf.DUMMYFUNCTION("""COMPUTED_VALUE"""),"This paper isn't revolutionary in its approach, but it's interesting to see work on interpreting RL agents, and the fact that the interpretability is built-in is interesting: it gives us a harder guarantee that this visualisation is actually showing us th"&amp;"e parts of the input that the model thinks of as important, as they actually are important in its processing. It's promising to see that the in-built interpretability also didn't seem to penalise the performance much - it would be interesting to see this "&amp;"method applied to other, stronger kinds of models and see whether it still produces useful visualisations and how it affects their performance.")</f>
        <v>This paper isn't revolutionary in its approach, but it's interesting to see work on interpreting RL agents, and the fact that the interpretability is built-in is interesting: it gives us a harder guarantee that this visualisation is actually showing us the parts of the input that the model thinks of as important, as they actually are important in its processing. It's promising to see that the in-built interpretability also didn't seem to penalise the performance much - it would be interesting to see this method applied to other, stronger kinds of models and see whether it still produces useful visualisations and how it affects their performance.</v>
      </c>
      <c r="M731" s="3" t="str">
        <f>IFERROR(__xludf.DUMMYFUNCTION("""COMPUTED_VALUE"""),"The paper's website")</f>
        <v>The paper's website</v>
      </c>
    </row>
    <row r="732">
      <c r="A732" t="str">
        <f>IFERROR(__xludf.DUMMYFUNCTION("""COMPUTED_VALUE"""),"Interpretability")</f>
        <v>Interpretability</v>
      </c>
      <c r="B732" t="str">
        <f>IFERROR(__xludf.DUMMYFUNCTION("""COMPUTED_VALUE"""),"")</f>
        <v/>
      </c>
      <c r="C732" s="3" t="str">
        <f>IFERROR(__xludf.DUMMYFUNCTION("""COMPUTED_VALUE"""),"What is Interpretability?")</f>
        <v>What is Interpretability?</v>
      </c>
      <c r="D732" t="str">
        <f>IFERROR(__xludf.DUMMYFUNCTION("""COMPUTED_VALUE"""),"Robert Kirk, Tomáš Gavenčiak, Stanislav Böhm")</f>
        <v>Robert Kirk, Tomáš Gavenčiak, Stanislav Böhm</v>
      </c>
      <c r="F732">
        <f>IFERROR(__xludf.DUMMYFUNCTION("""COMPUTED_VALUE"""),2020.0)</f>
        <v>2020</v>
      </c>
      <c r="H732" s="3" t="str">
        <f>IFERROR(__xludf.DUMMYFUNCTION("""COMPUTED_VALUE"""),"AN #93")</f>
        <v>AN #93</v>
      </c>
      <c r="I732" t="str">
        <f>IFERROR(__xludf.DUMMYFUNCTION("""COMPUTED_VALUE"""),"Rohin")</f>
        <v>Rohin</v>
      </c>
      <c r="J732" t="str">
        <f>IFERROR(__xludf.DUMMYFUNCTION("""COMPUTED_VALUE"""),"This post categorizes several interpretability methods based on their _goal_ and how they _enable humans_ to achieve the goal.")</f>
        <v>This post categorizes several interpretability methods based on their _goal_ and how they _enable humans_ to achieve the goal.</v>
      </c>
      <c r="K732" t="str">
        <f>IFERROR(__xludf.DUMMYFUNCTION("""COMPUTED_VALUE"""),"It's striking to me how different this is from other work, e.g. &lt;@Explicability? Legibility? Predictability? Transparency? Privacy? Security? The Emerging Landscape of Interpretable Agent Behavior@&gt;. It seems like interpretability is a really vague, nebul"&amp;"ous term that has so far (to my limited knowledge) not been made precise.")</f>
        <v>It's striking to me how different this is from other work, e.g. &lt;@Explicability? Legibility? Predictability? Transparency? Privacy? Security? The Emerging Landscape of Interpretable Agent Behavior@&gt;. It seems like interpretability is a really vague, nebulous term that has so far (to my limited knowledge) not been made precise.</v>
      </c>
    </row>
    <row r="733">
      <c r="A733" t="str">
        <f>IFERROR(__xludf.DUMMYFUNCTION("""COMPUTED_VALUE"""),"Interpretability")</f>
        <v>Interpretability</v>
      </c>
      <c r="B733" t="str">
        <f>IFERROR(__xludf.DUMMYFUNCTION("""COMPUTED_VALUE"""),"")</f>
        <v/>
      </c>
      <c r="C733" s="3" t="str">
        <f>IFERROR(__xludf.DUMMYFUNCTION("""COMPUTED_VALUE"""),"Attention is not Explanation")</f>
        <v>Attention is not Explanation</v>
      </c>
      <c r="D733" t="str">
        <f>IFERROR(__xludf.DUMMYFUNCTION("""COMPUTED_VALUE"""),"Sarthak Jain, Byron C. Wallace")</f>
        <v>Sarthak Jain, Byron C. Wallace</v>
      </c>
      <c r="E733" t="str">
        <f>IFERROR(__xludf.DUMMYFUNCTION("""COMPUTED_VALUE"""),"arXiv")</f>
        <v>arXiv</v>
      </c>
      <c r="F733">
        <f>IFERROR(__xludf.DUMMYFUNCTION("""COMPUTED_VALUE"""),2019.0)</f>
        <v>2019</v>
      </c>
      <c r="H733" s="3" t="str">
        <f>IFERROR(__xludf.DUMMYFUNCTION("""COMPUTED_VALUE"""),"AN #53")</f>
        <v>AN #53</v>
      </c>
      <c r="I733" t="str">
        <f>IFERROR(__xludf.DUMMYFUNCTION("""COMPUTED_VALUE"""),"Richard")</f>
        <v>Richard</v>
      </c>
      <c r="J733" t="str">
        <f>IFERROR(__xludf.DUMMYFUNCTION("""COMPUTED_VALUE"""),"This paper explores the usefulness of attention weights in interpreting neural networks' performance on NLP tasks. The authors present two findings: firstly, that attention weights are only weakly correlated with other metrics of word importance; and seco"&amp;"ndly, that there often exist adversarially-generated attention weights which are totally different from the learned weights, but which still lead to the same outputs. They conclude that these results undermine the explanatory relevance of attention weight"&amp;"s.")</f>
        <v>This paper explores the usefulness of attention weights in interpreting neural networks' performance on NLP tasks. The authors present two findings: firstly, that attention weights are only weakly correlated with other metrics of word importance; and secondly, that there often exist adversarially-generated attention weights which are totally different from the learned weights, but which still lead to the same outputs. They conclude that these results undermine the explanatory relevance of attention weights.</v>
      </c>
      <c r="K733" t="str">
        <f>IFERROR(__xludf.DUMMYFUNCTION("""COMPUTED_VALUE"""),"I like this type of investigation, but don't find their actual conclusions compelling. In particular, it doesn't matter whether ""meaningless"" adversarial attention weights can lead to the same classifications, as long as the ones actually learned by the"&amp;" system are interpretable. Also, the lack of correlation between attention weights and other methods could be explained either by attention weights being much worse than the other methods, or much better, or merely useful for different purposes.")</f>
        <v>I like this type of investigation, but don't find their actual conclusions compelling. In particular, it doesn't matter whether "meaningless" adversarial attention weights can lead to the same classifications, as long as the ones actually learned by the system are interpretable. Also, the lack of correlation between attention weights and other methods could be explained either by attention weights being much worse than the other methods, or much better, or merely useful for different purposes.</v>
      </c>
    </row>
    <row r="734">
      <c r="A734" t="str">
        <f>IFERROR(__xludf.DUMMYFUNCTION("""COMPUTED_VALUE"""),"Interpretability")</f>
        <v>Interpretability</v>
      </c>
      <c r="B734" t="str">
        <f>IFERROR(__xludf.DUMMYFUNCTION("""COMPUTED_VALUE"""),"")</f>
        <v/>
      </c>
      <c r="C734" s="3" t="str">
        <f>IFERROR(__xludf.DUMMYFUNCTION("""COMPUTED_VALUE"""),"How much can value learning be disentangled?")</f>
        <v>How much can value learning be disentangled?</v>
      </c>
      <c r="D734" t="str">
        <f>IFERROR(__xludf.DUMMYFUNCTION("""COMPUTED_VALUE"""),"Stuart Armstrong")</f>
        <v>Stuart Armstrong</v>
      </c>
      <c r="E734" t="str">
        <f>IFERROR(__xludf.DUMMYFUNCTION("""COMPUTED_VALUE"""),"Alignment Forum")</f>
        <v>Alignment Forum</v>
      </c>
      <c r="F734">
        <f>IFERROR(__xludf.DUMMYFUNCTION("""COMPUTED_VALUE"""),2019.0)</f>
        <v>2019</v>
      </c>
      <c r="H734" s="3" t="str">
        <f>IFERROR(__xludf.DUMMYFUNCTION("""COMPUTED_VALUE"""),"AN #44")</f>
        <v>AN #44</v>
      </c>
      <c r="I734" t="str">
        <f>IFERROR(__xludf.DUMMYFUNCTION("""COMPUTED_VALUE"""),"Richard")</f>
        <v>Richard</v>
      </c>
      <c r="J734" t="str">
        <f>IFERROR(__xludf.DUMMYFUNCTION("""COMPUTED_VALUE"""),"Stuart argues that there is no clear line between manipulation and explanation, since even good explanations involve simplification, omissions and cherry-picking what to emphasise. He claims that the only difference is that explanations give us a better u"&amp;"nderstanding of the situation - something which is very subtle to define or measure. Nevertheless, we can still limit the effects of manipulation by banning extremely manipulative practices, and by giving AIs values that are similar to our own, so that th"&amp;"ey don't need to manipulate us very much.")</f>
        <v>Stuart argues that there is no clear line between manipulation and explanation, since even good explanations involve simplification, omissions and cherry-picking what to emphasise. He claims that the only difference is that explanations give us a better understanding of the situation - something which is very subtle to define or measure. Nevertheless, we can still limit the effects of manipulation by banning extremely manipulative practices, and by giving AIs values that are similar to our own, so that they don't need to manipulate us very much.</v>
      </c>
      <c r="K734" t="str">
        <f>IFERROR(__xludf.DUMMYFUNCTION("""COMPUTED_VALUE"""),"I think the main point that explanation and manipulation can often look very similar is an important one. However, I'm not convinced that there aren't any ways of specifying the difference between them. Other factors which seem relevant include what menta"&amp;"l steps the explainer/manipulator is going through, and how they would change if the statement weren't true or if the explainee were significantly smarter.")</f>
        <v>I think the main point that explanation and manipulation can often look very similar is an important one. However, I'm not convinced that there aren't any ways of specifying the difference between them. Other factors which seem relevant include what mental steps the explainer/manipulator is going through, and how they would change if the statement weren't true or if the explainee were significantly smarter.</v>
      </c>
    </row>
    <row r="735">
      <c r="A735" t="str">
        <f>IFERROR(__xludf.DUMMYFUNCTION("""COMPUTED_VALUE"""),"Interpretability")</f>
        <v>Interpretability</v>
      </c>
      <c r="B735" t="str">
        <f>IFERROR(__xludf.DUMMYFUNCTION("""COMPUTED_VALUE"""),"")</f>
        <v/>
      </c>
      <c r="C735" s="3" t="str">
        <f>IFERROR(__xludf.DUMMYFUNCTION("""COMPUTED_VALUE"""),"Personalized explanation in machine learning")</f>
        <v>Personalized explanation in machine learning</v>
      </c>
      <c r="D735" t="str">
        <f>IFERROR(__xludf.DUMMYFUNCTION("""COMPUTED_VALUE"""),"Johanes Schneider, Joshua Handali")</f>
        <v>Johanes Schneider, Joshua Handali</v>
      </c>
      <c r="E735" t="str">
        <f>IFERROR(__xludf.DUMMYFUNCTION("""COMPUTED_VALUE"""),"NIPS 2018")</f>
        <v>NIPS 2018</v>
      </c>
      <c r="F735">
        <f>IFERROR(__xludf.DUMMYFUNCTION("""COMPUTED_VALUE"""),2019.0)</f>
        <v>2019</v>
      </c>
      <c r="H735" s="3" t="str">
        <f>IFERROR(__xludf.DUMMYFUNCTION("""COMPUTED_VALUE"""),"AN #41")</f>
        <v>AN #41</v>
      </c>
    </row>
    <row r="736">
      <c r="A736" t="str">
        <f>IFERROR(__xludf.DUMMYFUNCTION("""COMPUTED_VALUE"""),"Interpretability")</f>
        <v>Interpretability</v>
      </c>
      <c r="B736" t="str">
        <f>IFERROR(__xludf.DUMMYFUNCTION("""COMPUTED_VALUE"""),"")</f>
        <v/>
      </c>
      <c r="C736" s="3" t="str">
        <f>IFERROR(__xludf.DUMMYFUNCTION("""COMPUTED_VALUE"""),"Sanity Checks for Saliency Maps")</f>
        <v>Sanity Checks for Saliency Maps</v>
      </c>
      <c r="D736" t="str">
        <f>IFERROR(__xludf.DUMMYFUNCTION("""COMPUTED_VALUE"""),"Julius Adebayo, Justin Gilmer, Michael Muelly, Ian Goodfellow, Moritz Hardt, Been Kim")</f>
        <v>Julius Adebayo, Justin Gilmer, Michael Muelly, Ian Goodfellow, Moritz Hardt, Been Kim</v>
      </c>
      <c r="E736" t="str">
        <f>IFERROR(__xludf.DUMMYFUNCTION("""COMPUTED_VALUE"""),"arXiv")</f>
        <v>arXiv</v>
      </c>
      <c r="F736">
        <f>IFERROR(__xludf.DUMMYFUNCTION("""COMPUTED_VALUE"""),2018.0)</f>
        <v>2018</v>
      </c>
      <c r="H736" s="3" t="str">
        <f>IFERROR(__xludf.DUMMYFUNCTION("""COMPUTED_VALUE"""),"AN #29")</f>
        <v>AN #29</v>
      </c>
    </row>
    <row r="737">
      <c r="A737" t="str">
        <f>IFERROR(__xludf.DUMMYFUNCTION("""COMPUTED_VALUE"""),"Interpretability")</f>
        <v>Interpretability</v>
      </c>
      <c r="B737" t="str">
        <f>IFERROR(__xludf.DUMMYFUNCTION("""COMPUTED_VALUE"""),"")</f>
        <v/>
      </c>
      <c r="C737" s="3" t="str">
        <f>IFERROR(__xludf.DUMMYFUNCTION("""COMPUTED_VALUE"""),"Stakeholders in Explainable AI")</f>
        <v>Stakeholders in Explainable AI</v>
      </c>
      <c r="D737" t="str">
        <f>IFERROR(__xludf.DUMMYFUNCTION("""COMPUTED_VALUE"""),"Alun Preece, Dan Harborne, Dave Braines, Richard Tomsett, Supriyo Chakraborty")</f>
        <v>Alun Preece, Dan Harborne, Dave Braines, Richard Tomsett, Supriyo Chakraborty</v>
      </c>
      <c r="E737" t="str">
        <f>IFERROR(__xludf.DUMMYFUNCTION("""COMPUTED_VALUE"""),"arXiv")</f>
        <v>arXiv</v>
      </c>
      <c r="F737">
        <f>IFERROR(__xludf.DUMMYFUNCTION("""COMPUTED_VALUE"""),2018.0)</f>
        <v>2018</v>
      </c>
      <c r="H737" s="3" t="str">
        <f>IFERROR(__xludf.DUMMYFUNCTION("""COMPUTED_VALUE"""),"AN #27")</f>
        <v>AN #27</v>
      </c>
      <c r="I737" t="str">
        <f>IFERROR(__xludf.DUMMYFUNCTION("""COMPUTED_VALUE"""),"Richard")</f>
        <v>Richard</v>
      </c>
      <c r="J737" t="str">
        <f>IFERROR(__xludf.DUMMYFUNCTION("""COMPUTED_VALUE"""),"There are at least four groups for whom ""explainable"" AI is relevant: developers (who want AI to be easier to work with), theorists (who want to understand fundamental properties of AI), ethicists (who want AI to behave well) and users (who want AI to b"&amp;"e useful). This has complicated work on explanability/interpretability: the first two groups focus on understanding how a system functions internally (described in this paper as ""verification""), while the latter two focus on understanding what the syste"&amp;"m does (""validation""). The authors propose an alternative framing of interpretability, based on known knowns, unknown knowns, etc.")</f>
        <v>There are at least four groups for whom "explainable" AI is relevant: developers (who want AI to be easier to work with), theorists (who want to understand fundamental properties of AI), ethicists (who want AI to behave well) and users (who want AI to be useful). This has complicated work on explanability/interpretability: the first two groups focus on understanding how a system functions internally (described in this paper as "verification"), while the latter two focus on understanding what the system does ("validation"). The authors propose an alternative framing of interpretability, based on known knowns, unknown knowns, etc.</v>
      </c>
    </row>
    <row r="738">
      <c r="A738" t="str">
        <f>IFERROR(__xludf.DUMMYFUNCTION("""COMPUTED_VALUE"""),"Interpretability")</f>
        <v>Interpretability</v>
      </c>
      <c r="B738" t="str">
        <f>IFERROR(__xludf.DUMMYFUNCTION("""COMPUTED_VALUE"""),"")</f>
        <v/>
      </c>
      <c r="C738" s="3" t="str">
        <f>IFERROR(__xludf.DUMMYFUNCTION("""COMPUTED_VALUE"""),"Automating Auditing: An ambitious concrete technical research proposal")</f>
        <v>Automating Auditing: An ambitious concrete technical research proposal</v>
      </c>
      <c r="D738" t="str">
        <f>IFERROR(__xludf.DUMMYFUNCTION("""COMPUTED_VALUE"""),"Evan Hubinger")</f>
        <v>Evan Hubinger</v>
      </c>
      <c r="E738" t="str">
        <f>IFERROR(__xludf.DUMMYFUNCTION("""COMPUTED_VALUE"""),"Alignment Forum")</f>
        <v>Alignment Forum</v>
      </c>
      <c r="F738">
        <f>IFERROR(__xludf.DUMMYFUNCTION("""COMPUTED_VALUE"""),2021.0)</f>
        <v>2021</v>
      </c>
      <c r="H738" s="3" t="str">
        <f>IFERROR(__xludf.DUMMYFUNCTION("""COMPUTED_VALUE"""),"AN #162")</f>
        <v>AN #162</v>
      </c>
      <c r="I738" t="str">
        <f>IFERROR(__xludf.DUMMYFUNCTION("""COMPUTED_VALUE"""),"Rohin")</f>
        <v>Rohin</v>
      </c>
      <c r="J738" t="str">
        <f>IFERROR(__xludf.DUMMYFUNCTION("""COMPUTED_VALUE"""),"A core worry with inner alignment is that we cannot determine whether a system is deceptive or not just by inspecting its behavior, since it may simply be behaving well for now in order to wait until a more opportune moment to deceive us. In order for int"&amp;"erpretability to help with such an issue, we need _worst-case_ interpretability that surfaces all the problems in a model. When we hear “worst-case”, we should be thinking of adversaries.
This post considers the _auditing game_, in which an attacker intr"&amp;"oduces a vulnerability in the model to violate some known specification, and the auditor must find and describe the vulnerability given only the modified model (i.e. it does not get to see the original model, or what the adversary did). The attacker aims "&amp;"to produce the largest vulnerability that they can get away with, and the auditor aims to describe the vulnerability as completely as possible. Note that both the attacker and the auditor can be humans (potentially assisted by AI tools). This game forms a"&amp;" good benchmark for worst-case interpretability work.
While the author is excited about direct progress on this game (i.e. better and better human auditors), he is particularly interested in fully _automating_ the auditors. For example, we could collect "&amp;"a dataset of possible attacks and the corresponding desired audit, and finetune a large language model on such a dataset.")</f>
        <v>A core worry with inner alignment is that we cannot determine whether a system is deceptive or not just by inspecting its behavior, since it may simply be behaving well for now in order to wait until a more opportune moment to deceive us. In order for interpretability to help with such an issue, we need _worst-case_ interpretability that surfaces all the problems in a model. When we hear “worst-case”, we should be thinking of adversaries.
This post considers the _auditing game_, in which an attacker introduces a vulnerability in the model to violate some known specification, and the auditor must find and describe the vulnerability given only the modified model (i.e. it does not get to see the original model, or what the adversary did). The attacker aims to produce the largest vulnerability that they can get away with, and the auditor aims to describe the vulnerability as completely as possible. Note that both the attacker and the auditor can be humans (potentially assisted by AI tools). This game forms a good benchmark for worst-case interpretability work.
While the author is excited about direct progress on this game (i.e. better and better human auditors), he is particularly interested in fully _automating_ the auditors. For example, we could collect a dataset of possible attacks and the corresponding desired audit, and finetune a large language model on such a dataset.</v>
      </c>
      <c r="K738" t="str">
        <f>IFERROR(__xludf.DUMMYFUNCTION("""COMPUTED_VALUE"""),"I like the auditing game as a framework for constructing benchmarks for worst-case interpretability -- you can instantiate a particular benchmark by defining a specific adversary (or distribution of adversaries). Automating auditing against a human attack"&amp;"er seems like a good long-term goal, but it seems quite intractable given current capabilities.")</f>
        <v>I like the auditing game as a framework for constructing benchmarks for worst-case interpretability -- you can instantiate a particular benchmark by defining a specific adversary (or distribution of adversaries). Automating auditing against a human attacker seems like a good long-term goal, but it seems quite intractable given current capabilities.</v>
      </c>
    </row>
    <row r="739">
      <c r="A739" t="str">
        <f>IFERROR(__xludf.DUMMYFUNCTION("""COMPUTED_VALUE"""),"Interpretability")</f>
        <v>Interpretability</v>
      </c>
      <c r="B739" t="str">
        <f>IFERROR(__xludf.DUMMYFUNCTION("""COMPUTED_VALUE"""),"")</f>
        <v/>
      </c>
      <c r="C739" s="3" t="str">
        <f>IFERROR(__xludf.DUMMYFUNCTION("""COMPUTED_VALUE"""),"Deep k-Nearest Neighbors: Towards Confident, Interpretable and Robust Deep Learning")</f>
        <v>Deep k-Nearest Neighbors: Towards Confident, Interpretable and Robust Deep Learning</v>
      </c>
      <c r="E739" t="str">
        <f>IFERROR(__xludf.DUMMYFUNCTION("""COMPUTED_VALUE"""),"arXiv")</f>
        <v>arXiv</v>
      </c>
      <c r="H739" s="3" t="str">
        <f>IFERROR(__xludf.DUMMYFUNCTION("""COMPUTED_VALUE"""),"Recon #4")</f>
        <v>Recon #4</v>
      </c>
    </row>
    <row r="740">
      <c r="A740" t="str">
        <f>IFERROR(__xludf.DUMMYFUNCTION("""COMPUTED_VALUE"""),"Interpretability")</f>
        <v>Interpretability</v>
      </c>
      <c r="B740" t="str">
        <f>IFERROR(__xludf.DUMMYFUNCTION("""COMPUTED_VALUE"""),"")</f>
        <v/>
      </c>
      <c r="C740" s="3" t="str">
        <f>IFERROR(__xludf.DUMMYFUNCTION("""COMPUTED_VALUE"""),"Intelligible Artificial Intelligence")</f>
        <v>Intelligible Artificial Intelligence</v>
      </c>
      <c r="E740" t="str">
        <f>IFERROR(__xludf.DUMMYFUNCTION("""COMPUTED_VALUE"""),"2018 ICML Workshop on Human Interpretability in Machine Learning")</f>
        <v>2018 ICML Workshop on Human Interpretability in Machine Learning</v>
      </c>
      <c r="H740" s="3" t="str">
        <f>IFERROR(__xludf.DUMMYFUNCTION("""COMPUTED_VALUE"""),"Recon #4")</f>
        <v>Recon #4</v>
      </c>
    </row>
    <row r="741">
      <c r="A741" t="str">
        <f>IFERROR(__xludf.DUMMYFUNCTION("""COMPUTED_VALUE"""),"Interpretability")</f>
        <v>Interpretability</v>
      </c>
      <c r="B741" t="str">
        <f>IFERROR(__xludf.DUMMYFUNCTION("""COMPUTED_VALUE"""),"")</f>
        <v/>
      </c>
      <c r="C741" s="3" t="str">
        <f>IFERROR(__xludf.DUMMYFUNCTION("""COMPUTED_VALUE"""),"Counterfactual States for Atari Agents via Generative Deep Learning")</f>
        <v>Counterfactual States for Atari Agents via Generative Deep Learning</v>
      </c>
      <c r="D741" t="str">
        <f>IFERROR(__xludf.DUMMYFUNCTION("""COMPUTED_VALUE"""),"Matthew L. Olson, Lawrence Neal, Fuxin Li, Weng-Keen Wong")</f>
        <v>Matthew L. Olson, Lawrence Neal, Fuxin Li, Weng-Keen Wong</v>
      </c>
      <c r="E741" t="str">
        <f>IFERROR(__xludf.DUMMYFUNCTION("""COMPUTED_VALUE"""),"IJCAI XAI Workshop 2019")</f>
        <v>IJCAI XAI Workshop 2019</v>
      </c>
      <c r="F741">
        <f>IFERROR(__xludf.DUMMYFUNCTION("""COMPUTED_VALUE"""),2019.0)</f>
        <v>2019</v>
      </c>
      <c r="H741" s="3" t="str">
        <f>IFERROR(__xludf.DUMMYFUNCTION("""COMPUTED_VALUE"""),"AN #68")</f>
        <v>AN #68</v>
      </c>
    </row>
    <row r="742">
      <c r="A742" t="str">
        <f>IFERROR(__xludf.DUMMYFUNCTION("""COMPUTED_VALUE"""),"Interpretability")</f>
        <v>Interpretability</v>
      </c>
      <c r="B742" t="str">
        <f>IFERROR(__xludf.DUMMYFUNCTION("""COMPUTED_VALUE"""),"")</f>
        <v/>
      </c>
      <c r="C742" s="3" t="str">
        <f>IFERROR(__xludf.DUMMYFUNCTION("""COMPUTED_VALUE"""),"Interpretable Reinforcement Learning with Ensemble Methods")</f>
        <v>Interpretable Reinforcement Learning with Ensemble Methods</v>
      </c>
      <c r="D742" t="str">
        <f>IFERROR(__xludf.DUMMYFUNCTION("""COMPUTED_VALUE"""),"Alexander Brown, Marek Petrik")</f>
        <v>Alexander Brown, Marek Petrik</v>
      </c>
      <c r="E742" t="str">
        <f>IFERROR(__xludf.DUMMYFUNCTION("""COMPUTED_VALUE"""),"arXiv")</f>
        <v>arXiv</v>
      </c>
      <c r="F742">
        <f>IFERROR(__xludf.DUMMYFUNCTION("""COMPUTED_VALUE"""),2018.0)</f>
        <v>2018</v>
      </c>
      <c r="H742" s="3" t="str">
        <f>IFERROR(__xludf.DUMMYFUNCTION("""COMPUTED_VALUE"""),"AN #26")</f>
        <v>AN #26</v>
      </c>
    </row>
    <row r="743">
      <c r="A743" t="str">
        <f>IFERROR(__xludf.DUMMYFUNCTION("""COMPUTED_VALUE"""),"Interpretability")</f>
        <v>Interpretability</v>
      </c>
      <c r="B743" t="str">
        <f>IFERROR(__xludf.DUMMYFUNCTION("""COMPUTED_VALUE"""),"")</f>
        <v/>
      </c>
      <c r="C743" s="3" t="str">
        <f>IFERROR(__xludf.DUMMYFUNCTION("""COMPUTED_VALUE"""),"The What, the Why, and the How of Artificial Explanations in Automated Decision-Making")</f>
        <v>The What, the Why, and the How of Artificial Explanations in Automated Decision-Making</v>
      </c>
      <c r="D743" t="str">
        <f>IFERROR(__xludf.DUMMYFUNCTION("""COMPUTED_VALUE"""),"Tarek R. Besold, Sara L. Uckelman")</f>
        <v>Tarek R. Besold, Sara L. Uckelman</v>
      </c>
      <c r="E743" t="str">
        <f>IFERROR(__xludf.DUMMYFUNCTION("""COMPUTED_VALUE"""),"AAAI-19")</f>
        <v>AAAI-19</v>
      </c>
      <c r="F743">
        <f>IFERROR(__xludf.DUMMYFUNCTION("""COMPUTED_VALUE"""),2018.0)</f>
        <v>2018</v>
      </c>
      <c r="H743" s="3" t="str">
        <f>IFERROR(__xludf.DUMMYFUNCTION("""COMPUTED_VALUE"""),"AN #22")</f>
        <v>AN #22</v>
      </c>
    </row>
    <row r="744">
      <c r="A744" t="str">
        <f>IFERROR(__xludf.DUMMYFUNCTION("""COMPUTED_VALUE"""),"Interpretability")</f>
        <v>Interpretability</v>
      </c>
      <c r="B744" t="str">
        <f>IFERROR(__xludf.DUMMYFUNCTION("""COMPUTED_VALUE"""),"")</f>
        <v/>
      </c>
      <c r="C744" s="3" t="str">
        <f>IFERROR(__xludf.DUMMYFUNCTION("""COMPUTED_VALUE"""),"Learning Explanations from Language Data")</f>
        <v>Learning Explanations from Language Data</v>
      </c>
      <c r="D744" t="str">
        <f>IFERROR(__xludf.DUMMYFUNCTION("""COMPUTED_VALUE"""),"David Harbecke, Robert Schwarzenberg, Christoph Alt")</f>
        <v>David Harbecke, Robert Schwarzenberg, Christoph Alt</v>
      </c>
      <c r="E744" t="str">
        <f>IFERROR(__xludf.DUMMYFUNCTION("""COMPUTED_VALUE"""),"IEEE International Conference on Robotics and Automation (ICRA) 2019")</f>
        <v>IEEE International Conference on Robotics and Automation (ICRA) 2019</v>
      </c>
      <c r="F744">
        <f>IFERROR(__xludf.DUMMYFUNCTION("""COMPUTED_VALUE"""),2018.0)</f>
        <v>2018</v>
      </c>
      <c r="H744" s="3" t="str">
        <f>IFERROR(__xludf.DUMMYFUNCTION("""COMPUTED_VALUE"""),"AN #21")</f>
        <v>AN #21</v>
      </c>
    </row>
    <row r="745">
      <c r="A745" t="str">
        <f>IFERROR(__xludf.DUMMYFUNCTION("""COMPUTED_VALUE"""),"Interpretability")</f>
        <v>Interpretability</v>
      </c>
      <c r="B745" t="str">
        <f>IFERROR(__xludf.DUMMYFUNCTION("""COMPUTED_VALUE"""),"")</f>
        <v/>
      </c>
      <c r="C745" s="3" t="str">
        <f>IFERROR(__xludf.DUMMYFUNCTION("""COMPUTED_VALUE"""),"Contrastive Explanations for Reinforcement Learning in terms of Expected Consequences")</f>
        <v>Contrastive Explanations for Reinforcement Learning in terms of Expected Consequences</v>
      </c>
      <c r="D745" t="str">
        <f>IFERROR(__xludf.DUMMYFUNCTION("""COMPUTED_VALUE"""),"Jasper van der Waa, Jurriaan van Diggelen, Karel van den Bosch, Mark Neerincx")</f>
        <v>Jasper van der Waa, Jurriaan van Diggelen, Karel van den Bosch, Mark Neerincx</v>
      </c>
      <c r="E745" t="str">
        <f>IFERROR(__xludf.DUMMYFUNCTION("""COMPUTED_VALUE"""),"XAI workshop on the IJCAI conference 2018")</f>
        <v>XAI workshop on the IJCAI conference 2018</v>
      </c>
      <c r="F745">
        <f>IFERROR(__xludf.DUMMYFUNCTION("""COMPUTED_VALUE"""),2018.0)</f>
        <v>2018</v>
      </c>
      <c r="H745" s="3" t="str">
        <f>IFERROR(__xludf.DUMMYFUNCTION("""COMPUTED_VALUE"""),"AN #17")</f>
        <v>AN #17</v>
      </c>
      <c r="I745" t="str">
        <f>IFERROR(__xludf.DUMMYFUNCTION("""COMPUTED_VALUE"""),"Rohin")</f>
        <v>Rohin</v>
      </c>
      <c r="J745" t="str">
        <f>IFERROR(__xludf.DUMMYFUNCTION("""COMPUTED_VALUE"""),"This paper aims to provide contrastive explanations for the behavior of an RL agent, meaning that they contrast why the RL agent used one policy instead of another policy. They do this by computing the expected outcomes under the alternate policy, and the"&amp;"n describing the difference between the two. (An outcome is a human-interpretable event -- they assume that they are given a function that maps states to outcomes.)")</f>
        <v>This paper aims to provide contrastive explanations for the behavior of an RL agent, meaning that they contrast why the RL agent used one policy instead of another policy. They do this by computing the expected outcomes under the alternate policy, and then describing the difference between the two. (An outcome is a human-interpretable event -- they assume that they are given a function that maps states to outcomes.)</v>
      </c>
      <c r="K745" t="str">
        <f>IFERROR(__xludf.DUMMYFUNCTION("""COMPUTED_VALUE"""),"I wish that they had let users choose the questions in their user study, rather than just evaluating questions that had been generated by their method where they wrote the alternative policy using template policies they had written. I'd be pretty excited "&amp;"and think it was a good step forward in this area if end users (i.e. not ML researchers) could ask novel contrastive questions (perhaps in some restricted class of questions).")</f>
        <v>I wish that they had let users choose the questions in their user study, rather than just evaluating questions that had been generated by their method where they wrote the alternative policy using template policies they had written. I'd be pretty excited and think it was a good step forward in this area if end users (i.e. not ML researchers) could ask novel contrastive questions (perhaps in some restricted class of questions).</v>
      </c>
    </row>
    <row r="746">
      <c r="A746" t="str">
        <f>IFERROR(__xludf.DUMMYFUNCTION("""COMPUTED_VALUE"""),"Interpretability")</f>
        <v>Interpretability</v>
      </c>
      <c r="B746" t="str">
        <f>IFERROR(__xludf.DUMMYFUNCTION("""COMPUTED_VALUE"""),"")</f>
        <v/>
      </c>
      <c r="C746" s="3" t="str">
        <f>IFERROR(__xludf.DUMMYFUNCTION("""COMPUTED_VALUE"""),"This looks like that: deep learning for interpretable image recognition")</f>
        <v>This looks like that: deep learning for interpretable image recognition</v>
      </c>
      <c r="D746" t="str">
        <f>IFERROR(__xludf.DUMMYFUNCTION("""COMPUTED_VALUE"""),"Chaofan Chen, Oscar Li, Chaofan Tao, Alina Jade Barnett, Jonathan Su, Cynthia Rudin")</f>
        <v>Chaofan Chen, Oscar Li, Chaofan Tao, Alina Jade Barnett, Jonathan Su, Cynthia Rudin</v>
      </c>
      <c r="E746" t="str">
        <f>IFERROR(__xludf.DUMMYFUNCTION("""COMPUTED_VALUE"""),"ICML 2018")</f>
        <v>ICML 2018</v>
      </c>
      <c r="F746">
        <f>IFERROR(__xludf.DUMMYFUNCTION("""COMPUTED_VALUE"""),2018.0)</f>
        <v>2018</v>
      </c>
      <c r="H746" s="3" t="str">
        <f>IFERROR(__xludf.DUMMYFUNCTION("""COMPUTED_VALUE"""),"AN #14")</f>
        <v>AN #14</v>
      </c>
    </row>
    <row r="747">
      <c r="A747" t="str">
        <f>IFERROR(__xludf.DUMMYFUNCTION("""COMPUTED_VALUE"""),"Interpretability")</f>
        <v>Interpretability</v>
      </c>
      <c r="B747" t="str">
        <f>IFERROR(__xludf.DUMMYFUNCTION("""COMPUTED_VALUE"""),"")</f>
        <v/>
      </c>
      <c r="C747" s="3" t="str">
        <f>IFERROR(__xludf.DUMMYFUNCTION("""COMPUTED_VALUE"""),"Interpretable Discovery in Large Image Data Sets")</f>
        <v>Interpretable Discovery in Large Image Data Sets</v>
      </c>
      <c r="D747" t="str">
        <f>IFERROR(__xludf.DUMMYFUNCTION("""COMPUTED_VALUE"""),"Kiri L. Wagstaff, Jake Lee")</f>
        <v>Kiri L. Wagstaff, Jake Lee</v>
      </c>
      <c r="E747" t="str">
        <f>IFERROR(__xludf.DUMMYFUNCTION("""COMPUTED_VALUE"""),"arXiv")</f>
        <v>arXiv</v>
      </c>
      <c r="F747">
        <f>IFERROR(__xludf.DUMMYFUNCTION("""COMPUTED_VALUE"""),2018.0)</f>
        <v>2018</v>
      </c>
      <c r="H747" s="3" t="str">
        <f>IFERROR(__xludf.DUMMYFUNCTION("""COMPUTED_VALUE"""),"AN #13")</f>
        <v>AN #13</v>
      </c>
    </row>
    <row r="748">
      <c r="A748" t="str">
        <f>IFERROR(__xludf.DUMMYFUNCTION("""COMPUTED_VALUE"""),"Interpretability")</f>
        <v>Interpretability</v>
      </c>
      <c r="B748" t="str">
        <f>IFERROR(__xludf.DUMMYFUNCTION("""COMPUTED_VALUE"""),"")</f>
        <v/>
      </c>
      <c r="C748" s="3" t="str">
        <f>IFERROR(__xludf.DUMMYFUNCTION("""COMPUTED_VALUE"""),"Open the Black Box Data-Driven Explanation of Black Box Decision Systems")</f>
        <v>Open the Black Box Data-Driven Explanation of Black Box Decision Systems</v>
      </c>
      <c r="D748" t="str">
        <f>IFERROR(__xludf.DUMMYFUNCTION("""COMPUTED_VALUE"""),"Dino Pedreschi, Fosca Giannotti, Riccardo Guidotti, Anna Monreale, Luca Pappalardo, Salvatore Ruggieri, Franco Turini")</f>
        <v>Dino Pedreschi, Fosca Giannotti, Riccardo Guidotti, Anna Monreale, Luca Pappalardo, Salvatore Ruggieri, Franco Turini</v>
      </c>
      <c r="E748" t="str">
        <f>IFERROR(__xludf.DUMMYFUNCTION("""COMPUTED_VALUE"""),"ICLR 2019")</f>
        <v>ICLR 2019</v>
      </c>
      <c r="F748">
        <f>IFERROR(__xludf.DUMMYFUNCTION("""COMPUTED_VALUE"""),2018.0)</f>
        <v>2018</v>
      </c>
      <c r="H748" s="3" t="str">
        <f>IFERROR(__xludf.DUMMYFUNCTION("""COMPUTED_VALUE"""),"AN #13")</f>
        <v>AN #13</v>
      </c>
    </row>
    <row r="749">
      <c r="A749" t="str">
        <f>IFERROR(__xludf.DUMMYFUNCTION("""COMPUTED_VALUE"""),"Interpretability")</f>
        <v>Interpretability</v>
      </c>
      <c r="B749" t="str">
        <f>IFERROR(__xludf.DUMMYFUNCTION("""COMPUTED_VALUE"""),"")</f>
        <v/>
      </c>
      <c r="C749" s="3" t="str">
        <f>IFERROR(__xludf.DUMMYFUNCTION("""COMPUTED_VALUE"""),"How Can Neural Network Similarity Help Us Understand Training and Generalization?")</f>
        <v>How Can Neural Network Similarity Help Us Understand Training and Generalization?</v>
      </c>
      <c r="D749" t="str">
        <f>IFERROR(__xludf.DUMMYFUNCTION("""COMPUTED_VALUE"""),"Maithra Raghu, Google Brain Team and Ari S. Morcos, DeepMind
")</f>
        <v>Maithra Raghu, Google Brain Team and Ari S. Morcos, DeepMind
</v>
      </c>
      <c r="E749" t="str">
        <f>IFERROR(__xludf.DUMMYFUNCTION("""COMPUTED_VALUE"""),"Google AI Blog")</f>
        <v>Google AI Blog</v>
      </c>
      <c r="F749">
        <f>IFERROR(__xludf.DUMMYFUNCTION("""COMPUTED_VALUE"""),2018.0)</f>
        <v>2018</v>
      </c>
      <c r="H749" s="3" t="str">
        <f>IFERROR(__xludf.DUMMYFUNCTION("""COMPUTED_VALUE"""),"AN #12")</f>
        <v>AN #12</v>
      </c>
    </row>
    <row r="750">
      <c r="A750" t="str">
        <f>IFERROR(__xludf.DUMMYFUNCTION("""COMPUTED_VALUE"""),"Iterated amplification")</f>
        <v>Iterated amplification</v>
      </c>
      <c r="B750" t="str">
        <f>IFERROR(__xludf.DUMMYFUNCTION("""COMPUTED_VALUE"""),"Highlight")</f>
        <v>Highlight</v>
      </c>
      <c r="C750" s="3" t="str">
        <f>IFERROR(__xludf.DUMMYFUNCTION("""COMPUTED_VALUE"""),"Universality and security amplification")</f>
        <v>Universality and security amplification</v>
      </c>
      <c r="D750" t="str">
        <f>IFERROR(__xludf.DUMMYFUNCTION("""COMPUTED_VALUE"""),"Paul Christiano")</f>
        <v>Paul Christiano</v>
      </c>
      <c r="E750" t="str">
        <f>IFERROR(__xludf.DUMMYFUNCTION("""COMPUTED_VALUE"""),"AI Alignment")</f>
        <v>AI Alignment</v>
      </c>
      <c r="F750">
        <f>IFERROR(__xludf.DUMMYFUNCTION("""COMPUTED_VALUE"""),2018.0)</f>
        <v>2018</v>
      </c>
      <c r="H750" s="3" t="str">
        <f>IFERROR(__xludf.DUMMYFUNCTION("""COMPUTED_VALUE"""),"Recon #5")</f>
        <v>Recon #5</v>
      </c>
      <c r="I750" t="str">
        <f>IFERROR(__xludf.DUMMYFUNCTION("""COMPUTED_VALUE"""),"Rohin")</f>
        <v>Rohin</v>
      </c>
      <c r="J750" t="str">
        <f>IFERROR(__xludf.DUMMYFUNCTION("""COMPUTED_VALUE"""),"When you are learning from a source that you can't fully trust (such as humans), one major issue is that the errors that the source makes may be correlated, so you can't just correct for them by averaging over many samples. Paul's overall approach to AI a"&amp;"lignment requires the overseer to be corrigible, but there may be attacks that cause the overseer to behave incorrigibly. This post explains how we might solve this, even though the errors can be correlated. Specifically, we assume that the overseer is co"&amp;"rrigible for queries that are sufficiently low complexity (for some definition of complexity, he gives an example definition). Then, by automatically breaking down an input task into low complexity subqueries (eg. using meta-execution), we can make sure t"&amp;"he overseer always remains corrigible. The post has a lot more detail on each of these points, of course.")</f>
        <v>When you are learning from a source that you can't fully trust (such as humans), one major issue is that the errors that the source makes may be correlated, so you can't just correct for them by averaging over many samples. Paul's overall approach to AI alignment requires the overseer to be corrigible, but there may be attacks that cause the overseer to behave incorrigibly. This post explains how we might solve this, even though the errors can be correlated. Specifically, we assume that the overseer is corrigible for queries that are sufficiently low complexity (for some definition of complexity, he gives an example definition). Then, by automatically breaking down an input task into low complexity subqueries (eg. using meta-execution), we can make sure the overseer always remains corrigible. The post has a lot more detail on each of these points, of course.</v>
      </c>
      <c r="K750" t="str">
        <f>IFERROR(__xludf.DUMMYFUNCTION("""COMPUTED_VALUE"""),"You do need to be familiar with IDA. I found it useful to learn about the particular assumption made (corrigibility for low complexity queries). In addition, this post makes the proof of safety substantially more concrete.")</f>
        <v>You do need to be familiar with IDA. I found it useful to learn about the particular assumption made (corrigibility for low complexity queries). In addition, this post makes the proof of safety substantially more concrete.</v>
      </c>
      <c r="L750" t="str">
        <f>IFERROR(__xludf.DUMMYFUNCTION("""COMPUTED_VALUE"""),"[Corrigibility](https://ai-alignment.com/corrigibility-3039e668638), [Meta-execution](https://ai-alignment.com/meta-execution-27ba9b34d377), [Iterated Distillation and Amplification](https://ai-alignment.com/iterated-distillation-and-amplification-157debf"&amp;"d1616)")</f>
        <v>[Corrigibility](https://ai-alignment.com/corrigibility-3039e668638), [Meta-execution](https://ai-alignment.com/meta-execution-27ba9b34d377), [Iterated Distillation and Amplification](https://ai-alignment.com/iterated-distillation-and-amplification-157debfd1616)</v>
      </c>
    </row>
    <row r="751">
      <c r="A751" t="str">
        <f>IFERROR(__xludf.DUMMYFUNCTION("""COMPUTED_VALUE"""),"Iterated amplification")</f>
        <v>Iterated amplification</v>
      </c>
      <c r="B751" t="str">
        <f>IFERROR(__xludf.DUMMYFUNCTION("""COMPUTED_VALUE"""),"Highlight")</f>
        <v>Highlight</v>
      </c>
      <c r="C751" s="3" t="str">
        <f>IFERROR(__xludf.DUMMYFUNCTION("""COMPUTED_VALUE"""),"Writeup: Progress on AI Safety via Debate")</f>
        <v>Writeup: Progress on AI Safety via Debate</v>
      </c>
      <c r="D751" t="str">
        <f>IFERROR(__xludf.DUMMYFUNCTION("""COMPUTED_VALUE"""),"Beth Barnes, Paul Christiano, Long Ouyang, Geoffrey Irving")</f>
        <v>Beth Barnes, Paul Christiano, Long Ouyang, Geoffrey Irving</v>
      </c>
      <c r="E751" t="str">
        <f>IFERROR(__xludf.DUMMYFUNCTION("""COMPUTED_VALUE"""),"Alignment Forum")</f>
        <v>Alignment Forum</v>
      </c>
      <c r="F751">
        <f>IFERROR(__xludf.DUMMYFUNCTION("""COMPUTED_VALUE"""),2020.0)</f>
        <v>2020</v>
      </c>
      <c r="H751" s="3" t="str">
        <f>IFERROR(__xludf.DUMMYFUNCTION("""COMPUTED_VALUE"""),"AN #86")</f>
        <v>AN #86</v>
      </c>
      <c r="I751" t="str">
        <f>IFERROR(__xludf.DUMMYFUNCTION("""COMPUTED_VALUE"""),"Rohin")</f>
        <v>Rohin</v>
      </c>
      <c r="J751" t="str">
        <f>IFERROR(__xludf.DUMMYFUNCTION("""COMPUTED_VALUE"""),"This post reports on work done on creating a &lt;@debate@&gt;(@AI safety via debate@) setup that works well with human players. In the game, one player is honest (i.e. arguing for the correct answer) and one is malicious (i.e. arguing for some worse answer), an"&amp;"d they play a debate in some format, after which a judge must decide which player won the debate. They are using Thinking Physics questions for these debates, because they involve questions with clear answers that are confusing to most people (the judges)"&amp;" but easy for some experts (the players).
Early freeform text debates did not work very well, even with smart, motivated judges. The malicious player could deflect on questions they didn't want to answer, e.g. by claiming that the question was ambiguous "&amp;"and redirecting attention by asking new questions. In addition, when the malicious player got to go first and give an incorrect ""framework"" for finding the answer, and then made individually true claims to ""fill in"" the framework, it was hard for the "&amp;"honest player to rebut it. So, they moved to a framework without such asymmetries: both players gave a claim (simultaneously), both gave constructive arguments, and both rebutted the other's arguments. In addition, part of the appeal of debate is that the"&amp;" agents can ""zoom in"" on the particular disagreement they have, and the judge need only analyze the smallest disagreement in order to declare an overall winner.
This suggests the following setup: players simultaneously provide an answer supported with "&amp;"subclaims. Then, after looking at the other player's answer and subclaims, they can provide objections (perhaps on particular subclaims, or the overall structure of the argument). Players can concede or challenge objections left by the other player; the d"&amp;"ebate then recurses on one of the challenged objections (currently, the malicious player chooses which claim to recurse on, in order to be conservative). There is a depth limit to the recursion, once it is reached (or if there are no challenged objections"&amp;") the judge is given a transcript of the debate and must declare a winner.
A new problem arises: the malicious player can exploit ambiguity to their advantage. For example, suppose the malicious player is arguing that there are 5 primes between 0 and 10,"&amp;" and makes the subclaims ""there are 3 primes between 0 and 5"" and ""there are 2 primes between 5 and 10"". If challenged on the first, they will say ""the three primes are 2, 3, and 5"", if challenged on the second, they will say ""the two primes are 5 "&amp;"and 7"". While in this simple case the honest player could register a top-level objection claiming that the word ""between"" is ambiguous, and ask for clarification, in general it would be too hard to eliminate all ambiguity.
To mitigate this, the team a"&amp;"dded a method of _cross examination_, in which each player is allowed to ask an earlier version of the other agent a question, and quote its answer as part of the debate transcript. (The post talks about how this can be approximated with humans, but I won"&amp;"'t go into the details.) In the complexity theory analogy, this boosts debate from PSPACE to NEXP. Intuitively, cross examination allows players to force each other to precommit to specific claims and arguments, because if they don't stay consistent in th"&amp;"eir claims and arguments, then their opponent can demonstrate the inconsistency. Now, if the malicious player tries to make an argument that depends on interpreting an ambiguous concept in two different ways, then the honest player can cross examine and a"&amp;"sk which of the two interpretations they mean. If they are inconsistent, that can be demonstrated to the judge; if they consistently answer one way, then the honest player can challenge the part of the argument that depends on the other interpretation.
T"&amp;"hey then identify several open concerns with debate, of which they highlight the long computation problem. This is a problem when you no longer assume that the debaters have optimal play: in this case, the malicious player could create a complicated argum"&amp;"ent that neither debater understands well, that supports the malicious case but that the honest player doesn't know how to refute.")</f>
        <v>This post reports on work done on creating a &lt;@debate@&gt;(@AI safety via debate@) setup that works well with human players. In the game, one player is honest (i.e. arguing for the correct answer) and one is malicious (i.e. arguing for some worse answer), and they play a debate in some format, after which a judge must decide which player won the debate. They are using Thinking Physics questions for these debates, because they involve questions with clear answers that are confusing to most people (the judges) but easy for some experts (the players).
Early freeform text debates did not work very well, even with smart, motivated judges. The malicious player could deflect on questions they didn't want to answer, e.g. by claiming that the question was ambiguous and redirecting attention by asking new questions. In addition, when the malicious player got to go first and give an incorrect "framework" for finding the answer, and then made individually true claims to "fill in" the framework, it was hard for the honest player to rebut it. So, they moved to a framework without such asymmetries: both players gave a claim (simultaneously), both gave constructive arguments, and both rebutted the other's arguments. In addition, part of the appeal of debate is that the agents can "zoom in" on the particular disagreement they have, and the judge need only analyze the smallest disagreement in order to declare an overall winner.
This suggests the following setup: players simultaneously provide an answer supported with subclaims. Then, after looking at the other player's answer and subclaims, they can provide objections (perhaps on particular subclaims, or the overall structure of the argument). Players can concede or challenge objections left by the other player; the debate then recurses on one of the challenged objections (currently, the malicious player chooses which claim to recurse on, in order to be conservative). There is a depth limit to the recursion, once it is reached (or if there are no challenged objections) the judge is given a transcript of the debate and must declare a winner.
A new problem arises: the malicious player can exploit ambiguity to their advantage. For example, suppose the malicious player is arguing that there are 5 primes between 0 and 10, and makes the subclaims "there are 3 primes between 0 and 5" and "there are 2 primes between 5 and 10". If challenged on the first, they will say "the three primes are 2, 3, and 5", if challenged on the second, they will say "the two primes are 5 and 7". While in this simple case the honest player could register a top-level objection claiming that the word "between" is ambiguous, and ask for clarification, in general it would be too hard to eliminate all ambiguity.
To mitigate this, the team added a method of _cross examination_, in which each player is allowed to ask an earlier version of the other agent a question, and quote its answer as part of the debate transcript. (The post talks about how this can be approximated with humans, but I won't go into the details.) In the complexity theory analogy, this boosts debate from PSPACE to NEXP. Intuitively, cross examination allows players to force each other to precommit to specific claims and arguments, because if they don't stay consistent in their claims and arguments, then their opponent can demonstrate the inconsistency. Now, if the malicious player tries to make an argument that depends on interpreting an ambiguous concept in two different ways, then the honest player can cross examine and ask which of the two interpretations they mean. If they are inconsistent, that can be demonstrated to the judge; if they consistently answer one way, then the honest player can challenge the part of the argument that depends on the other interpretation.
They then identify several open concerns with debate, of which they highlight the long computation problem. This is a problem when you no longer assume that the debaters have optimal play: in this case, the malicious player could create a complicated argument that neither debater understands well, that supports the malicious case but that the honest player doesn't know how to refute.</v>
      </c>
      <c r="K751" t="str">
        <f>IFERROR(__xludf.DUMMYFUNCTION("""COMPUTED_VALUE"""),"I enjoyed this a lot: the problems found were crisp and the solutions had good arguments that they actually solved the identified problem. Reading through the actual examples and arguments made me more optimistic about debate in general, mostly from a fel"&amp;"t sense that the actual concrete results were getting closer to matching the theoretical ideal, and that there actually could be reasonable solutions to ""messy"" problems like ambiguity.
The full post has formal explanations and actual examples, which I"&amp;" highly recommend.")</f>
        <v>I enjoyed this a lot: the problems found were crisp and the solutions had good arguments that they actually solved the identified problem. Reading through the actual examples and arguments made me more optimistic about debate in general, mostly from a felt sense that the actual concrete results were getting closer to matching the theoretical ideal, and that there actually could be reasonable solutions to "messy" problems like ambiguity.
The full post has formal explanations and actual examples, which I highly recommend.</v>
      </c>
    </row>
    <row r="752">
      <c r="A752" t="str">
        <f>IFERROR(__xludf.DUMMYFUNCTION("""COMPUTED_VALUE"""),"Iterated amplification")</f>
        <v>Iterated amplification</v>
      </c>
      <c r="B752" t="str">
        <f>IFERROR(__xludf.DUMMYFUNCTION("""COMPUTED_VALUE"""),"Highlight")</f>
        <v>Highlight</v>
      </c>
      <c r="C752" s="3" t="str">
        <f>IFERROR(__xludf.DUMMYFUNCTION("""COMPUTED_VALUE"""),"Evaluating Arguments One Step at a Time")</f>
        <v>Evaluating Arguments One Step at a Time</v>
      </c>
      <c r="D752" t="str">
        <f>IFERROR(__xludf.DUMMYFUNCTION("""COMPUTED_VALUE"""),"Ought")</f>
        <v>Ought</v>
      </c>
      <c r="E752" t="str">
        <f>IFERROR(__xludf.DUMMYFUNCTION("""COMPUTED_VALUE"""),"Ought")</f>
        <v>Ought</v>
      </c>
      <c r="F752">
        <f>IFERROR(__xludf.DUMMYFUNCTION("""COMPUTED_VALUE"""),2020.0)</f>
        <v>2020</v>
      </c>
      <c r="H752" s="3" t="str">
        <f>IFERROR(__xludf.DUMMYFUNCTION("""COMPUTED_VALUE"""),"AN #86")</f>
        <v>AN #86</v>
      </c>
      <c r="I752" t="str">
        <f>IFERROR(__xludf.DUMMYFUNCTION("""COMPUTED_VALUE"""),"Rohin")</f>
        <v>Rohin</v>
      </c>
      <c r="J752" t="str">
        <f>IFERROR(__xludf.DUMMYFUNCTION("""COMPUTED_VALUE"""),"This blog post reports on the results of Ought's experiments with &lt;@factored evaluation@&gt;(@Delegating open-ended cognitive work@) by humans on questions about movie reviews. There are two human players, one honest and one malicious. Half the time, the hon"&amp;"est player chooses a true top-level claim, decomposes it into supporting subclaims up to some depth, and provides supporting quotes for each claim and subclaim. The other half of the time, the malicious player does the same, except they choose a _false_ t"&amp;"op-level claim. In either case, the opposite player then chooses quotes that aim to _refute_ the claims and subclaims. For each claim and subclaim, a new judge evaluates whether that claim is ""valid"" or ""invalid"". If _any_ claim is marked invalid, the"&amp;"n the top-level claim is judged to be false, otherwise it is judged true.
They found that depth 1 and depth 2 trees outperformed depth 0 trees (for which judgments were at about chance). However, they did not perform amazingly well -- with posthoc hyperp"&amp;"arameter tuning, depth 1 and 2 trees got accuracies of 65% and 69% respectively. False positives (accepting false claims) were primarily caused due to malicious claims that couldn't easily be rebutted with the limited budget (but could be rebutted with a "&amp;"larger budget), and individual steps being complex enough that the judge made mistakes. False negatives (rejecting true claims) tend to happen when players choose hard-to-argue true claims, especially ones in which no specific quote clearly supports the c"&amp;"laim, even though the full paragraph supports the claim through its tone and style.
There are several approaches that could theoretically solve these problems, such as increasing the size of claim trees, and improving quality control for judgments (e.g. "&amp;"by aggregating multiple judgments together).")</f>
        <v>This blog post reports on the results of Ought's experiments with &lt;@factored evaluation@&gt;(@Delegating open-ended cognitive work@) by humans on questions about movie reviews. There are two human players, one honest and one malicious. Half the time, the honest player chooses a true top-level claim, decomposes it into supporting subclaims up to some depth, and provides supporting quotes for each claim and subclaim. The other half of the time, the malicious player does the same, except they choose a _false_ top-level claim. In either case, the opposite player then chooses quotes that aim to _refute_ the claims and subclaims. For each claim and subclaim, a new judge evaluates whether that claim is "valid" or "invalid". If _any_ claim is marked invalid, then the top-level claim is judged to be false, otherwise it is judged true.
They found that depth 1 and depth 2 trees outperformed depth 0 trees (for which judgments were at about chance). However, they did not perform amazingly well -- with posthoc hyperparameter tuning, depth 1 and 2 trees got accuracies of 65% and 69% respectively. False positives (accepting false claims) were primarily caused due to malicious claims that couldn't easily be rebutted with the limited budget (but could be rebutted with a larger budget), and individual steps being complex enough that the judge made mistakes. False negatives (rejecting true claims) tend to happen when players choose hard-to-argue true claims, especially ones in which no specific quote clearly supports the claim, even though the full paragraph supports the claim through its tone and style.
There are several approaches that could theoretically solve these problems, such as increasing the size of claim trees, and improving quality control for judgments (e.g. by aggregating multiple judgments together).</v>
      </c>
      <c r="K752" t="str">
        <f>IFERROR(__xludf.DUMMYFUNCTION("""COMPUTED_VALUE"""),"I wouldn't read too much into the low accuracies of the depth 2 trees: it seems quite plausible that this is specific to the movie review setting, and in settings with clearer answers you could do better. Like with the previous post, I found the actual ex"&amp;"amples quite illuminating: it's always interesting to see what happens when theory collides with the real world.")</f>
        <v>I wouldn't read too much into the low accuracies of the depth 2 trees: it seems quite plausible that this is specific to the movie review setting, and in settings with clearer answers you could do better. Like with the previous post, I found the actual examples quite illuminating: it's always interesting to see what happens when theory collides with the real world.</v>
      </c>
    </row>
    <row r="753">
      <c r="A753" t="str">
        <f>IFERROR(__xludf.DUMMYFUNCTION("""COMPUTED_VALUE"""),"Iterated amplification")</f>
        <v>Iterated amplification</v>
      </c>
      <c r="B753" t="str">
        <f>IFERROR(__xludf.DUMMYFUNCTION("""COMPUTED_VALUE"""),"Highlight")</f>
        <v>Highlight</v>
      </c>
      <c r="C753" t="str">
        <f>IFERROR(__xludf.DUMMYFUNCTION("""COMPUTED_VALUE"""),"Introduction to ascription universality")</f>
        <v>Introduction to ascription universality</v>
      </c>
      <c r="D753" t="str">
        <f>IFERROR(__xludf.DUMMYFUNCTION("""COMPUTED_VALUE"""),"Rohin Shah")</f>
        <v>Rohin Shah</v>
      </c>
      <c r="E753" t="str">
        <f>IFERROR(__xludf.DUMMYFUNCTION("""COMPUTED_VALUE"""),"Alignment Newsletter")</f>
        <v>Alignment Newsletter</v>
      </c>
      <c r="F753">
        <f>IFERROR(__xludf.DUMMYFUNCTION("""COMPUTED_VALUE"""),2020.0)</f>
        <v>2020</v>
      </c>
      <c r="H753" s="3" t="str">
        <f>IFERROR(__xludf.DUMMYFUNCTION("""COMPUTED_VALUE"""),"AN #81")</f>
        <v>AN #81</v>
      </c>
      <c r="I753" t="str">
        <f>IFERROR(__xludf.DUMMYFUNCTION("""COMPUTED_VALUE"""),"Rohin")</f>
        <v>Rohin</v>
      </c>
      <c r="J753" t="str">
        <f>IFERROR(__xludf.DUMMYFUNCTION("""COMPUTED_VALUE"""),"Published a year ago, [this](https://ai-alignment.com/towards-formalizing-universality-409ab893a456) [sequence](https://ai-alignment.com/informed-oversight-18fcb5d3d1e1) [of](https://ai-alignment.com/universality-and-model-based-rl-b08701394ddd) [five](ht"&amp;"tps://ai-alignment.com/universality-and-consequentialism-within-hch-c0bee00365bd) [posts](https://ai-alignment.com/training-robust-corrigibility-ce0e0a3b9b4d) introduced the idea of _ascription universality_. I didn't really get it on a first reading, and"&amp;" only recently read it in enough detail that I think I understand the main ideas. This entire newsletter will focus on ascription universality; treat all of it as a ""Highlight"".
The key idea of these posts is that of _universality_: when we can say tha"&amp;"t some agent ""knows everything that any other agent could know"". Of course, there will always be some agent with arbitrarily complex beliefs, but we could hope to have agents that know everything that is known by any agent of some complexity class (e.g."&amp;" agents that run in polynomial time). However, there are still simple programs that can have complex _true_ beliefs: we could make agents that believe that P != NP and that P = NP, and one of those agents will fall into this class. However, these agents a"&amp;"re somewhat degenerate -- they don't have a good reason to _trust_ that their belief is true, and so we don't want to worry about them. Since we want to talk about _justified_ belief, let's consider a property based on which of the two agents _we_ would t"&amp;"rust.
So, for now let's adopt an informal definition: a program A[C] is universal with respect to some class of programs C if we would trust any beliefs reported by A[C], no matter what beliefs we hear reported by programs in C. (I'll talk about the spec"&amp;"ific notion of ""ascription universality"" later.) Notably, we need to trust A[C] even over our own beliefs, that is, if A[C] believes something, we discard our position and adopt A[C]'s belief.
Note that this is still a very strong criterion. Consider t"&amp;"he question of whether AI will lead to x-risk: if one agent thinks about fixed-point theorems, while another studies neural nets, and a third tries to predict the response of democratic institutions, the agent A[C] must compete with _everything_ that thes"&amp;"e agents (justifiably) conclude. For now, let's set aside the question of how to build a universal agent, and instead understand what it enables us to do.")</f>
        <v>Published a year ago, [this](https://ai-alignment.com/towards-formalizing-universality-409ab893a456) [sequence](https://ai-alignment.com/informed-oversight-18fcb5d3d1e1) [of](https://ai-alignment.com/universality-and-model-based-rl-b08701394ddd) [five](https://ai-alignment.com/universality-and-consequentialism-within-hch-c0bee00365bd) [posts](https://ai-alignment.com/training-robust-corrigibility-ce0e0a3b9b4d) introduced the idea of _ascription universality_. I didn't really get it on a first reading, and only recently read it in enough detail that I think I understand the main ideas. This entire newsletter will focus on ascription universality; treat all of it as a "Highlight".
The key idea of these posts is that of _universality_: when we can say that some agent "knows everything that any other agent could know". Of course, there will always be some agent with arbitrarily complex beliefs, but we could hope to have agents that know everything that is known by any agent of some complexity class (e.g. agents that run in polynomial time). However, there are still simple programs that can have complex _true_ beliefs: we could make agents that believe that P != NP and that P = NP, and one of those agents will fall into this class. However, these agents are somewhat degenerate -- they don't have a good reason to _trust_ that their belief is true, and so we don't want to worry about them. Since we want to talk about _justified_ belief, let's consider a property based on which of the two agents _we_ would trust.
So, for now let's adopt an informal definition: a program A[C] is universal with respect to some class of programs C if we would trust any beliefs reported by A[C], no matter what beliefs we hear reported by programs in C. (I'll talk about the specific notion of "ascription universality" later.) Notably, we need to trust A[C] even over our own beliefs, that is, if A[C] believes something, we discard our position and adopt A[C]'s belief.
Note that this is still a very strong criterion. Consider the question of whether AI will lead to x-risk: if one agent thinks about fixed-point theorems, while another studies neural nets, and a third tries to predict the response of democratic institutions, the agent A[C] must compete with _everything_ that these agents (justifiably) conclude. For now, let's set aside the question of how to build a universal agent, and instead understand what it enables us to do.</v>
      </c>
    </row>
    <row r="754">
      <c r="A754" t="str">
        <f>IFERROR(__xludf.DUMMYFUNCTION("""COMPUTED_VALUE"""),"Iterated amplification")</f>
        <v>Iterated amplification</v>
      </c>
      <c r="B754" t="str">
        <f>IFERROR(__xludf.DUMMYFUNCTION("""COMPUTED_VALUE"""),"Highlight")</f>
        <v>Highlight</v>
      </c>
      <c r="C754" s="3" t="str">
        <f>IFERROR(__xludf.DUMMYFUNCTION("""COMPUTED_VALUE"""),"Informed oversight (revisited)")</f>
        <v>Informed oversight (revisited)</v>
      </c>
      <c r="D754" t="str">
        <f>IFERROR(__xludf.DUMMYFUNCTION("""COMPUTED_VALUE"""),"Paul Christiano")</f>
        <v>Paul Christiano</v>
      </c>
      <c r="E754" t="str">
        <f>IFERROR(__xludf.DUMMYFUNCTION("""COMPUTED_VALUE"""),"AI Alignment")</f>
        <v>AI Alignment</v>
      </c>
      <c r="F754">
        <f>IFERROR(__xludf.DUMMYFUNCTION("""COMPUTED_VALUE"""),2019.0)</f>
        <v>2019</v>
      </c>
      <c r="H754" s="3" t="str">
        <f>IFERROR(__xludf.DUMMYFUNCTION("""COMPUTED_VALUE"""),"AN #81")</f>
        <v>AN #81</v>
      </c>
      <c r="I754" t="str">
        <f>IFERROR(__xludf.DUMMYFUNCTION("""COMPUTED_VALUE"""),"Rohin")</f>
        <v>Rohin</v>
      </c>
      <c r="J754" t="str">
        <f>IFERROR(__xludf.DUMMYFUNCTION("""COMPUTED_VALUE"""),"Introduced in [this older post](https://ai-alignment.com/the-informed-oversight-problem-1b51b4f66b35), we consider a setting in which an overseer is training an agent, and the overseer is smarter than the agent. Intuitively, this should work out well, bec"&amp;"ause if the agent ever tries to do something bad, the overseer should notice this (since it is smarter), and penalize it. However, the problem is that the agent might _in the course of computing an answer_ come up with considerations that the overseer can"&amp;"'t easily find. For example, an agent tasked with creating novel literature might end up plagiarizing from one book; the overseer may not be able to search through all the books to detect the plagiarism. However, if the overseer is universal, then it shou"&amp;"ld also know that the agent's output is plagiarized from the book (because the agent knows that), and it can penalize it appropriately.
We can even construct a semi-formal argument (see the post for the math). Let us assume that there is some true utilit"&amp;"y function U, and when the agent takes some action a, the overseer provides it with reward r = E[U(a)], where the expectation is relative to the overseer's beliefs. Let us assume away problems of distribution shift: in particular, we'll assume that when c"&amp;"hoosing between actions a1 and a2, the agent always chooses the action with higher reward. Now suppose that the agent chooses action a1. We can conclude that a1 has higher reward than a2. This means that the observer believes that a1 has higher true utili"&amp;"ty than a2. But by universality, we always trust the observer over the agent and ourselves, and so we must also believe that a1 has higher true utility than a2, which means that we believe the agent is choosing the right action.")</f>
        <v>Introduced in [this older post](https://ai-alignment.com/the-informed-oversight-problem-1b51b4f66b35), we consider a setting in which an overseer is training an agent, and the overseer is smarter than the agent. Intuitively, this should work out well, because if the agent ever tries to do something bad, the overseer should notice this (since it is smarter), and penalize it. However, the problem is that the agent might _in the course of computing an answer_ come up with considerations that the overseer can't easily find. For example, an agent tasked with creating novel literature might end up plagiarizing from one book; the overseer may not be able to search through all the books to detect the plagiarism. However, if the overseer is universal, then it should also know that the agent's output is plagiarized from the book (because the agent knows that), and it can penalize it appropriately.
We can even construct a semi-formal argument (see the post for the math). Let us assume that there is some true utility function U, and when the agent takes some action a, the overseer provides it with reward r = E[U(a)], where the expectation is relative to the overseer's beliefs. Let us assume away problems of distribution shift: in particular, we'll assume that when choosing between actions a1 and a2, the agent always chooses the action with higher reward. Now suppose that the agent chooses action a1. We can conclude that a1 has higher reward than a2. This means that the observer believes that a1 has higher true utility than a2. But by universality, we always trust the observer over the agent and ourselves, and so we must also believe that a1 has higher true utility than a2, which means that we believe the agent is choosing the right action.</v>
      </c>
      <c r="K754" t="str">
        <f>IFERROR(__xludf.DUMMYFUNCTION("""COMPUTED_VALUE"""),"This application of universality is the one I believe the most; even intuitively it seems like the entire informed oversight problem is that the overseer _doesn't_ know everything that the agent knows, and universality straightforwardly fixes that. So I s"&amp;"ee this as the motivating example for caring about universality at all.")</f>
        <v>This application of universality is the one I believe the most; even intuitively it seems like the entire informed oversight problem is that the overseer _doesn't_ know everything that the agent knows, and universality straightforwardly fixes that. So I see this as the motivating example for caring about universality at all.</v>
      </c>
    </row>
    <row r="755">
      <c r="A755" t="str">
        <f>IFERROR(__xludf.DUMMYFUNCTION("""COMPUTED_VALUE"""),"Iterated amplification")</f>
        <v>Iterated amplification</v>
      </c>
      <c r="B755" t="str">
        <f>IFERROR(__xludf.DUMMYFUNCTION("""COMPUTED_VALUE"""),"Highlight")</f>
        <v>Highlight</v>
      </c>
      <c r="C755" s="3" t="str">
        <f>IFERROR(__xludf.DUMMYFUNCTION("""COMPUTED_VALUE"""),"Worst-case guarantees (Revisited)")</f>
        <v>Worst-case guarantees (Revisited)</v>
      </c>
      <c r="D755" t="str">
        <f>IFERROR(__xludf.DUMMYFUNCTION("""COMPUTED_VALUE"""),"Paul Christiano")</f>
        <v>Paul Christiano</v>
      </c>
      <c r="E755" t="str">
        <f>IFERROR(__xludf.DUMMYFUNCTION("""COMPUTED_VALUE"""),"AI Alignment")</f>
        <v>AI Alignment</v>
      </c>
      <c r="F755">
        <f>IFERROR(__xludf.DUMMYFUNCTION("""COMPUTED_VALUE"""),2019.0)</f>
        <v>2019</v>
      </c>
      <c r="H755" s="3" t="str">
        <f>IFERROR(__xludf.DUMMYFUNCTION("""COMPUTED_VALUE"""),"AN #81")</f>
        <v>AN #81</v>
      </c>
      <c r="I755" t="str">
        <f>IFERROR(__xludf.DUMMYFUNCTION("""COMPUTED_VALUE"""),"Rohin")</f>
        <v>Rohin</v>
      </c>
      <c r="J755" t="str">
        <f>IFERROR(__xludf.DUMMYFUNCTION("""COMPUTED_VALUE"""),"Let's start considering distribution shift again: we imagine that the agent has already been trained, and there is no overseer any more. When the agent goes off distribution, it may not choose the action that would have gotten the highest reward, and in f"&amp;"act it could be chosen maliciously. As a silly motivating example, perhaps the agent learned the policy ""behave well until I see that RSA-2048 (a product of two very large primes) has been factored""; such a policy will behave perfectly during training b"&amp;"ut will probably commit a treacherous turn eventually.
In this setting, we would like to have a worst-case guarantee, that the model will never behave unacceptably. However, we need to enforce this guarantee at training time, _before_ we know what situat"&amp;"ions will arise at test time. Universality of the overseer isn't enough to guarantee this, because universality only means that the overseer knows what the agent _currently_ knows; the agent can't really be said to ""know"" that it will deceive us in the "&amp;"future.
Nonetheless, it seems like the solution is very related to universality, in that we would like to ""peer inside"" the agent to figure out how it works, to make sure there aren't situations in which it would behave unacceptably. We could use adver"&amp;"sarial training for this purpose: train an adversary to find inputs on which the model behaves unacceptably, and then train the model on those inputs to not do that. This will require interpretability techniques, so that the adversary actually stands a ch"&amp;"ance of finding the relevant inputs. In order to handle cases like RSA-2048 above, the adversary should also be able to provide ""pseudo-inputs"" like ""the world in which the agent sees that RSA-2048 is factored"" (otherwise the adversary would have to f"&amp;"actor RSA-2048 itself to demonstrate an input on which the agent would fail, which is far too difficult), while not being allowed to provide pseudo-inputs like ""the world in which the agent kills all humans"" (which no agent can behave acceptably on). Ul"&amp;"timately, we need to make sure the adversary will always be able to find a bad pseudo-input if one exists, without making it too difficult for the agent to behave acceptably on all pseudo-inputs. See also &lt;@relaxed adversarial training@&gt;(@Relaxed adversar"&amp;"ial training for inner alignment@).")</f>
        <v>Let's start considering distribution shift again: we imagine that the agent has already been trained, and there is no overseer any more. When the agent goes off distribution, it may not choose the action that would have gotten the highest reward, and in fact it could be chosen maliciously. As a silly motivating example, perhaps the agent learned the policy "behave well until I see that RSA-2048 (a product of two very large primes) has been factored"; such a policy will behave perfectly during training but will probably commit a treacherous turn eventually.
In this setting, we would like to have a worst-case guarantee, that the model will never behave unacceptably. However, we need to enforce this guarantee at training time, _before_ we know what situations will arise at test time. Universality of the overseer isn't enough to guarantee this, because universality only means that the overseer knows what the agent _currently_ knows; the agent can't really be said to "know" that it will deceive us in the future.
Nonetheless, it seems like the solution is very related to universality, in that we would like to "peer inside" the agent to figure out how it works, to make sure there aren't situations in which it would behave unacceptably. We could use adversarial training for this purpose: train an adversary to find inputs on which the model behaves unacceptably, and then train the model on those inputs to not do that. This will require interpretability techniques, so that the adversary actually stands a chance of finding the relevant inputs. In order to handle cases like RSA-2048 above, the adversary should also be able to provide "pseudo-inputs" like "the world in which the agent sees that RSA-2048 is factored" (otherwise the adversary would have to factor RSA-2048 itself to demonstrate an input on which the agent would fail, which is far too difficult), while not being allowed to provide pseudo-inputs like "the world in which the agent kills all humans" (which no agent can behave acceptably on). Ultimately, we need to make sure the adversary will always be able to find a bad pseudo-input if one exists, without making it too difficult for the agent to behave acceptably on all pseudo-inputs. See also &lt;@relaxed adversarial training@&gt;(@Relaxed adversarial training for inner alignment@).</v>
      </c>
      <c r="K755" t="str">
        <f>IFERROR(__xludf.DUMMYFUNCTION("""COMPUTED_VALUE"""),"I was skeptical of the &lt;@previous iteration of this post@&gt;(@Techniques for optimizing worst-case performance@), which proposed adversarial training, verification, and interpretability, because it seemed like none of them would allow us to get a _guarantee"&amp;"_ on performance. I'm significantly more optimistic after reading this post, mainly because a couple of previous confusions have been resolved:
1. The point of verification is not that we can prove a theorem saying ""this agent is beneficial""; the point"&amp;" is that by making _relaxations_ (pseudo-inputs), a technique commonly used in formal verification, we can reduce the burden on the other methods being used (such as adversarial training).
2. Similarly, the point of interpretability is not to help _us_ un"&amp;"derstand what the agent is doing or will do, it's to help the _overseer_ (or adversary in adversarial training) understand that. Unlike us, the overseer / adversary can scale up along with the agent itself.
I still think that it would be hard to get a gu"&amp;"arantee with adversarial training, given that adversarial training has to eliminate _all_ vulnerabilities. On the other hand, it only has to find all of the settings where the agent is _maliciously optimizing against us_, which you might hope is a more na"&amp;"tural category that is easier to identify without looking too much at particular inputs. This seems like an empirical question on which we'll hopefully get data, though even if it works in all cases that we see, that doesn't rule out the possibility that "&amp;"we failed to notice some issue that will only be triggered in the future (as in the RSA-2048 example).")</f>
        <v>I was skeptical of the &lt;@previous iteration of this post@&gt;(@Techniques for optimizing worst-case performance@), which proposed adversarial training, verification, and interpretability, because it seemed like none of them would allow us to get a _guarantee_ on performance. I'm significantly more optimistic after reading this post, mainly because a couple of previous confusions have been resolved:
1. The point of verification is not that we can prove a theorem saying "this agent is beneficial"; the point is that by making _relaxations_ (pseudo-inputs), a technique commonly used in formal verification, we can reduce the burden on the other methods being used (such as adversarial training).
2. Similarly, the point of interpretability is not to help _us_ understand what the agent is doing or will do, it's to help the _overseer_ (or adversary in adversarial training) understand that. Unlike us, the overseer / adversary can scale up along with the agent itself.
I still think that it would be hard to get a guarantee with adversarial training, given that adversarial training has to eliminate _all_ vulnerabilities. On the other hand, it only has to find all of the settings where the agent is _maliciously optimizing against us_, which you might hope is a more natural category that is easier to identify without looking too much at particular inputs. This seems like an empirical question on which we'll hopefully get data, though even if it works in all cases that we see, that doesn't rule out the possibility that we failed to notice some issue that will only be triggered in the future (as in the RSA-2048 example).</v>
      </c>
    </row>
    <row r="756">
      <c r="A756" t="str">
        <f>IFERROR(__xludf.DUMMYFUNCTION("""COMPUTED_VALUE"""),"Iterated amplification")</f>
        <v>Iterated amplification</v>
      </c>
      <c r="B756" t="str">
        <f>IFERROR(__xludf.DUMMYFUNCTION("""COMPUTED_VALUE"""),"Highlight")</f>
        <v>Highlight</v>
      </c>
      <c r="C756" s="3" t="str">
        <f>IFERROR(__xludf.DUMMYFUNCTION("""COMPUTED_VALUE"""),"Universality and model-based RL")</f>
        <v>Universality and model-based RL</v>
      </c>
      <c r="D756" t="str">
        <f>IFERROR(__xludf.DUMMYFUNCTION("""COMPUTED_VALUE"""),"Paul Christiano")</f>
        <v>Paul Christiano</v>
      </c>
      <c r="E756" t="str">
        <f>IFERROR(__xludf.DUMMYFUNCTION("""COMPUTED_VALUE"""),"AI Alignment")</f>
        <v>AI Alignment</v>
      </c>
      <c r="F756">
        <f>IFERROR(__xludf.DUMMYFUNCTION("""COMPUTED_VALUE"""),2019.0)</f>
        <v>2019</v>
      </c>
      <c r="H756" s="3" t="str">
        <f>IFERROR(__xludf.DUMMYFUNCTION("""COMPUTED_VALUE"""),"AN #81")</f>
        <v>AN #81</v>
      </c>
      <c r="I756" t="str">
        <f>IFERROR(__xludf.DUMMYFUNCTION("""COMPUTED_VALUE"""),"Rohin")</f>
        <v>Rohin</v>
      </c>
      <c r="J756" t="str">
        <f>IFERROR(__xludf.DUMMYFUNCTION("""COMPUTED_VALUE"""),"So far, we've been talking about the model-free setting, where the overseer provides the incentives. What about model-based RL? Here, we might want to learn separate distributions over models and utility functions using iterated amplification or HCH, and "&amp;"then plan using any off-the-shelf algorithm, such as MCTS. The first new problem that arises is that our distribution over models may be malicious (see [benign induction](https://agentfoundations.org/item?id=1263)). Using universality, we can solve this p"&amp;"roblem in two different ways. First, we could use HCH to filter out malicious models. By universality, since a malicious model knows what its goals are, so does HCH, and thus HCH will detect it. Second, we could ask HCH to give us a good prior over models"&amp;". By universality, this prior over models must be better than the prior used by the malicious models, and so the malicious models' predictions will be worse than that of HCH as a whole, and so the malicious models will not be able to affect the computatio"&amp;"n much.
The second new problem in the model-based setting is that it isn't clear how our utility function can extract all the relevant information from the model. For example, if the model is a detailed simulation of physics, how do you find the ""humans"&amp;""" and evaluate how ""happy"" they are? Universality is at least necessary for this: if there are facts the model ""knows"", those facts may be relevant to the utility calculation, and so the utility function also needs to know them. We might hope that un"&amp;"iversality is sufficient: in the previous case, we might think that the physics simulation ""knows"" whether humans are happy. But this depends on details of what ""know"" means that haven't yet been fleshed out, and it depends on what ""kind"" of univers"&amp;"ality we can achieve in practice.")</f>
        <v>So far, we've been talking about the model-free setting, where the overseer provides the incentives. What about model-based RL? Here, we might want to learn separate distributions over models and utility functions using iterated amplification or HCH, and then plan using any off-the-shelf algorithm, such as MCTS. The first new problem that arises is that our distribution over models may be malicious (see [benign induction](https://agentfoundations.org/item?id=1263)). Using universality, we can solve this problem in two different ways. First, we could use HCH to filter out malicious models. By universality, since a malicious model knows what its goals are, so does HCH, and thus HCH will detect it. Second, we could ask HCH to give us a good prior over models. By universality, this prior over models must be better than the prior used by the malicious models, and so the malicious models' predictions will be worse than that of HCH as a whole, and so the malicious models will not be able to affect the computation much.
The second new problem in the model-based setting is that it isn't clear how our utility function can extract all the relevant information from the model. For example, if the model is a detailed simulation of physics, how do you find the "humans" and evaluate how "happy" they are? Universality is at least necessary for this: if there are facts the model "knows", those facts may be relevant to the utility calculation, and so the utility function also needs to know them. We might hope that universality is sufficient: in the previous case, we might think that the physics simulation "knows" whether humans are happy. But this depends on details of what "know" means that haven't yet been fleshed out, and it depends on what "kind" of universality we can achieve in practice.</v>
      </c>
    </row>
    <row r="757">
      <c r="A757" t="str">
        <f>IFERROR(__xludf.DUMMYFUNCTION("""COMPUTED_VALUE"""),"Iterated amplification")</f>
        <v>Iterated amplification</v>
      </c>
      <c r="B757" t="str">
        <f>IFERROR(__xludf.DUMMYFUNCTION("""COMPUTED_VALUE"""),"Highlight")</f>
        <v>Highlight</v>
      </c>
      <c r="C757" s="3" t="str">
        <f>IFERROR(__xludf.DUMMYFUNCTION("""COMPUTED_VALUE"""),"Universality and consequentialism within HCH")</f>
        <v>Universality and consequentialism within HCH</v>
      </c>
      <c r="D757" t="str">
        <f>IFERROR(__xludf.DUMMYFUNCTION("""COMPUTED_VALUE"""),"Paul Christiano")</f>
        <v>Paul Christiano</v>
      </c>
      <c r="E757" t="str">
        <f>IFERROR(__xludf.DUMMYFUNCTION("""COMPUTED_VALUE"""),"AI Alignment")</f>
        <v>AI Alignment</v>
      </c>
      <c r="F757">
        <f>IFERROR(__xludf.DUMMYFUNCTION("""COMPUTED_VALUE"""),2019.0)</f>
        <v>2019</v>
      </c>
      <c r="H757" s="3" t="str">
        <f>IFERROR(__xludf.DUMMYFUNCTION("""COMPUTED_VALUE"""),"AN #81")</f>
        <v>AN #81</v>
      </c>
      <c r="I757" t="str">
        <f>IFERROR(__xludf.DUMMYFUNCTION("""COMPUTED_VALUE"""),"Rohin")</f>
        <v>Rohin</v>
      </c>
      <c r="J757" t="str">
        <f>IFERROR(__xludf.DUMMYFUNCTION("""COMPUTED_VALUE"""),"In all the settings discussed so far, we hope to use &lt;@HCH@&gt;(@Humans Consulting HCH@). What if HCH itself contains malicious optimization? Specifically, recall that HCH involves an arbitrarily large tree of humans breaking questions down into subquestions"&amp;". Memetic selection on 10^100 humans should be _much_ stronger than the selection done by evolution to produce us, and so could be quite dangerous. We would like to use HCH to check whether its own computations are malicious.
So, we'll define a pair of m"&amp;"utually recursive functions, Filter and Filtered-HCH. Filter takes as input a transcript from HCH, and using filtered-HCH it finds the best argument suggesting that the transcript is problematic. It then uses filtered-HCH to ask whether, in light of this "&amp;"argument, the transcript should be treated as problematic. This check is repeated thrice for robustness. (Note that the original HCH treats the transcript as trusted computations, while the checker treats it as an untrusted input.) Filtered-HCH has the sa"&amp;"me type signature as HCH (i.e. it produces answers to questions). Just like HCH, it computes an answer to the question, with the help of recursive calls to filtered-HCH to get answers to subquestions. Instead of returning the answer directly, it calls Fil"&amp;"ter to check that the computation done was problematic, and returns the special symbol ⟂ instead of the answer if so.
The basic hope is that if there's some malicious subcomputation implemented ""on top of"" the base agents in HCH, and it tries to break "&amp;"HCH, then it ""knows"" why that attempt could work, and so if filtered-HCH is universal with respect to computations that can be instantiated by (smaller versions of) HCH, then filtered-HCH will also ""know"" that the computation could break HCH, and will"&amp;" censor it as a result. Consider the threat model from &lt;@Reliability amplification@&gt;, where the chance of any particular HCH computation with budget n becoming malicious is ε, independent of the input or any past HCH calls. Then, intuitively, filtered-HCH"&amp;" (which needs a higher budget, say kn) has a kε chance of becoming malicious, but since the check is repeated three times and a majority vote is taken, the chance of a malicious computation getting through is k^2ε^2, which will be much smaller than the or"&amp;"iginal ε if k^2 ε &lt;&lt; 1. (This is significantly better than the scheme in &lt;@Reliability amplification@&gt;, because the question ""is there a problem?"" is a binary yes/no question, and so majority vote works a lot better.) The harder case is when specific in"&amp;"puts cause very high probabilities of failure (which I believe is the threat model from &lt;@Security amplification@&gt;). I particularly don't understand this section, but I believe the hope is that since the malicious computation is implemented ""on top of"" "&amp;"the (aligned) humans, only a small ""part"" of the computation can be malicious, and this can be detected by a _small_ instance of Filtered-HCH on which the malicious computation cannot be implemented.")</f>
        <v>In all the settings discussed so far, we hope to use &lt;@HCH@&gt;(@Humans Consulting HCH@). What if HCH itself contains malicious optimization? Specifically, recall that HCH involves an arbitrarily large tree of humans breaking questions down into subquestions. Memetic selection on 10^100 humans should be _much_ stronger than the selection done by evolution to produce us, and so could be quite dangerous. We would like to use HCH to check whether its own computations are malicious.
So, we'll define a pair of mutually recursive functions, Filter and Filtered-HCH. Filter takes as input a transcript from HCH, and using filtered-HCH it finds the best argument suggesting that the transcript is problematic. It then uses filtered-HCH to ask whether, in light of this argument, the transcript should be treated as problematic. This check is repeated thrice for robustness. (Note that the original HCH treats the transcript as trusted computations, while the checker treats it as an untrusted input.) Filtered-HCH has the same type signature as HCH (i.e. it produces answers to questions). Just like HCH, it computes an answer to the question, with the help of recursive calls to filtered-HCH to get answers to subquestions. Instead of returning the answer directly, it calls Filter to check that the computation done was problematic, and returns the special symbol ⟂ instead of the answer if so.
The basic hope is that if there's some malicious subcomputation implemented "on top of" the base agents in HCH, and it tries to break HCH, then it "knows" why that attempt could work, and so if filtered-HCH is universal with respect to computations that can be instantiated by (smaller versions of) HCH, then filtered-HCH will also "know" that the computation could break HCH, and will censor it as a result. Consider the threat model from &lt;@Reliability amplification@&gt;, where the chance of any particular HCH computation with budget n becoming malicious is ε, independent of the input or any past HCH calls. Then, intuitively, filtered-HCH (which needs a higher budget, say kn) has a kε chance of becoming malicious, but since the check is repeated three times and a majority vote is taken, the chance of a malicious computation getting through is k^2ε^2, which will be much smaller than the original ε if k^2 ε &lt;&lt; 1. (This is significantly better than the scheme in &lt;@Reliability amplification@&gt;, because the question "is there a problem?" is a binary yes/no question, and so majority vote works a lot better.) The harder case is when specific inputs cause very high probabilities of failure (which I believe is the threat model from &lt;@Security amplification@&gt;). I particularly don't understand this section, but I believe the hope is that since the malicious computation is implemented "on top of" the (aligned) humans, only a small "part" of the computation can be malicious, and this can be detected by a _small_ instance of Filtered-HCH on which the malicious computation cannot be implemented.</v>
      </c>
      <c r="K757" t="str">
        <f>IFERROR(__xludf.DUMMYFUNCTION("""COMPUTED_VALUE"""),"I don't understand this post that well, so I'll refrain from opining on it. I think I would benefit from a more concrete example of how malicious optimization could be implemented ""on top of"" HCH, even when the humans are restricted to a small set of in"&amp;"puts on which they are ""secure"".")</f>
        <v>I don't understand this post that well, so I'll refrain from opining on it. I think I would benefit from a more concrete example of how malicious optimization could be implemented "on top of" HCH, even when the humans are restricted to a small set of inputs on which they are "secure".</v>
      </c>
    </row>
    <row r="758">
      <c r="A758" t="str">
        <f>IFERROR(__xludf.DUMMYFUNCTION("""COMPUTED_VALUE"""),"Iterated amplification")</f>
        <v>Iterated amplification</v>
      </c>
      <c r="B758" t="str">
        <f>IFERROR(__xludf.DUMMYFUNCTION("""COMPUTED_VALUE"""),"Highlight")</f>
        <v>Highlight</v>
      </c>
      <c r="C758" s="3" t="str">
        <f>IFERROR(__xludf.DUMMYFUNCTION("""COMPUTED_VALUE"""),"Towards formalizing universality")</f>
        <v>Towards formalizing universality</v>
      </c>
      <c r="D758" t="str">
        <f>IFERROR(__xludf.DUMMYFUNCTION("""COMPUTED_VALUE"""),"Paul Christiano")</f>
        <v>Paul Christiano</v>
      </c>
      <c r="E758" t="str">
        <f>IFERROR(__xludf.DUMMYFUNCTION("""COMPUTED_VALUE"""),"AI Alignment")</f>
        <v>AI Alignment</v>
      </c>
      <c r="F758">
        <f>IFERROR(__xludf.DUMMYFUNCTION("""COMPUTED_VALUE"""),2019.0)</f>
        <v>2019</v>
      </c>
      <c r="H758" s="3" t="str">
        <f>IFERROR(__xludf.DUMMYFUNCTION("""COMPUTED_VALUE"""),"AN #81")</f>
        <v>AN #81</v>
      </c>
      <c r="I758" t="str">
        <f>IFERROR(__xludf.DUMMYFUNCTION("""COMPUTED_VALUE"""),"Rohin")</f>
        <v>Rohin</v>
      </c>
      <c r="J758" t="str">
        <f>IFERROR(__xludf.DUMMYFUNCTION("""COMPUTED_VALUE"""),"We've now seen a bunch of applications of universality. So what is _ascription_ universality? It's a specific formalization of the concept of universality. Recall our informal definition so far: a program A[C] is universal with respect to some class of pr"&amp;"ograms C if we would trust any beliefs reported by A[C], no matter what beliefs we hear reported by programs in C. But how can a program ""report beliefs""? For HCH, to find out its belief for some question, we simply ask HCH the question and take its ans"&amp;"wer as its ""belief"". However, we can't do this for arbitrary computations: in particular, if our agent is deliberately hiding a belief from us (and so wouldn't report it if asked), we shouldn't simply say that it doesn't have that belief. This is where "&amp;"_ascriptions_ come in: an ascription is any way of ascribing beliefs to the agent. Simply asking the agent and trusting its answer is one possible ascription. Another class of ascriptions would look at the agent's code and memory, and make inferences abou"&amp;"t the agent's beliefs from that. We want to say that HCH will dominate _any_ ""reasonable"" ascription of beliefs to the agent, where an ascription procedure is ""reasonable"" if it isn't ""doing the hard work""; for example, if an agent always says ""Yes"&amp;""", it is unreasonable to ascribe to it the belief that Fermat's Last Theorem is true (even though when given the question ""Is Fermat's Last Theorem true"" it answers yes).
Putting it all together, A[C] is _ascription universal_ with respect to some cla"&amp;"ss of programs C if, for every ""reasonable"" ascription procedure and program c in C, A[C]'s beliefs (which we find by asking it) _epistemically dominate_ the beliefs ascribed to c. A set of beliefs B1 _epistemically dominates_ another set of beliefs B2 "&amp;"_from our perspective_ if, given arbitrary information about B1 and B2, for every question our best guess at the answer is what we expect B1 would answer.
So far we've been talking about A[C] dominating an entire class of programs C. We might call this _"&amp;"idealized_ ascription universality, and hope that it applies to systems with perfect optimization, such as &lt;@debate@&gt;(@AI safety via debate@) under optimal play. In practice, we'll never get perfect optimization, and our overseer isn't going to be able to"&amp;" think of _everything_ that any agent could be thinking about. Instead, we could aim for _practical_ ascription universality, in which A[c] dominates a particular computation c, and it gets to look at the computation c as a hint. This would allow an overs"&amp;"eer to train an agent, while epistemically dominating that agent. Effectively we're asking two questions: first, would our procedure be universal if the optimization was performed perfectly? Second, is weight sharing / interpretability strong enough to so"&amp;"lve the optimization problems needed for universality?
The blog post also has some informal thoughts on why we should expect that a careful Bayesian should be able to epistemically dominate computations found via machine learning (which is why we might h"&amp;"ope that HCH could be ascription universal).")</f>
        <v>We've now seen a bunch of applications of universality. So what is _ascription_ universality? It's a specific formalization of the concept of universality. Recall our informal definition so far: a program A[C] is universal with respect to some class of programs C if we would trust any beliefs reported by A[C], no matter what beliefs we hear reported by programs in C. But how can a program "report beliefs"? For HCH, to find out its belief for some question, we simply ask HCH the question and take its answer as its "belief". However, we can't do this for arbitrary computations: in particular, if our agent is deliberately hiding a belief from us (and so wouldn't report it if asked), we shouldn't simply say that it doesn't have that belief. This is where _ascriptions_ come in: an ascription is any way of ascribing beliefs to the agent. Simply asking the agent and trusting its answer is one possible ascription. Another class of ascriptions would look at the agent's code and memory, and make inferences about the agent's beliefs from that. We want to say that HCH will dominate _any_ "reasonable" ascription of beliefs to the agent, where an ascription procedure is "reasonable" if it isn't "doing the hard work"; for example, if an agent always says "Yes", it is unreasonable to ascribe to it the belief that Fermat's Last Theorem is true (even though when given the question "Is Fermat's Last Theorem true" it answers yes).
Putting it all together, A[C] is _ascription universal_ with respect to some class of programs C if, for every "reasonable" ascription procedure and program c in C, A[C]'s beliefs (which we find by asking it) _epistemically dominate_ the beliefs ascribed to c. A set of beliefs B1 _epistemically dominates_ another set of beliefs B2 _from our perspective_ if, given arbitrary information about B1 and B2, for every question our best guess at the answer is what we expect B1 would answer.
So far we've been talking about A[C] dominating an entire class of programs C. We might call this _idealized_ ascription universality, and hope that it applies to systems with perfect optimization, such as &lt;@debate@&gt;(@AI safety via debate@) under optimal play. In practice, we'll never get perfect optimization, and our overseer isn't going to be able to think of _everything_ that any agent could be thinking about. Instead, we could aim for _practical_ ascription universality, in which A[c] dominates a particular computation c, and it gets to look at the computation c as a hint. This would allow an overseer to train an agent, while epistemically dominating that agent. Effectively we're asking two questions: first, would our procedure be universal if the optimization was performed perfectly? Second, is weight sharing / interpretability strong enough to solve the optimization problems needed for universality?
The blog post also has some informal thoughts on why we should expect that a careful Bayesian should be able to epistemically dominate computations found via machine learning (which is why we might hope that HCH could be ascription universal).</v>
      </c>
      <c r="K758" t="str">
        <f>IFERROR(__xludf.DUMMYFUNCTION("""COMPUTED_VALUE"""),"I was initially a bit confused by the decomposition into the idealized and the practical variant, but I think it makes more sense now: the assumption of _perfect_ optimization gives you a lot of mileage. For example, A[C] might choose a particular computa"&amp;"tion c in C, and then use its beliefs; if that _choice of computation_ were already ""perfectly optimized"" for convincing us, then we would always be at least as convinced of A[C]'s answer as the answer of any other c in C. Debate under optimal play is p"&amp;"retty similar: under optimal play, the agent only tells us about the most important considerations, and only brings up other considerations if its opponent asks about them; you would hope that this is like selecting the best c in C and reporting its reaso"&amp;"ns for its beliefs.
What's happening here is that the perfect optimization allows us to select the best c in C, or the best argument, etc. ""for free"" (i.e. without using any computation), giving us huge savings; everything else just has to present the "&amp;"results properly. Consider again the question of whether AI will lead to x-risk: while there are different agents thinking about fixed-point theorems, neural nets, and democratic institutions, perfect optimization lets us ""pick"" the agent whose argument"&amp;"s are most important. Then, we should only need about as much computation as the agent itself.
However, ""presenting the results properly"" is non-trivial: A[C] needs to report the beliefs _in plain English_, even if the computation c in C has its belief"&amp;"s ""encoded"" (as in the case of a detailed physics simulation that can be said to ""know"" that humans are happy, but doesn't say that in plain English). It's not clear to me whether this will work out.
You might very reasonably be worried that perfect "&amp;"optimization of ""the most convincing argument"" will get you something that is convincing for the wrong reasons, and is not actually correlated with the truth. The definition of universality doesn't preclude this: it simply says that we trust A[C]'s beli"&amp;"efs over our own beliefs and any other agent's beliefs; this does hold for convincing but invalid arguments. I believe (but am not sure) that the hope is to deal with this by restricting inputs to the human to a small secure space, and by the techniques d"&amp;"iscussed above in [Universality and consequentialism within HCH](https://ai-alignment.com/universality-and-consequentialism-within-hch-c0bee00365bd).")</f>
        <v>I was initially a bit confused by the decomposition into the idealized and the practical variant, but I think it makes more sense now: the assumption of _perfect_ optimization gives you a lot of mileage. For example, A[C] might choose a particular computation c in C, and then use its beliefs; if that _choice of computation_ were already "perfectly optimized" for convincing us, then we would always be at least as convinced of A[C]'s answer as the answer of any other c in C. Debate under optimal play is pretty similar: under optimal play, the agent only tells us about the most important considerations, and only brings up other considerations if its opponent asks about them; you would hope that this is like selecting the best c in C and reporting its reasons for its beliefs.
What's happening here is that the perfect optimization allows us to select the best c in C, or the best argument, etc. "for free" (i.e. without using any computation), giving us huge savings; everything else just has to present the results properly. Consider again the question of whether AI will lead to x-risk: while there are different agents thinking about fixed-point theorems, neural nets, and democratic institutions, perfect optimization lets us "pick" the agent whose arguments are most important. Then, we should only need about as much computation as the agent itself.
However, "presenting the results properly" is non-trivial: A[C] needs to report the beliefs _in plain English_, even if the computation c in C has its beliefs "encoded" (as in the case of a detailed physics simulation that can be said to "know" that humans are happy, but doesn't say that in plain English). It's not clear to me whether this will work out.
You might very reasonably be worried that perfect optimization of "the most convincing argument" will get you something that is convincing for the wrong reasons, and is not actually correlated with the truth. The definition of universality doesn't preclude this: it simply says that we trust A[C]'s beliefs over our own beliefs and any other agent's beliefs; this does hold for convincing but invalid arguments. I believe (but am not sure) that the hope is to deal with this by restricting inputs to the human to a small secure space, and by the techniques discussed above in [Universality and consequentialism within HCH](https://ai-alignment.com/universality-and-consequentialism-within-hch-c0bee00365bd).</v>
      </c>
    </row>
    <row r="759">
      <c r="A759" t="str">
        <f>IFERROR(__xludf.DUMMYFUNCTION("""COMPUTED_VALUE"""),"Iterated amplification")</f>
        <v>Iterated amplification</v>
      </c>
      <c r="B759" t="str">
        <f>IFERROR(__xludf.DUMMYFUNCTION("""COMPUTED_VALUE"""),"Highlight")</f>
        <v>Highlight</v>
      </c>
      <c r="C759" s="3" t="str">
        <f>IFERROR(__xludf.DUMMYFUNCTION("""COMPUTED_VALUE"""),"Challenges to Christiano’s capability amplification proposal")</f>
        <v>Challenges to Christiano’s capability amplification proposal</v>
      </c>
      <c r="D759" t="str">
        <f>IFERROR(__xludf.DUMMYFUNCTION("""COMPUTED_VALUE"""),"Eliezer Yudkowsky")</f>
        <v>Eliezer Yudkowsky</v>
      </c>
      <c r="E759" t="str">
        <f>IFERROR(__xludf.DUMMYFUNCTION("""COMPUTED_VALUE"""),"LessWrong")</f>
        <v>LessWrong</v>
      </c>
      <c r="F759">
        <f>IFERROR(__xludf.DUMMYFUNCTION("""COMPUTED_VALUE"""),2018.0)</f>
        <v>2018</v>
      </c>
      <c r="H759" s="3" t="str">
        <f>IFERROR(__xludf.DUMMYFUNCTION("""COMPUTED_VALUE"""),"AN #7")</f>
        <v>AN #7</v>
      </c>
      <c r="I759" t="str">
        <f>IFERROR(__xludf.DUMMYFUNCTION("""COMPUTED_VALUE"""),"Rohin")</f>
        <v>Rohin</v>
      </c>
      <c r="J759" t="str">
        <f>IFERROR(__xludf.DUMMYFUNCTION("""COMPUTED_VALUE"""),"A list of challenges faced by iterated distillation and amplification. First, a collection of aligned agents interacting does not necessarily lead to aligned behavior. (Paul's response: That's not the reason for optimism, it's more that there is no optimi"&amp;"zation pressure to be unaligned.) Second, it's unclear that even with high bandwidth oversight, that a collection of agents could reach arbitrary levels of capability. For example, how could agents with an understanding of arithmetic invent Hessian-free o"&amp;"ptimization? (Paul's response: This is an empirical disagreement, hopefully it can be resolved with experiments.) Third, while it is true that exact imitation of a human would avoid the issues of RL, it is harder to create exact imitation than to create s"&amp;"uperintelligence, and as soon as you have any imperfection in your imitation of a human, you very quickly get back the problems of RL. (Paul’s response: He's not aiming for exact imitation, he wants to deal with this problem by having a strong overseer ak"&amp;"a informed oversight, and by having techniques that optimize worst-case performance.) Fourth, since Paul wants to use big unaligned neural nets to imitate humans, we have to worry about the possibility of adversarial behavior. He has suggested using large"&amp;" ensembles of agents and detecting and pruning the ones that are adversarial. However, this would require millions of samples per unaligned agent, which is prohibitively expensive. (Paul's response: He's no longer optimistic about ensembles and instead pr"&amp;"efers the techniques in [this post](https://ai-alignment.com/techniques-for-optimizing-worst-case-performance-39eafec74b99), but he could see ways of reducing the sample complexity further.)")</f>
        <v>A list of challenges faced by iterated distillation and amplification. First, a collection of aligned agents interacting does not necessarily lead to aligned behavior. (Paul's response: That's not the reason for optimism, it's more that there is no optimization pressure to be unaligned.) Second, it's unclear that even with high bandwidth oversight, that a collection of agents could reach arbitrary levels of capability. For example, how could agents with an understanding of arithmetic invent Hessian-free optimization? (Paul's response: This is an empirical disagreement, hopefully it can be resolved with experiments.) Third, while it is true that exact imitation of a human would avoid the issues of RL, it is harder to create exact imitation than to create superintelligence, and as soon as you have any imperfection in your imitation of a human, you very quickly get back the problems of RL. (Paul’s response: He's not aiming for exact imitation, he wants to deal with this problem by having a strong overseer aka informed oversight, and by having techniques that optimize worst-case performance.) Fourth, since Paul wants to use big unaligned neural nets to imitate humans, we have to worry about the possibility of adversarial behavior. He has suggested using large ensembles of agents and detecting and pruning the ones that are adversarial. However, this would require millions of samples per unaligned agent, which is prohibitively expensive. (Paul's response: He's no longer optimistic about ensembles and instead prefers the techniques in [this post](https://ai-alignment.com/techniques-for-optimizing-worst-case-performance-39eafec74b99), but he could see ways of reducing the sample complexity further.)</v>
      </c>
      <c r="K759" t="str">
        <f>IFERROR(__xludf.DUMMYFUNCTION("""COMPUTED_VALUE"""),"Of all of these, I'm most worried about the second and third problems. I definitely have a weak intuition that there are many important tasks that we care about that can't easily be decomposed, but I'm optimistic that we can find out with experiments. For"&amp;" the point about having to train a by-default unaligned neural net to imitate aligned agents, I'm somewhat optimistic about informed oversight with strong interpretability techniques, but I become a lot less optimistic if we think that won't be enough and"&amp;" need to use other techniques like verification, which seem unlikely to scale that far. In any case, I'd recommend reading this post for a good explanation of common critiques of IDA.")</f>
        <v>Of all of these, I'm most worried about the second and third problems. I definitely have a weak intuition that there are many important tasks that we care about that can't easily be decomposed, but I'm optimistic that we can find out with experiments. For the point about having to train a by-default unaligned neural net to imitate aligned agents, I'm somewhat optimistic about informed oversight with strong interpretability techniques, but I become a lot less optimistic if we think that won't be enough and need to use other techniques like verification, which seem unlikely to scale that far. In any case, I'd recommend reading this post for a good explanation of common critiques of IDA.</v>
      </c>
    </row>
    <row r="760">
      <c r="A760" t="str">
        <f>IFERROR(__xludf.DUMMYFUNCTION("""COMPUTED_VALUE"""),"Iterated amplification")</f>
        <v>Iterated amplification</v>
      </c>
      <c r="B760" t="str">
        <f>IFERROR(__xludf.DUMMYFUNCTION("""COMPUTED_VALUE"""),"Highlight")</f>
        <v>Highlight</v>
      </c>
      <c r="C760" s="3" t="str">
        <f>IFERROR(__xludf.DUMMYFUNCTION("""COMPUTED_VALUE"""),"Thoughts on AI Safety via Debate")</f>
        <v>Thoughts on AI Safety via Debate</v>
      </c>
      <c r="D760" t="str">
        <f>IFERROR(__xludf.DUMMYFUNCTION("""COMPUTED_VALUE"""),"Vaniver")</f>
        <v>Vaniver</v>
      </c>
      <c r="E760" t="str">
        <f>IFERROR(__xludf.DUMMYFUNCTION("""COMPUTED_VALUE"""),"LessWrong")</f>
        <v>LessWrong</v>
      </c>
      <c r="F760">
        <f>IFERROR(__xludf.DUMMYFUNCTION("""COMPUTED_VALUE"""),2018.0)</f>
        <v>2018</v>
      </c>
      <c r="H760" s="3" t="str">
        <f>IFERROR(__xludf.DUMMYFUNCTION("""COMPUTED_VALUE"""),"AN #6")</f>
        <v>AN #6</v>
      </c>
      <c r="I760" t="str">
        <f>IFERROR(__xludf.DUMMYFUNCTION("""COMPUTED_VALUE"""),"Rohin")</f>
        <v>Rohin</v>
      </c>
      <c r="J760" t="str">
        <f>IFERROR(__xludf.DUMMYFUNCTION("""COMPUTED_VALUE"""),"Vaniver has played several debate games on the [website](https://debate-game.openai.com/) and wrote up some of his experiences. He ended up more optimistic about debate, but still worries that the success of the technique relies on the toy examples being "&amp;"toy.")</f>
        <v>Vaniver has played several debate games on the [website](https://debate-game.openai.com/) and wrote up some of his experiences. He ended up more optimistic about debate, but still worries that the success of the technique relies on the toy examples being toy.</v>
      </c>
      <c r="K760" t="str">
        <f>IFERROR(__xludf.DUMMYFUNCTION("""COMPUTED_VALUE"""),"I haven't played the particular debate game that OpenAI released, and so it was interesting to see what sort of strategies emerged. It was initially quite unintuitive to me how debate picks out a particular path in an argument tree, and I think if reading"&amp;" about particular concrete examples (as in this post) would have helped.")</f>
        <v>I haven't played the particular debate game that OpenAI released, and so it was interesting to see what sort of strategies emerged. It was initially quite unintuitive to me how debate picks out a particular path in an argument tree, and I think if reading about particular concrete examples (as in this post) would have helped.</v>
      </c>
      <c r="L760" s="3" t="str">
        <f>IFERROR(__xludf.DUMMYFUNCTION("""COMPUTED_VALUE"""),"AI safety via debate")</f>
        <v>AI safety via debate</v>
      </c>
    </row>
    <row r="761">
      <c r="A761" t="str">
        <f>IFERROR(__xludf.DUMMYFUNCTION("""COMPUTED_VALUE"""),"Iterated amplification")</f>
        <v>Iterated amplification</v>
      </c>
      <c r="B761" t="str">
        <f>IFERROR(__xludf.DUMMYFUNCTION("""COMPUTED_VALUE"""),"Highlight")</f>
        <v>Highlight</v>
      </c>
      <c r="C761" s="3" t="str">
        <f>IFERROR(__xludf.DUMMYFUNCTION("""COMPUTED_VALUE"""),"AI safety via debate")</f>
        <v>AI safety via debate</v>
      </c>
      <c r="D761" t="str">
        <f>IFERROR(__xludf.DUMMYFUNCTION("""COMPUTED_VALUE"""),"Geoffrey Irving and Dario Amodei")</f>
        <v>Geoffrey Irving and Dario Amodei</v>
      </c>
      <c r="E761" t="str">
        <f>IFERROR(__xludf.DUMMYFUNCTION("""COMPUTED_VALUE"""),"arXiv")</f>
        <v>arXiv</v>
      </c>
      <c r="F761">
        <f>IFERROR(__xludf.DUMMYFUNCTION("""COMPUTED_VALUE"""),2018.0)</f>
        <v>2018</v>
      </c>
      <c r="H761" s="3" t="str">
        <f>IFERROR(__xludf.DUMMYFUNCTION("""COMPUTED_VALUE"""),"AN #5")</f>
        <v>AN #5</v>
      </c>
      <c r="I761" t="str">
        <f>IFERROR(__xludf.DUMMYFUNCTION("""COMPUTED_VALUE"""),"Rohin")</f>
        <v>Rohin</v>
      </c>
      <c r="J761" t="str">
        <f>IFERROR(__xludf.DUMMYFUNCTION("""COMPUTED_VALUE"""),"At a high level, a major issue with building superintelligent AI is that humans would not be able to provide strong oversight for the AI. Amplification solves this by using the AI as a tool that can help the human (in particular, if the human can break a "&amp;"task down into subtasks, the AI can solve the subtasks). Debate also provides the AI as a tool for human overseer, but in a different way -- now, in order to train the AI, we have the AI debate against itself in order to convince a human of the answer to "&amp;"some target question. Given some question whose answer is too hard to directly judge, the human can look at the arguments and counterarguments to figure out whether or not the answer is actually correct.
The paper describes debate in a lot more depth and"&amp;" has an initial experiment involving MNIST. I can't possibly do it justice here -- I encourage you to simply read the full paper. You probably have an intuition right now of why this wouldn't work, such as ""but humans believe what they want to hear, not "&amp;"what is true"". The paper spends 5 (!) pages listing ten such problems and analyzing them, so go read it.")</f>
        <v>At a high level, a major issue with building superintelligent AI is that humans would not be able to provide strong oversight for the AI. Amplification solves this by using the AI as a tool that can help the human (in particular, if the human can break a task down into subtasks, the AI can solve the subtasks). Debate also provides the AI as a tool for human overseer, but in a different way -- now, in order to train the AI, we have the AI debate against itself in order to convince a human of the answer to some target question. Given some question whose answer is too hard to directly judge, the human can look at the arguments and counterarguments to figure out whether or not the answer is actually correct.
The paper describes debate in a lot more depth and has an initial experiment involving MNIST. I can't possibly do it justice here -- I encourage you to simply read the full paper. You probably have an intuition right now of why this wouldn't work, such as "but humans believe what they want to hear, not what is true". The paper spends 5 (!) pages listing ten such problems and analyzing them, so go read it.</v>
      </c>
      <c r="K761" t="str">
        <f>IFERROR(__xludf.DUMMYFUNCTION("""COMPUTED_VALUE"""),"It's great to see another approach that directly tackles the problem of defining a training signal that if optimized well would lead to an aligned AI. There are a lot of empirical questions that would influence whether or not debate actually works in prac"&amp;"tice, and I'm excited to see what experiments find.")</f>
        <v>It's great to see another approach that directly tackles the problem of defining a training signal that if optimized well would lead to an aligned AI. There are a lot of empirical questions that would influence whether or not debate actually works in practice, and I'm excited to see what experiments find.</v>
      </c>
    </row>
    <row r="762">
      <c r="A762" t="str">
        <f>IFERROR(__xludf.DUMMYFUNCTION("""COMPUTED_VALUE"""),"Iterated amplification")</f>
        <v>Iterated amplification</v>
      </c>
      <c r="B762" t="str">
        <f>IFERROR(__xludf.DUMMYFUNCTION("""COMPUTED_VALUE"""),"Highlight")</f>
        <v>Highlight</v>
      </c>
      <c r="C762" s="3" t="str">
        <f>IFERROR(__xludf.DUMMYFUNCTION("""COMPUTED_VALUE"""),"Learning Complex Goals with Iterated Amplification")</f>
        <v>Learning Complex Goals with Iterated Amplification</v>
      </c>
      <c r="D762" t="str">
        <f>IFERROR(__xludf.DUMMYFUNCTION("""COMPUTED_VALUE"""),"Paul Christiano and Dario Amodei")</f>
        <v>Paul Christiano and Dario Amodei</v>
      </c>
      <c r="E762" t="str">
        <f>IFERROR(__xludf.DUMMYFUNCTION("""COMPUTED_VALUE"""),"OpenAI Blog")</f>
        <v>OpenAI Blog</v>
      </c>
      <c r="F762">
        <f>IFERROR(__xludf.DUMMYFUNCTION("""COMPUTED_VALUE"""),2018.0)</f>
        <v>2018</v>
      </c>
      <c r="H762" s="3" t="str">
        <f>IFERROR(__xludf.DUMMYFUNCTION("""COMPUTED_VALUE"""),"AN #30")</f>
        <v>AN #30</v>
      </c>
      <c r="I762" t="str">
        <f>IFERROR(__xludf.DUMMYFUNCTION("""COMPUTED_VALUE"""),"Rohin")</f>
        <v>Rohin</v>
      </c>
      <c r="J762" t="str">
        <f>IFERROR(__xludf.DUMMYFUNCTION("""COMPUTED_VALUE"""),"This blog post and the accompanying [paper](https://arxiv.org/abs/1810.08575) introduces iterated amplification, focusing on how it can be used to define a training signal for tasks that humans cannot perform or evaluate, such as designing a transit syste"&amp;"m. The key insight is that humans are capable of decomposing even very difficult tasks into slightly simpler tasks. So, in theory, we could provide ground truth labels for an arbitrarily difficult task by a huge tree of humans, each decomposing their own "&amp;"subquestion and handing off new subquestions to other humans, until questions are easy enough that a human can directly answer them.
We can turn this into an efficient algorithm by having the human decompose the question only once, and using the current "&amp;"AI system to answer the generated subquestions. If the AI isn't able to answer the subquestions, then the human will get nonsense answers. However, as long as there are questions that the human + AI system can answer but the AI alone cannot answer, the AI"&amp;" can learn from the answers to those questions. To reduce the reliance on human data, another model is trained to predict the decomposition that the human performs. In addition, some tasks could refer to a large context (eg. evaluating safety for a specif"&amp;"ic rocket design), so they model the human as being able to access small pieces of the context at a time.
They evaluate on simple algorithmic tasks like distance between nodes in a graph, where they can program an automated human decomposition for faster"&amp;" experiments, and there is a ground truth solution. They compare against supervised learning, which trains a model on the ground truth answers to questions (which iterated amplification does not have access to), and find that they can match the performanc"&amp;"e of supervised learning with only slightly more training steps.")</f>
        <v>This blog post and the accompanying [paper](https://arxiv.org/abs/1810.08575) introduces iterated amplification, focusing on how it can be used to define a training signal for tasks that humans cannot perform or evaluate, such as designing a transit system. The key insight is that humans are capable of decomposing even very difficult tasks into slightly simpler tasks. So, in theory, we could provide ground truth labels for an arbitrarily difficult task by a huge tree of humans, each decomposing their own subquestion and handing off new subquestions to other humans, until questions are easy enough that a human can directly answer them.
We can turn this into an efficient algorithm by having the human decompose the question only once, and using the current AI system to answer the generated subquestions. If the AI isn't able to answer the subquestions, then the human will get nonsense answers. However, as long as there are questions that the human + AI system can answer but the AI alone cannot answer, the AI can learn from the answers to those questions. To reduce the reliance on human data, another model is trained to predict the decomposition that the human performs. In addition, some tasks could refer to a large context (eg. evaluating safety for a specific rocket design), so they model the human as being able to access small pieces of the context at a time.
They evaluate on simple algorithmic tasks like distance between nodes in a graph, where they can program an automated human decomposition for faster experiments, and there is a ground truth solution. They compare against supervised learning, which trains a model on the ground truth answers to questions (which iterated amplification does not have access to), and find that they can match the performance of supervised learning with only slightly more training steps.</v>
      </c>
      <c r="K762" t="str">
        <f>IFERROR(__xludf.DUMMYFUNCTION("""COMPUTED_VALUE"""),"This is my new favorite post/paper for explaining how iterated amplification works, since it very succinctly and clearly makes the case for iterated amplification as a strategy for generating a good training signal. I'd recommend reading the [paper](https"&amp;"://arxiv.org/abs/1810.08575) in full, as it makes other important points that I haven't included in the summary.
Note that it does not explain a lot of Paul's thinking. It explains one particular training method that allows you to train an AI system with"&amp;" a more intelligent and informed overseer.")</f>
        <v>This is my new favorite post/paper for explaining how iterated amplification works, since it very succinctly and clearly makes the case for iterated amplification as a strategy for generating a good training signal. I'd recommend reading the [paper](https://arxiv.org/abs/1810.08575) in full, as it makes other important points that I haven't included in the summary.
Note that it does not explain a lot of Paul's thinking. It explains one particular training method that allows you to train an AI system with a more intelligent and informed overseer.</v>
      </c>
    </row>
    <row r="763">
      <c r="A763" t="str">
        <f>IFERROR(__xludf.DUMMYFUNCTION("""COMPUTED_VALUE"""),"Iterated amplification")</f>
        <v>Iterated amplification</v>
      </c>
      <c r="B763" t="str">
        <f>IFERROR(__xludf.DUMMYFUNCTION("""COMPUTED_VALUE"""),"Highlight")</f>
        <v>Highlight</v>
      </c>
      <c r="C763" s="3" t="str">
        <f>IFERROR(__xludf.DUMMYFUNCTION("""COMPUTED_VALUE"""),"Understanding Iterated Distillation and Amplification: Claims and Oversight")</f>
        <v>Understanding Iterated Distillation and Amplification: Claims and Oversight</v>
      </c>
      <c r="D763" t="str">
        <f>IFERROR(__xludf.DUMMYFUNCTION("""COMPUTED_VALUE"""),"William_S")</f>
        <v>William_S</v>
      </c>
      <c r="E763" t="str">
        <f>IFERROR(__xludf.DUMMYFUNCTION("""COMPUTED_VALUE"""),"LessWrong")</f>
        <v>LessWrong</v>
      </c>
      <c r="F763">
        <f>IFERROR(__xludf.DUMMYFUNCTION("""COMPUTED_VALUE"""),2018.0)</f>
        <v>2018</v>
      </c>
      <c r="H763" s="3" t="str">
        <f>IFERROR(__xludf.DUMMYFUNCTION("""COMPUTED_VALUE"""),"AN #3")</f>
        <v>AN #3</v>
      </c>
      <c r="I763" t="str">
        <f>IFERROR(__xludf.DUMMYFUNCTION("""COMPUTED_VALUE"""),"Rohin")</f>
        <v>Rohin</v>
      </c>
      <c r="J763" t="str">
        <f>IFERROR(__xludf.DUMMYFUNCTION("""COMPUTED_VALUE"""),"The post introduces a distinction between flavors of iterated distillation and amplification -- whether the overseer is low bandwidth or high bandwidth. Let's think of IDA as building a deliberation tree out of some basic overseer. In the high bandwidth c"&amp;"ase, we can think of the overseer as a human who can think about a problem for 15 minutes, without access to the problem's context. However, there could be ""attacks"" on such overseers. In order to solve this problem, we can instead use low-bandwidth ove"&amp;"rseers, who only look at a sentence or two of text, and verify through testing that there are no attacks on such overseers. However, it seems much less clear that such an overseer would be able to reach high levels of capability.")</f>
        <v>The post introduces a distinction between flavors of iterated distillation and amplification -- whether the overseer is low bandwidth or high bandwidth. Let's think of IDA as building a deliberation tree out of some basic overseer. In the high bandwidth case, we can think of the overseer as a human who can think about a problem for 15 minutes, without access to the problem's context. However, there could be "attacks" on such overseers. In order to solve this problem, we can instead use low-bandwidth overseers, who only look at a sentence or two of text, and verify through testing that there are no attacks on such overseers. However, it seems much less clear that such an overseer would be able to reach high levels of capability.</v>
      </c>
      <c r="K763" t="str">
        <f>IFERROR(__xludf.DUMMYFUNCTION("""COMPUTED_VALUE"""),"This is an excellent post that improved my understanding of Paul Christiano's agenda, which is not something I usually say about posts not written by Paul himself. I definitely have not captured all of the important ideas in my summary, so you should read"&amp;" it.")</f>
        <v>This is an excellent post that improved my understanding of Paul Christiano's agenda, which is not something I usually say about posts not written by Paul himself. I definitely have not captured all of the important ideas in my summary, so you should read it.</v>
      </c>
      <c r="L763" s="3" t="str">
        <f>IFERROR(__xludf.DUMMYFUNCTION("""COMPUTED_VALUE"""),"Iterated Distillation and Amplification")</f>
        <v>Iterated Distillation and Amplification</v>
      </c>
    </row>
    <row r="764">
      <c r="A764" t="str">
        <f>IFERROR(__xludf.DUMMYFUNCTION("""COMPUTED_VALUE"""),"Iterated amplification")</f>
        <v>Iterated amplification</v>
      </c>
      <c r="B764" t="str">
        <f>IFERROR(__xludf.DUMMYFUNCTION("""COMPUTED_VALUE"""),"Highlight")</f>
        <v>Highlight</v>
      </c>
      <c r="C764" s="3" t="str">
        <f>IFERROR(__xludf.DUMMYFUNCTION("""COMPUTED_VALUE"""),"Debate update: Obfuscated arguments problem")</f>
        <v>Debate update: Obfuscated arguments problem</v>
      </c>
      <c r="D764" t="str">
        <f>IFERROR(__xludf.DUMMYFUNCTION("""COMPUTED_VALUE"""),"Beth Barnes, Paul Christiano")</f>
        <v>Beth Barnes, Paul Christiano</v>
      </c>
      <c r="E764" t="str">
        <f>IFERROR(__xludf.DUMMYFUNCTION("""COMPUTED_VALUE"""),"Alignment Forum")</f>
        <v>Alignment Forum</v>
      </c>
      <c r="F764">
        <f>IFERROR(__xludf.DUMMYFUNCTION("""COMPUTED_VALUE"""),2020.0)</f>
        <v>2020</v>
      </c>
      <c r="H764" s="3" t="str">
        <f>IFERROR(__xludf.DUMMYFUNCTION("""COMPUTED_VALUE"""),"AN #132")</f>
        <v>AN #132</v>
      </c>
      <c r="I764" t="str">
        <f>IFERROR(__xludf.DUMMYFUNCTION("""COMPUTED_VALUE"""),"Rohin")</f>
        <v>Rohin</v>
      </c>
      <c r="J764" t="str">
        <f>IFERROR(__xludf.DUMMYFUNCTION("""COMPUTED_VALUE"""),"We’ve &lt;@previously seen@&gt;(@Writeup: Progress on AI Safety via Debate@) work on addressing potential problems with debate, including (but not limited to):
1. Evasiveness: By introducing structure to the debate, explicitly stating which claim is under cons"&amp;"ideration, we can prevent dishonest debaters from simply avoiding precision.
2. Misleading implications: To prevent the dishonest debater from “framing the debate” with misleading claims, debaters may also choose to argue about the meta-question “given th"&amp;"e questions and answers provided in this round, which answer is better?”.
3. Truth is ambiguous: Rather than judging whether answers are _true_, which can be ambiguous and depend on definitions, we instead judge which answer is _better_.
4. Ambiguity: The"&amp;" dishonest debater can use an ambiguous concept, and then later choose which definition to work with depending on what the honest debater says. This can be solved with &lt;@cross-examination@&gt;(@Writeup: Progress on AI Safety via Debate@).
This post presents"&amp;" an open problem: the problem of _obfuscated arguments_. This happens when the dishonest debater presents a long, complex argument for an incorrect answer, where neither debater knows which of the series of steps is wrong. In this case, any given step is "&amp;"quite likely to be correct, and the honest debater can only say “I don’t know where the flaw is, but one of these arguments is incorrect”. Unfortunately, honest arguments are also often complex and long, to which a dishonest debater could also say the sam"&amp;"e thing. It’s not clear how you can distinguish between these two cases.
While this problem was known to be a potential theoretical issue with debate, the post provides several examples of this dynamic arising in practice in debates about physics problem"&amp;"s, suggesting that this will be a problem we have to contend with.")</f>
        <v>We’ve &lt;@previously seen@&gt;(@Writeup: Progress on AI Safety via Debate@) work on addressing potential problems with debate, including (but not limited to):
1. Evasiveness: By introducing structure to the debate, explicitly stating which claim is under consideration, we can prevent dishonest debaters from simply avoiding precision.
2. Misleading implications: To prevent the dishonest debater from “framing the debate” with misleading claims, debaters may also choose to argue about the meta-question “given the questions and answers provided in this round, which answer is better?”.
3. Truth is ambiguous: Rather than judging whether answers are _true_, which can be ambiguous and depend on definitions, we instead judge which answer is _better_.
4. Ambiguity: The dishonest debater can use an ambiguous concept, and then later choose which definition to work with depending on what the honest debater says. This can be solved with &lt;@cross-examination@&gt;(@Writeup: Progress on AI Safety via Debate@).
This post presents an open problem: the problem of _obfuscated arguments_. This happens when the dishonest debater presents a long, complex argument for an incorrect answer, where neither debater knows which of the series of steps is wrong. In this case, any given step is quite likely to be correct, and the honest debater can only say “I don’t know where the flaw is, but one of these arguments is incorrect”. Unfortunately, honest arguments are also often complex and long, to which a dishonest debater could also say the same thing. It’s not clear how you can distinguish between these two cases.
While this problem was known to be a potential theoretical issue with debate, the post provides several examples of this dynamic arising in practice in debates about physics problems, suggesting that this will be a problem we have to contend with.</v>
      </c>
      <c r="K764" t="str">
        <f>IFERROR(__xludf.DUMMYFUNCTION("""COMPUTED_VALUE"""),"This does seem like a challenging problem to address, and as the authors mention, it also affects iterated amplification. (Intuitively, if during iterated amplification the decomposition chosen happens to be one that ends up being obfuscated, then iterate"&amp;"d amplification will get to the wrong answer.) I’m not really sure whether I expect this to be a problem in practice -- it feels like it could be, but it also feels like we should be able to address it using whatever techniques we use for robustness. But "&amp;"I generally feel very confused about this interaction and want to see more work on it.")</f>
        <v>This does seem like a challenging problem to address, and as the authors mention, it also affects iterated amplification. (Intuitively, if during iterated amplification the decomposition chosen happens to be one that ends up being obfuscated, then iterated amplification will get to the wrong answer.) I’m not really sure whether I expect this to be a problem in practice -- it feels like it could be, but it also feels like we should be able to address it using whatever techniques we use for robustness. But I generally feel very confused about this interaction and want to see more work on it.</v>
      </c>
    </row>
    <row r="765">
      <c r="A765" t="str">
        <f>IFERROR(__xludf.DUMMYFUNCTION("""COMPUTED_VALUE"""),"Iterated amplification")</f>
        <v>Iterated amplification</v>
      </c>
      <c r="B765" t="str">
        <f>IFERROR(__xludf.DUMMYFUNCTION("""COMPUTED_VALUE"""),"Highlight")</f>
        <v>Highlight</v>
      </c>
      <c r="C765" s="3" t="str">
        <f>IFERROR(__xludf.DUMMYFUNCTION("""COMPUTED_VALUE"""),"Paul's research agenda FAQ")</f>
        <v>Paul's research agenda FAQ</v>
      </c>
      <c r="D765" t="str">
        <f>IFERROR(__xludf.DUMMYFUNCTION("""COMPUTED_VALUE"""),"zhukeepa")</f>
        <v>zhukeepa</v>
      </c>
      <c r="E765" t="str">
        <f>IFERROR(__xludf.DUMMYFUNCTION("""COMPUTED_VALUE"""),"LessWrong")</f>
        <v>LessWrong</v>
      </c>
      <c r="F765">
        <f>IFERROR(__xludf.DUMMYFUNCTION("""COMPUTED_VALUE"""),2018.0)</f>
        <v>2018</v>
      </c>
      <c r="H765" s="3" t="str">
        <f>IFERROR(__xludf.DUMMYFUNCTION("""COMPUTED_VALUE"""),"AN #13")</f>
        <v>AN #13</v>
      </c>
      <c r="I765" t="str">
        <f>IFERROR(__xludf.DUMMYFUNCTION("""COMPUTED_VALUE"""),"Rohin")</f>
        <v>Rohin</v>
      </c>
      <c r="J765" t="str">
        <f>IFERROR(__xludf.DUMMYFUNCTION("""COMPUTED_VALUE"""),"Exactly what it sounds like. I'm not going to summarize it because it's long and covers a lot of stuff, but I do recommend it.")</f>
        <v>Exactly what it sounds like. I'm not going to summarize it because it's long and covers a lot of stuff, but I do recommend it.</v>
      </c>
    </row>
    <row r="766">
      <c r="A766" t="str">
        <f>IFERROR(__xludf.DUMMYFUNCTION("""COMPUTED_VALUE"""),"Iterated amplification")</f>
        <v>Iterated amplification</v>
      </c>
      <c r="B766" t="str">
        <f>IFERROR(__xludf.DUMMYFUNCTION("""COMPUTED_VALUE"""),"Highlight")</f>
        <v>Highlight</v>
      </c>
      <c r="C766" s="3" t="str">
        <f>IFERROR(__xludf.DUMMYFUNCTION("""COMPUTED_VALUE"""),"Factored Cognition (old)")</f>
        <v>Factored Cognition (old)</v>
      </c>
      <c r="D766" t="str">
        <f>IFERROR(__xludf.DUMMYFUNCTION("""COMPUTED_VALUE"""),"Andreas Stuhlmuller")</f>
        <v>Andreas Stuhlmuller</v>
      </c>
      <c r="F766">
        <f>IFERROR(__xludf.DUMMYFUNCTION("""COMPUTED_VALUE"""),2018.0)</f>
        <v>2018</v>
      </c>
      <c r="H766" s="3" t="str">
        <f>IFERROR(__xludf.DUMMYFUNCTION("""COMPUTED_VALUE"""),"AN #12")</f>
        <v>AN #12</v>
      </c>
      <c r="I766" t="str">
        <f>IFERROR(__xludf.DUMMYFUNCTION("""COMPUTED_VALUE"""),"Rohin")</f>
        <v>Rohin</v>
      </c>
      <c r="J766" t="str">
        <f>IFERROR(__xludf.DUMMYFUNCTION("""COMPUTED_VALUE"""),"This is a presentation that Andreas has given a few times on Factored Cognition, a project by [Ought](https://ought.org/) that is empirically testing one approach to amplification on humans. It is inspired by [HCH](https://ai-alignment.com/strong-hch-bedb"&amp;"0dc08d4e) and [meta-execution](https://ai-alignment.com/meta-execution-27ba9b34d377). These approaches require us to break down complex tasks into small, bite-sized pieces that can be solved separately by copies of an agent. So far Ought has built a web a"&amp;"pp in which there are workspaces, nodes, pointers etc. that can allow humans to do local reasoning to answer a big global question.")</f>
        <v>This is a presentation that Andreas has given a few times on Factored Cognition, a project by [Ought](https://ought.org/) that is empirically testing one approach to amplification on humans. It is inspired by [HCH](https://ai-alignment.com/strong-hch-bedb0dc08d4e) and [meta-execution](https://ai-alignment.com/meta-execution-27ba9b34d377). These approaches require us to break down complex tasks into small, bite-sized pieces that can be solved separately by copies of an agent. So far Ought has built a web app in which there are workspaces, nodes, pointers etc. that can allow humans to do local reasoning to answer a big global question.</v>
      </c>
      <c r="K766" t="str">
        <f>IFERROR(__xludf.DUMMYFUNCTION("""COMPUTED_VALUE"""),"It is unclear whether most tasks can actually be decomposed as required for iterated distillation and amplification, so I'm excited to see experiments that can answer that question! The questions that Ought is trying seem quite hard, so it should be a goo"&amp;"d test of breaking down reasoning. There's a lot of detail in the presentation that I haven't covered, I encourage you to read it.")</f>
        <v>It is unclear whether most tasks can actually be decomposed as required for iterated distillation and amplification, so I'm excited to see experiments that can answer that question! The questions that Ought is trying seem quite hard, so it should be a good test of breaking down reasoning. There's a lot of detail in the presentation that I haven't covered, I encourage you to read it.</v>
      </c>
    </row>
    <row r="767">
      <c r="A767" t="str">
        <f>IFERROR(__xludf.DUMMYFUNCTION("""COMPUTED_VALUE"""),"Iterated amplification")</f>
        <v>Iterated amplification</v>
      </c>
      <c r="B767" t="str">
        <f>IFERROR(__xludf.DUMMYFUNCTION("""COMPUTED_VALUE"""),"")</f>
        <v/>
      </c>
      <c r="C767" s="3" t="str">
        <f>IFERROR(__xludf.DUMMYFUNCTION("""COMPUTED_VALUE"""),"Nuances with ascription universality")</f>
        <v>Nuances with ascription universality</v>
      </c>
      <c r="D767" t="str">
        <f>IFERROR(__xludf.DUMMYFUNCTION("""COMPUTED_VALUE"""),"Evan Hubinger")</f>
        <v>Evan Hubinger</v>
      </c>
      <c r="E767" t="str">
        <f>IFERROR(__xludf.DUMMYFUNCTION("""COMPUTED_VALUE"""),"Alignment Forum")</f>
        <v>Alignment Forum</v>
      </c>
      <c r="F767">
        <f>IFERROR(__xludf.DUMMYFUNCTION("""COMPUTED_VALUE"""),2019.0)</f>
        <v>2019</v>
      </c>
      <c r="H767" s="3" t="str">
        <f>IFERROR(__xludf.DUMMYFUNCTION("""COMPUTED_VALUE"""),"AN #81")</f>
        <v>AN #81</v>
      </c>
      <c r="I767" t="str">
        <f>IFERROR(__xludf.DUMMYFUNCTION("""COMPUTED_VALUE"""),"Rohin")</f>
        <v>Rohin</v>
      </c>
      <c r="J767" t="str">
        <f>IFERROR(__xludf.DUMMYFUNCTION("""COMPUTED_VALUE"""),"Consider a formalization of honesty / transparency related to ascription universality: a system is honest, if relative to our expectations, its explicitly stated beliefs give us just as much information as any other way of ascribing beliefs to the system."&amp;" A system that searches for ways to commit a treacherous turn would not be honest, since it would not state that it was performing this search. However, what if this search was ""distilled"" into the weights of a neural net (akin to a lookup table)? In th"&amp;"at case, since we wouldn't ascribe beliefs to the lookup table, the system could be deemed honest by this criterion. So, what we actually need is for the entire training process to be honest. (A similar critique applies directly to ascription universality"&amp;".)")</f>
        <v>Consider a formalization of honesty / transparency related to ascription universality: a system is honest, if relative to our expectations, its explicitly stated beliefs give us just as much information as any other way of ascribing beliefs to the system. A system that searches for ways to commit a treacherous turn would not be honest, since it would not state that it was performing this search. However, what if this search was "distilled" into the weights of a neural net (akin to a lookup table)? In that case, since we wouldn't ascribe beliefs to the lookup table, the system could be deemed honest by this criterion. So, what we actually need is for the entire training process to be honest. (A similar critique applies directly to ascription universality.)</v>
      </c>
      <c r="K767" t="str">
        <f>IFERROR(__xludf.DUMMYFUNCTION("""COMPUTED_VALUE"""),"This is a good point; it shows that you need your overseer to be ascription universal with respect to the entire training process, not just the final agent.")</f>
        <v>This is a good point; it shows that you need your overseer to be ascription universal with respect to the entire training process, not just the final agent.</v>
      </c>
    </row>
    <row r="768">
      <c r="A768" t="str">
        <f>IFERROR(__xludf.DUMMYFUNCTION("""COMPUTED_VALUE"""),"Iterated amplification")</f>
        <v>Iterated amplification</v>
      </c>
      <c r="B768" t="str">
        <f>IFERROR(__xludf.DUMMYFUNCTION("""COMPUTED_VALUE"""),"")</f>
        <v/>
      </c>
      <c r="C768" s="3" t="str">
        <f>IFERROR(__xludf.DUMMYFUNCTION("""COMPUTED_VALUE"""),"Ought Progress Update October 2019")</f>
        <v>Ought Progress Update October 2019</v>
      </c>
      <c r="D768" t="str">
        <f>IFERROR(__xludf.DUMMYFUNCTION("""COMPUTED_VALUE"""),"Jungwon Byun and Andreas Stuhlmüller")</f>
        <v>Jungwon Byun and Andreas Stuhlmüller</v>
      </c>
      <c r="E768" t="str">
        <f>IFERROR(__xludf.DUMMYFUNCTION("""COMPUTED_VALUE"""),"Ought Website")</f>
        <v>Ought Website</v>
      </c>
      <c r="F768">
        <f>IFERROR(__xludf.DUMMYFUNCTION("""COMPUTED_VALUE"""),2019.0)</f>
        <v>2019</v>
      </c>
      <c r="H768" s="3" t="str">
        <f>IFERROR(__xludf.DUMMYFUNCTION("""COMPUTED_VALUE"""),"AN #72")</f>
        <v>AN #72</v>
      </c>
      <c r="I768" t="str">
        <f>IFERROR(__xludf.DUMMYFUNCTION("""COMPUTED_VALUE"""),"Rohin")</f>
        <v>Rohin</v>
      </c>
      <c r="J768" t="str">
        <f>IFERROR(__xludf.DUMMYFUNCTION("""COMPUTED_VALUE"""),"While this update provides details about Ought as a whole, I will focus only on the research they've done. As a reminder, Ought's goal is to understand how we can delegate hard questions to machine and human experts. They initially focused on &lt;@Factored C"&amp;"ognition@&gt;, where each question was recursively decomposed into subquestions that would help _find_ the answer. They now call this ""Factored Generation"", and use ""Factored Cognition"" as the umbrella term for any approach that helps answer hard questio"&amp;"ns using some kind of decomposition.
While Ought has run some ML experiments aimed at automating decompositions, they have primarily worked on human experiments for &lt;@Factored Evaluation@&gt;(@Delegating open-ended cognitive work@), where the decompositions"&amp;" are used to help _evaluate_ answers. They are focusing on evaluating answers instead of finding answers for a few reasons. First, there may already exist experts whose answers we can use: this can be directly plugged into Factored Evaluation, but not Fac"&amp;"tored Generation. Second, evaluation is often easier than generation. Third, factored evaluation is more amenable to time-saving tricks like only focusing on a single branch of the tree (as in &lt;@AI safety via debate@&gt;). Finally, when training ML systems, "&amp;"if a model is unable to exactly imitate the experts, we need something that can distinguish between better and worse behavior, which is possible with Factored Evaluation but not Factored Generation. (See also [Against Mimicry](https://ai-alignment.com/aga"&amp;"inst-mimicry-6002a472fc42).)
The experiments involve a judge trying to decide which of two answers to a question is best, where one answer is provided by an honest expert and one by a malicious expert. (Subquestions may also get different answers from th"&amp;"e two experts.) The goal is to find a setup where the judge reliably picks the honest answer, regardless of how powerful the malicious expert is: if this could be established, it would be strong evidence that the setup incentivizes honest answers. Of cour"&amp;"se, this requires us to quantify over all malicious strategies, but humans may not find the best malicious strategies. To mitigate this, the experiments provide the malicious expert with lots of advantages that the honest one doesn't have, to simulate ver"&amp;"y powerful malicious experts.
They have already learned from their experiments. Initially, they hoped participants would develop good meta-level strategies for determining the truth. (Meta-level here means that the strategies would generalize to other do"&amp;"mains, e.g. a heuristic of always splitting an answer into separate claims and asking for the evidence for each claim separately.) They found that these strategies _don't_ emerge organically, and so are planning to spend concentrated staff time on finding"&amp;" good strategies. They also found that malicious experts sometimes won due to avoidable mistakes, and are hoping to eliminate this by ensembling work from multiple people for increased robustness.")</f>
        <v>While this update provides details about Ought as a whole, I will focus only on the research they've done. As a reminder, Ought's goal is to understand how we can delegate hard questions to machine and human experts. They initially focused on &lt;@Factored Cognition@&gt;, where each question was recursively decomposed into subquestions that would help _find_ the answer. They now call this "Factored Generation", and use "Factored Cognition" as the umbrella term for any approach that helps answer hard questions using some kind of decomposition.
While Ought has run some ML experiments aimed at automating decompositions, they have primarily worked on human experiments for &lt;@Factored Evaluation@&gt;(@Delegating open-ended cognitive work@), where the decompositions are used to help _evaluate_ answers. They are focusing on evaluating answers instead of finding answers for a few reasons. First, there may already exist experts whose answers we can use: this can be directly plugged into Factored Evaluation, but not Factored Generation. Second, evaluation is often easier than generation. Third, factored evaluation is more amenable to time-saving tricks like only focusing on a single branch of the tree (as in &lt;@AI safety via debate@&gt;). Finally, when training ML systems, if a model is unable to exactly imitate the experts, we need something that can distinguish between better and worse behavior, which is possible with Factored Evaluation but not Factored Generation. (See also [Against Mimicry](https://ai-alignment.com/against-mimicry-6002a472fc42).)
The experiments involve a judge trying to decide which of two answers to a question is best, where one answer is provided by an honest expert and one by a malicious expert. (Subquestions may also get different answers from the two experts.) The goal is to find a setup where the judge reliably picks the honest answer, regardless of how powerful the malicious expert is: if this could be established, it would be strong evidence that the setup incentivizes honest answers. Of course, this requires us to quantify over all malicious strategies, but humans may not find the best malicious strategies. To mitigate this, the experiments provide the malicious expert with lots of advantages that the honest one doesn't have, to simulate very powerful malicious experts.
They have already learned from their experiments. Initially, they hoped participants would develop good meta-level strategies for determining the truth. (Meta-level here means that the strategies would generalize to other domains, e.g. a heuristic of always splitting an answer into separate claims and asking for the evidence for each claim separately.) They found that these strategies _don't_ emerge organically, and so are planning to spend concentrated staff time on finding good strategies. They also found that malicious experts sometimes won due to avoidable mistakes, and are hoping to eliminate this by ensembling work from multiple people for increased robustness.</v>
      </c>
      <c r="K768" t="str">
        <f>IFERROR(__xludf.DUMMYFUNCTION("""COMPUTED_VALUE"""),"This is distinct progress since the last update, though I think the experiments are still exploratory enough that it's hard to have any big takeaways. The difficulty of generating good strategies suggests that it's particularly important that we train our"&amp;" human overseers (as suggested in &lt;@AI Safety Needs Social Scientists@&gt;) to provide the right kind of feedback, for example if we would like them to reward only &lt;@corrigible reasoning@&gt;(@Corrigibility@). I'm particularly excited for the next update, where"&amp;" we could see experiments powerful enough to come to more solid conclusions.")</f>
        <v>This is distinct progress since the last update, though I think the experiments are still exploratory enough that it's hard to have any big takeaways. The difficulty of generating good strategies suggests that it's particularly important that we train our human overseers (as suggested in &lt;@AI Safety Needs Social Scientists@&gt;) to provide the right kind of feedback, for example if we would like them to reward only &lt;@corrigible reasoning@&gt;(@Corrigibility@). I'm particularly excited for the next update, where we could see experiments powerful enough to come to more solid conclusions.</v>
      </c>
    </row>
    <row r="769">
      <c r="A769" t="str">
        <f>IFERROR(__xludf.DUMMYFUNCTION("""COMPUTED_VALUE"""),"Iterated amplification")</f>
        <v>Iterated amplification</v>
      </c>
      <c r="B769" t="str">
        <f>IFERROR(__xludf.DUMMYFUNCTION("""COMPUTED_VALUE"""),"")</f>
        <v/>
      </c>
      <c r="C769" s="3" t="str">
        <f>IFERROR(__xludf.DUMMYFUNCTION("""COMPUTED_VALUE"""),"Machine Learning Projects on IDA")</f>
        <v>Machine Learning Projects on IDA</v>
      </c>
      <c r="D769" t="str">
        <f>IFERROR(__xludf.DUMMYFUNCTION("""COMPUTED_VALUE"""),"Owain Evans, William Saunders, Andreas Stuhlmüller")</f>
        <v>Owain Evans, William Saunders, Andreas Stuhlmüller</v>
      </c>
      <c r="E769" t="str">
        <f>IFERROR(__xludf.DUMMYFUNCTION("""COMPUTED_VALUE"""),"Alignment Forum")</f>
        <v>Alignment Forum</v>
      </c>
      <c r="F769">
        <f>IFERROR(__xludf.DUMMYFUNCTION("""COMPUTED_VALUE"""),2019.0)</f>
        <v>2019</v>
      </c>
      <c r="H769" s="3" t="str">
        <f>IFERROR(__xludf.DUMMYFUNCTION("""COMPUTED_VALUE"""),"AN #67")</f>
        <v>AN #67</v>
      </c>
      <c r="I769" t="str">
        <f>IFERROR(__xludf.DUMMYFUNCTION("""COMPUTED_VALUE"""),"Nicholas")</f>
        <v>Nicholas</v>
      </c>
      <c r="J769" t="str">
        <f>IFERROR(__xludf.DUMMYFUNCTION("""COMPUTED_VALUE"""),"This document describes three suggested projects building on Iterated Distillation and Amplification (IDA), a method for training ML systems while preserving alignment. The first project is to apply IDA to solving mathematical problems. The second is to a"&amp;"pply IDA to neural program interpretation, the problem of replicating the internal behavior of other programs as well as their outputs. The third is to experiment with adaptive computation where computational power is directed to where it is most useful. "&amp;"For each project, they also include motivation, directions, and related work.")</f>
        <v>This document describes three suggested projects building on Iterated Distillation and Amplification (IDA), a method for training ML systems while preserving alignment. The first project is to apply IDA to solving mathematical problems. The second is to apply IDA to neural program interpretation, the problem of replicating the internal behavior of other programs as well as their outputs. The third is to experiment with adaptive computation where computational power is directed to where it is most useful. For each project, they also include motivation, directions, and related work.</v>
      </c>
      <c r="K769" t="str">
        <f>IFERROR(__xludf.DUMMYFUNCTION("""COMPUTED_VALUE"""),"Figuring out an interesting and useful project to work on is one of the major challenges of any research project, and it may require a distinct skill set from the project's implementation. As a result, I appreciate the authors enabling other researchers t"&amp;"o jump straight into solving the problems. Given how detailed the motivation, instructions, and related work are, this document strikes me as an excellent way for someone to begin her first research project on IDA or AI safety more broadly. Additionally, "&amp;"while there are [many](https://arxiv.org/abs/1810.08575) [public](https://ai-alignment.com/iterated-distillation-and-amplification-157debfd1616) [explanations](https://www.alignmentforum.org/s/EmDuGeRw749sD3GKd) of IDA, I found this to be one of the most "&amp;"clear and complete descriptions I have read.")</f>
        <v>Figuring out an interesting and useful project to work on is one of the major challenges of any research project, and it may require a distinct skill set from the project's implementation. As a result, I appreciate the authors enabling other researchers to jump straight into solving the problems. Given how detailed the motivation, instructions, and related work are, this document strikes me as an excellent way for someone to begin her first research project on IDA or AI safety more broadly. Additionally, while there are [many](https://arxiv.org/abs/1810.08575) [public](https://ai-alignment.com/iterated-distillation-and-amplification-157debfd1616) [explanations](https://www.alignmentforum.org/s/EmDuGeRw749sD3GKd) of IDA, I found this to be one of the most clear and complete descriptions I have read.</v>
      </c>
      <c r="M769" s="3" t="str">
        <f>IFERROR(__xludf.DUMMYFUNCTION("""COMPUTED_VALUE"""),"Alignment Forum summary post")</f>
        <v>Alignment Forum summary post</v>
      </c>
    </row>
    <row r="770">
      <c r="A770" t="str">
        <f>IFERROR(__xludf.DUMMYFUNCTION("""COMPUTED_VALUE"""),"Iterated amplification")</f>
        <v>Iterated amplification</v>
      </c>
      <c r="B770" t="str">
        <f>IFERROR(__xludf.DUMMYFUNCTION("""COMPUTED_VALUE"""),"")</f>
        <v/>
      </c>
      <c r="C770" s="3" t="str">
        <f>IFERROR(__xludf.DUMMYFUNCTION("""COMPUTED_VALUE"""),"List of resolved confusions about IDA")</f>
        <v>List of resolved confusions about IDA</v>
      </c>
      <c r="D770" t="str">
        <f>IFERROR(__xludf.DUMMYFUNCTION("""COMPUTED_VALUE"""),"Wei Dai")</f>
        <v>Wei Dai</v>
      </c>
      <c r="E770" t="str">
        <f>IFERROR(__xludf.DUMMYFUNCTION("""COMPUTED_VALUE"""),"Alignment Forum")</f>
        <v>Alignment Forum</v>
      </c>
      <c r="F770">
        <f>IFERROR(__xludf.DUMMYFUNCTION("""COMPUTED_VALUE"""),2019.0)</f>
        <v>2019</v>
      </c>
      <c r="H770" s="3" t="str">
        <f>IFERROR(__xludf.DUMMYFUNCTION("""COMPUTED_VALUE"""),"AN #67")</f>
        <v>AN #67</v>
      </c>
      <c r="I770" t="str">
        <f>IFERROR(__xludf.DUMMYFUNCTION("""COMPUTED_VALUE"""),"Rohin")</f>
        <v>Rohin</v>
      </c>
      <c r="J770" t="str">
        <f>IFERROR(__xludf.DUMMYFUNCTION("""COMPUTED_VALUE"""),"This is a useful post clarifying some of the terms around IDA. I'm not summarizing it because each point is already quite short.")</f>
        <v>This is a useful post clarifying some of the terms around IDA. I'm not summarizing it because each point is already quite short.</v>
      </c>
    </row>
    <row r="771">
      <c r="A771" t="str">
        <f>IFERROR(__xludf.DUMMYFUNCTION("""COMPUTED_VALUE"""),"Iterated amplification")</f>
        <v>Iterated amplification</v>
      </c>
      <c r="B771" t="str">
        <f>IFERROR(__xludf.DUMMYFUNCTION("""COMPUTED_VALUE"""),"")</f>
        <v/>
      </c>
      <c r="C771" s="3" t="str">
        <f>IFERROR(__xludf.DUMMYFUNCTION("""COMPUTED_VALUE"""),"Aligning a toy model of optimization")</f>
        <v>Aligning a toy model of optimization</v>
      </c>
      <c r="D771" t="str">
        <f>IFERROR(__xludf.DUMMYFUNCTION("""COMPUTED_VALUE"""),"Paul Christiano")</f>
        <v>Paul Christiano</v>
      </c>
      <c r="E771" t="str">
        <f>IFERROR(__xludf.DUMMYFUNCTION("""COMPUTED_VALUE"""),"Alignment Forum")</f>
        <v>Alignment Forum</v>
      </c>
      <c r="F771">
        <f>IFERROR(__xludf.DUMMYFUNCTION("""COMPUTED_VALUE"""),2019.0)</f>
        <v>2019</v>
      </c>
      <c r="H771" s="3" t="str">
        <f>IFERROR(__xludf.DUMMYFUNCTION("""COMPUTED_VALUE"""),"AN #65")</f>
        <v>AN #65</v>
      </c>
      <c r="I771" t="str">
        <f>IFERROR(__xludf.DUMMYFUNCTION("""COMPUTED_VALUE"""),"Rohin")</f>
        <v>Rohin</v>
      </c>
      <c r="J771" t="str">
        <f>IFERROR(__xludf.DUMMYFUNCTION("""COMPUTED_VALUE"""),"Current ML capabilities are centered around **local search**: we get a gradient (or an approximation to one, as with evolutionary algorithms), and take a step in that direction to find a new model. Iterated amplification takes advantage of this fact: rath"&amp;"er than a sequence of gradient steps on a fixed reward, we can do a sequence of amplification steps and distillation gradient steps.
However, we can consider an even simpler model of ML capabilities: **function maximization**. Given a function from n-bit"&amp;" strings to real numbers, we model ML as allowing us to find the input n-bit string with the maximum output value, **in only O(n) time** (rather than the O(2^n) time that brute force search would take). If this were all we knew about ML capabilities, coul"&amp;"d we still design an aligned, competitive version of it? While this is not the actual problem we face, **due to its simplicity it is more amenable to theoretical analysis**, and so is worth thinking about.
We could make an unaligned AI that maximizes som"&amp;"e explicit reward using only 2 calls to Opt: first, use Opt to find a good world model M that can predict the dynamics and reward, and then use Opt to find a policy that does well when interacting with M. This is unaligned for all the usual reasons: most "&amp;"obviously, it will try to seize control of the reward channel.
An aligned version does need to use Opt, since **that's the only way of turning a naively-exponential search into a linear one**; without using Opt the resulting system won't be competitive. "&amp;"We can't just generalize iterated amplification to this case, since iterated amplification relies on a _sequence_ of applications of ML capabilities: this would lead to an aligned AI that uses Opt many times, which will not be competitive since the unalig"&amp;"ned AI only requires 2 calls to Opt.
One possible approach is to design an AI with good incentives (in the same way that iterated amplification aims to approximate &lt;@HCH@&gt;(@Humans Consulting HCH@)) that ""knows everything that the unaligned AI knows"". H"&amp;"owever, it would also be useful to produce a proof of impossibility: this would tell us something about what a solution must look like in more complex settings.")</f>
        <v>Current ML capabilities are centered around **local search**: we get a gradient (or an approximation to one, as with evolutionary algorithms), and take a step in that direction to find a new model. Iterated amplification takes advantage of this fact: rather than a sequence of gradient steps on a fixed reward, we can do a sequence of amplification steps and distillation gradient steps.
However, we can consider an even simpler model of ML capabilities: **function maximization**. Given a function from n-bit strings to real numbers, we model ML as allowing us to find the input n-bit string with the maximum output value, **in only O(n) time** (rather than the O(2^n) time that brute force search would take). If this were all we knew about ML capabilities, could we still design an aligned, competitive version of it? While this is not the actual problem we face, **due to its simplicity it is more amenable to theoretical analysis**, and so is worth thinking about.
We could make an unaligned AI that maximizes some explicit reward using only 2 calls to Opt: first, use Opt to find a good world model M that can predict the dynamics and reward, and then use Opt to find a policy that does well when interacting with M. This is unaligned for all the usual reasons: most obviously, it will try to seize control of the reward channel.
An aligned version does need to use Opt, since **that's the only way of turning a naively-exponential search into a linear one**; without using Opt the resulting system won't be competitive. We can't just generalize iterated amplification to this case, since iterated amplification relies on a _sequence_ of applications of ML capabilities: this would lead to an aligned AI that uses Opt many times, which will not be competitive since the unaligned AI only requires 2 calls to Opt.
One possible approach is to design an AI with good incentives (in the same way that iterated amplification aims to approximate &lt;@HCH@&gt;(@Humans Consulting HCH@)) that "knows everything that the unaligned AI knows". However, it would also be useful to produce a proof of impossibility: this would tell us something about what a solution must look like in more complex settings.</v>
      </c>
      <c r="K771" t="str">
        <f>IFERROR(__xludf.DUMMYFUNCTION("""COMPUTED_VALUE"""),"Amusingly, I liked this post primarily because comparing this setting to the typical setting for iterated amplification was useful for seeing the design choices and intuitions that motivated iterated amplification.")</f>
        <v>Amusingly, I liked this post primarily because comparing this setting to the typical setting for iterated amplification was useful for seeing the design choices and intuitions that motivated iterated amplification.</v>
      </c>
    </row>
    <row r="772">
      <c r="A772" t="str">
        <f>IFERROR(__xludf.DUMMYFUNCTION("""COMPUTED_VALUE"""),"Iterated amplification")</f>
        <v>Iterated amplification</v>
      </c>
      <c r="B772" t="str">
        <f>IFERROR(__xludf.DUMMYFUNCTION("""COMPUTED_VALUE"""),"")</f>
        <v/>
      </c>
      <c r="C772" s="3" t="str">
        <f>IFERROR(__xludf.DUMMYFUNCTION("""COMPUTED_VALUE"""),"AI Alignment Podcast: AI Alignment through Debate")</f>
        <v>AI Alignment Podcast: AI Alignment through Debate</v>
      </c>
      <c r="D772" t="str">
        <f>IFERROR(__xludf.DUMMYFUNCTION("""COMPUTED_VALUE"""),"Lucas Perry and Geoffrey Irving")</f>
        <v>Lucas Perry and Geoffrey Irving</v>
      </c>
      <c r="E772" t="str">
        <f>IFERROR(__xludf.DUMMYFUNCTION("""COMPUTED_VALUE"""),"FLI Website")</f>
        <v>FLI Website</v>
      </c>
      <c r="F772">
        <f>IFERROR(__xludf.DUMMYFUNCTION("""COMPUTED_VALUE"""),2019.0)</f>
        <v>2019</v>
      </c>
      <c r="H772" s="3" t="str">
        <f>IFERROR(__xludf.DUMMYFUNCTION("""COMPUTED_VALUE"""),"AN #52")</f>
        <v>AN #52</v>
      </c>
      <c r="I772" t="str">
        <f>IFERROR(__xludf.DUMMYFUNCTION("""COMPUTED_VALUE"""),"Richard")</f>
        <v>Richard</v>
      </c>
      <c r="J772" t="str">
        <f>IFERROR(__xludf.DUMMYFUNCTION("""COMPUTED_VALUE"""),"We want AI safety solutions to scale to very intelligent agents; debate is one scalability technique. It's formulated as a two player zero-sum perfect information game in which agents make arguments in natural language, to be evaluated by a human judge. W"&amp;"hether or not such debates are truth-conducive is an empirical question which we can try to evaluate experimentally; doing so will require both technical and social science expertise (as discussed in a &lt;@previous post@&gt;(@AI Safety Needs Social Scientists@"&amp;")).")</f>
        <v>We want AI safety solutions to scale to very intelligent agents; debate is one scalability technique. It's formulated as a two player zero-sum perfect information game in which agents make arguments in natural language, to be evaluated by a human judge. Whether or not such debates are truth-conducive is an empirical question which we can try to evaluate experimentally; doing so will require both technical and social science expertise (as discussed in a &lt;@previous post@&gt;(@AI Safety Needs Social Scientists@)).</v>
      </c>
      <c r="K772" t="str">
        <f>IFERROR(__xludf.DUMMYFUNCTION("""COMPUTED_VALUE"""),"I think one of the key questions underlying Debate is how efficiently natural language can summarise reasoning about properties of the world. This question is subject to some disagreement (at one extreme, Facebook's [roadmap towards machine intelligence]("&amp;"https://research.fb.com/publications/a-roadmap-towards-machine-intelligence/) describes a training environment which is ""entirely linguistically defined"") and probably deserves more public discussion in the context of safety.
**Rohin's note:** If you'v"&amp;"e read the previous posts on debate, the novel parts of this podcast are on the relation between iterated amplification and debate (which has been discussed before, but not in as much depth), and the reasons for optimism and pessimism about debate.")</f>
        <v>I think one of the key questions underlying Debate is how efficiently natural language can summarise reasoning about properties of the world. This question is subject to some disagreement (at one extreme, Facebook's [roadmap towards machine intelligence](https://research.fb.com/publications/a-roadmap-towards-machine-intelligence/) describes a training environment which is "entirely linguistically defined") and probably deserves more public discussion in the context of safety.
**Rohin's note:** If you've read the previous posts on debate, the novel parts of this podcast are on the relation between iterated amplification and debate (which has been discussed before, but not in as much depth), and the reasons for optimism and pessimism about debate.</v>
      </c>
    </row>
    <row r="773">
      <c r="A773" t="str">
        <f>IFERROR(__xludf.DUMMYFUNCTION("""COMPUTED_VALUE"""),"Iterated amplification")</f>
        <v>Iterated amplification</v>
      </c>
      <c r="B773" t="str">
        <f>IFERROR(__xludf.DUMMYFUNCTION("""COMPUTED_VALUE"""),"")</f>
        <v/>
      </c>
      <c r="C773" s="3" t="str">
        <f>IFERROR(__xludf.DUMMYFUNCTION("""COMPUTED_VALUE"""),"Rissanen Data Analysis: Examining Dataset Characteristics via Description Length")</f>
        <v>Rissanen Data Analysis: Examining Dataset Characteristics via Description Length</v>
      </c>
      <c r="D773" t="str">
        <f>IFERROR(__xludf.DUMMYFUNCTION("""COMPUTED_VALUE"""),"Ethan Perez, Douwe Kiela, Kyunghyun Cho")</f>
        <v>Ethan Perez, Douwe Kiela, Kyunghyun Cho</v>
      </c>
      <c r="E773" t="str">
        <f>IFERROR(__xludf.DUMMYFUNCTION("""COMPUTED_VALUE"""),"arXiv")</f>
        <v>arXiv</v>
      </c>
      <c r="F773">
        <f>IFERROR(__xludf.DUMMYFUNCTION("""COMPUTED_VALUE"""),2021.0)</f>
        <v>2021</v>
      </c>
      <c r="H773" s="3" t="str">
        <f>IFERROR(__xludf.DUMMYFUNCTION("""COMPUTED_VALUE"""),"AN #146")</f>
        <v>AN #146</v>
      </c>
      <c r="I773" t="str">
        <f>IFERROR(__xludf.DUMMYFUNCTION("""COMPUTED_VALUE"""),"Rohin")</f>
        <v>Rohin</v>
      </c>
      <c r="J773" t="str">
        <f>IFERROR(__xludf.DUMMYFUNCTION("""COMPUTED_VALUE"""),"We are often interested in estimating how useful a particular capability might be for a model. For example, for &lt;@Factored Cognition@&gt; we're interested in how useful the ""decomposition"" ability is, that is, how useful it is to decompose the original que"&amp;"stion into subquestions (as in &lt;@this paper@&gt;(@Unsupervised Question Decomposition for Question Answering@)). This paper proposes a simple methodology: give the model oracle access to the capability in question, and see how much it improves its prediction"&amp;"s. This is measured in an online learning setup (rather than in one fell swoop at the end of training), in order to evaluate how useful the capability is in both low and high data regimes.
(The paper frames this as asking how much better you can compress"&amp;" the labels when you have access to the capability, relative to not having the capability. This can be seen as an upper bound on the minimum description length, which in turn is one way of operationalizing Occam's razor. I find the prediction view more in"&amp;"tuitive, and as far as I can tell the two views are equivalent in the context of this paper.)
They then use this framework to investigate a bunch of empirical questions:
1. For question answering models trained from scratch, both ML decompositions and hu"&amp;"man decompositions are helpful, though ML still has a long way to go to catch up to human decompositions.
2. One way to evaluate gender bias in a dataset is to ask, ""how useful is the ""capability"" of seeing the male-gendered words"", relative to the sa"&amp;"me question for female-gendered words. This confirms the general male-gendered bias, even in a dataset that has more female-gendered words.
3. Some papers have claimed that neural nets are effectively ""bag-of-words"" models, i.e. they don't pay attention"&amp;" to the ordering of words in a sentence. They evaluate how useful the capability of ""getting the correct order"" is, and find that it does lead to significantly better results.")</f>
        <v>We are often interested in estimating how useful a particular capability might be for a model. For example, for &lt;@Factored Cognition@&gt; we're interested in how useful the "decomposition" ability is, that is, how useful it is to decompose the original question into subquestions (as in &lt;@this paper@&gt;(@Unsupervised Question Decomposition for Question Answering@)). This paper proposes a simple methodology: give the model oracle access to the capability in question, and see how much it improves its predictions. This is measured in an online learning setup (rather than in one fell swoop at the end of training), in order to evaluate how useful the capability is in both low and high data regimes.
(The paper frames this as asking how much better you can compress the labels when you have access to the capability, relative to not having the capability. This can be seen as an upper bound on the minimum description length, which in turn is one way of operationalizing Occam's razor. I find the prediction view more intuitive, and as far as I can tell the two views are equivalent in the context of this paper.)
They then use this framework to investigate a bunch of empirical questions:
1. For question answering models trained from scratch, both ML decompositions and human decompositions are helpful, though ML still has a long way to go to catch up to human decompositions.
2. One way to evaluate gender bias in a dataset is to ask, "how useful is the "capability" of seeing the male-gendered words", relative to the same question for female-gendered words. This confirms the general male-gendered bias, even in a dataset that has more female-gendered words.
3. Some papers have claimed that neural nets are effectively "bag-of-words" models, i.e. they don't pay attention to the ordering of words in a sentence. They evaluate how useful the capability of "getting the correct order" is, and find that it does lead to significantly better results.</v>
      </c>
    </row>
    <row r="774">
      <c r="A774" t="str">
        <f>IFERROR(__xludf.DUMMYFUNCTION("""COMPUTED_VALUE"""),"Iterated amplification")</f>
        <v>Iterated amplification</v>
      </c>
      <c r="B774" t="str">
        <f>IFERROR(__xludf.DUMMYFUNCTION("""COMPUTED_VALUE"""),"")</f>
        <v/>
      </c>
      <c r="C774" s="3" t="str">
        <f>IFERROR(__xludf.DUMMYFUNCTION("""COMPUTED_VALUE"""),"AXRP Episode 6 - Debate and Imitative Generalization")</f>
        <v>AXRP Episode 6 - Debate and Imitative Generalization</v>
      </c>
      <c r="D774" t="str">
        <f>IFERROR(__xludf.DUMMYFUNCTION("""COMPUTED_VALUE"""),"Daniel Filan and Beth Barnes")</f>
        <v>Daniel Filan and Beth Barnes</v>
      </c>
      <c r="E774" t="str">
        <f>IFERROR(__xludf.DUMMYFUNCTION("""COMPUTED_VALUE"""),"AXRP Podcast")</f>
        <v>AXRP Podcast</v>
      </c>
      <c r="F774">
        <f>IFERROR(__xludf.DUMMYFUNCTION("""COMPUTED_VALUE"""),2021.0)</f>
        <v>2021</v>
      </c>
      <c r="H774" s="3" t="str">
        <f>IFERROR(__xludf.DUMMYFUNCTION("""COMPUTED_VALUE"""),"AN #146")</f>
        <v>AN #146</v>
      </c>
      <c r="I774" t="str">
        <f>IFERROR(__xludf.DUMMYFUNCTION("""COMPUTED_VALUE"""),"Rohin")</f>
        <v>Rohin</v>
      </c>
      <c r="J774" t="str">
        <f>IFERROR(__xludf.DUMMYFUNCTION("""COMPUTED_VALUE"""),"This podcast covers a bunch of topics, such as &lt;@debate@&gt;(@AI safety via debate@), &lt;@cross examination@&gt;(@Writeup: Progress on AI Safety via Debate@), &lt;@HCH@&gt;(@Humans Consulting HCH@), &lt;@iterated amplification@&gt;(@Supervising strong learners by amplifying "&amp;"weak experts@), and &lt;@imitative generalization@&gt;(@Imitative Generalisation (AKA 'Learning the Prior')@) (aka [learning the prior](https://www.alignmentforum.org/posts/SL9mKhgdmDKXmxwE4/learning-the-prior) ([AN #109](https://mailchi.mp/ee62c1c9e331/an-109t"&amp;"eaching-neural-nets-to-generalize-the-way-humans-would))), along with themes about &lt;@universality@&gt;(@Towards formalizing universality@). Recommended for getting a broad overview of this particular area of AI alignment.")</f>
        <v>This podcast covers a bunch of topics, such as &lt;@debate@&gt;(@AI safety via debate@), &lt;@cross examination@&gt;(@Writeup: Progress on AI Safety via Debate@), &lt;@HCH@&gt;(@Humans Consulting HCH@), &lt;@iterated amplification@&gt;(@Supervising strong learners by amplifying weak experts@), and &lt;@imitative generalization@&gt;(@Imitative Generalisation (AKA 'Learning the Prior')@) (aka [learning the prior](https://www.alignmentforum.org/posts/SL9mKhgdmDKXmxwE4/learning-the-prior) ([AN #109](https://mailchi.mp/ee62c1c9e331/an-109teaching-neural-nets-to-generalize-the-way-humans-would))), along with themes about &lt;@universality@&gt;(@Towards formalizing universality@). Recommended for getting a broad overview of this particular area of AI alignment.</v>
      </c>
    </row>
    <row r="775">
      <c r="A775" t="str">
        <f>IFERROR(__xludf.DUMMYFUNCTION("""COMPUTED_VALUE"""),"Iterated amplification")</f>
        <v>Iterated amplification</v>
      </c>
      <c r="B775" t="str">
        <f>IFERROR(__xludf.DUMMYFUNCTION("""COMPUTED_VALUE"""),"")</f>
        <v/>
      </c>
      <c r="C775" s="3" t="str">
        <f>IFERROR(__xludf.DUMMYFUNCTION("""COMPUTED_VALUE"""),"Universality Unwrapped")</f>
        <v>Universality Unwrapped</v>
      </c>
      <c r="D775" t="str">
        <f>IFERROR(__xludf.DUMMYFUNCTION("""COMPUTED_VALUE"""),"Adam Shimi")</f>
        <v>Adam Shimi</v>
      </c>
      <c r="E775" t="str">
        <f>IFERROR(__xludf.DUMMYFUNCTION("""COMPUTED_VALUE"""),"Alignment Forum")</f>
        <v>Alignment Forum</v>
      </c>
      <c r="F775">
        <f>IFERROR(__xludf.DUMMYFUNCTION("""COMPUTED_VALUE"""),2020.0)</f>
        <v>2020</v>
      </c>
      <c r="H775" t="str">
        <f>IFERROR(__xludf.DUMMYFUNCTION("""COMPUTED_VALUE"""),"AN #114")</f>
        <v>AN #114</v>
      </c>
      <c r="I775" t="str">
        <f>IFERROR(__xludf.DUMMYFUNCTION("""COMPUTED_VALUE"""),"Rohin")</f>
        <v>Rohin</v>
      </c>
      <c r="J775" t="str">
        <f>IFERROR(__xludf.DUMMYFUNCTION("""COMPUTED_VALUE"""),"This post explains the ideas behind universality and ascription universality, in a more accessible way than the [original posts](https://ai-alignment.com/towards-formalizing-universality-409ab893a456) and with more detail than [my summary](https://mailchi"&amp;".mp/6078fe4f9928/an-81-universality-as-a-potential-solution-to-conceptual-difficulties-in-intent-alignment).")</f>
        <v>This post explains the ideas behind universality and ascription universality, in a more accessible way than the [original posts](https://ai-alignment.com/towards-formalizing-universality-409ab893a456) and with more detail than [my summary](https://mailchi.mp/6078fe4f9928/an-81-universality-as-a-potential-solution-to-conceptual-difficulties-in-intent-alignment).</v>
      </c>
    </row>
    <row r="776">
      <c r="A776" t="str">
        <f>IFERROR(__xludf.DUMMYFUNCTION("""COMPUTED_VALUE"""),"Iterated amplification")</f>
        <v>Iterated amplification</v>
      </c>
      <c r="B776" t="str">
        <f>IFERROR(__xludf.DUMMYFUNCTION("""COMPUTED_VALUE"""),"")</f>
        <v/>
      </c>
      <c r="C776" s="3" t="str">
        <f>IFERROR(__xludf.DUMMYFUNCTION("""COMPUTED_VALUE"""),"How should AI debate be judged?")</f>
        <v>How should AI debate be judged?</v>
      </c>
      <c r="D776" t="str">
        <f>IFERROR(__xludf.DUMMYFUNCTION("""COMPUTED_VALUE"""),"Abram Demski")</f>
        <v>Abram Demski</v>
      </c>
      <c r="E776" t="str">
        <f>IFERROR(__xludf.DUMMYFUNCTION("""COMPUTED_VALUE"""),"Alignment Forum")</f>
        <v>Alignment Forum</v>
      </c>
      <c r="F776">
        <f>IFERROR(__xludf.DUMMYFUNCTION("""COMPUTED_VALUE"""),2020.0)</f>
        <v>2020</v>
      </c>
      <c r="H776" s="3" t="str">
        <f>IFERROR(__xludf.DUMMYFUNCTION("""COMPUTED_VALUE"""),"AN #109")</f>
        <v>AN #109</v>
      </c>
      <c r="I776" t="str">
        <f>IFERROR(__xludf.DUMMYFUNCTION("""COMPUTED_VALUE"""),"Rohin")</f>
        <v>Rohin</v>
      </c>
      <c r="J776" t="str">
        <f>IFERROR(__xludf.DUMMYFUNCTION("""COMPUTED_VALUE"""),"&lt;@Debate@&gt;(@AI safety via debate@) requires a human judge to decide which of two AI debaters should win the debate. How should the judge make this decision? The discussion on this page delves into this question in some depth.")</f>
        <v>&lt;@Debate@&gt;(@AI safety via debate@) requires a human judge to decide which of two AI debaters should win the debate. How should the judge make this decision? The discussion on this page delves into this question in some depth.</v>
      </c>
    </row>
    <row r="777">
      <c r="A777" t="str">
        <f>IFERROR(__xludf.DUMMYFUNCTION("""COMPUTED_VALUE"""),"Iterated amplification")</f>
        <v>Iterated amplification</v>
      </c>
      <c r="B777" t="str">
        <f>IFERROR(__xludf.DUMMYFUNCTION("""COMPUTED_VALUE"""),"")</f>
        <v/>
      </c>
      <c r="C777" s="3" t="str">
        <f>IFERROR(__xludf.DUMMYFUNCTION("""COMPUTED_VALUE"""),"An unaligned benchmark")</f>
        <v>An unaligned benchmark</v>
      </c>
      <c r="D777" t="str">
        <f>IFERROR(__xludf.DUMMYFUNCTION("""COMPUTED_VALUE"""),"Paul Christiano")</f>
        <v>Paul Christiano</v>
      </c>
      <c r="E777" t="str">
        <f>IFERROR(__xludf.DUMMYFUNCTION("""COMPUTED_VALUE"""),"AI Alignment")</f>
        <v>AI Alignment</v>
      </c>
      <c r="F777">
        <f>IFERROR(__xludf.DUMMYFUNCTION("""COMPUTED_VALUE"""),2018.0)</f>
        <v>2018</v>
      </c>
      <c r="H777" s="3" t="str">
        <f>IFERROR(__xludf.DUMMYFUNCTION("""COMPUTED_VALUE"""),"Recon #5")</f>
        <v>Recon #5</v>
      </c>
      <c r="I777" t="str">
        <f>IFERROR(__xludf.DUMMYFUNCTION("""COMPUTED_VALUE"""),"Rohin")</f>
        <v>Rohin</v>
      </c>
      <c r="J777" t="str">
        <f>IFERROR(__xludf.DUMMYFUNCTION("""COMPUTED_VALUE"""),"We could get a very powerful AI system using model-based RL with MCTS (i.e. the technique underlying AlphaGo), where the reward function is learned from human feedback, but such a system would likely be incorrigible. In particular, it would be optimizing "&amp;"for making humans think that good outcomes are happening, which may or may not happen by actually having good outcomes. In addition, as the AI system becomes more intelligent, the environment distribution will change as the AI exerts more control over it,"&amp;" leading to a distributional shift that could also lead to bad outcomes. If we instead try to emulate this sort of system using iterated distillation and amplification, the complicated plans made by the AI ultimately cash out to (a very large amount of) h"&amp;"uman judgment and deliberation, which should not fall prey to these problems.")</f>
        <v>We could get a very powerful AI system using model-based RL with MCTS (i.e. the technique underlying AlphaGo), where the reward function is learned from human feedback, but such a system would likely be incorrigible. In particular, it would be optimizing for making humans think that good outcomes are happening, which may or may not happen by actually having good outcomes. In addition, as the AI system becomes more intelligent, the environment distribution will change as the AI exerts more control over it, leading to a distributional shift that could also lead to bad outcomes. If we instead try to emulate this sort of system using iterated distillation and amplification, the complicated plans made by the AI ultimately cash out to (a very large amount of) human judgment and deliberation, which should not fall prey to these problems.</v>
      </c>
      <c r="K777" t="str">
        <f>IFERROR(__xludf.DUMMYFUNCTION("""COMPUTED_VALUE"""),"Probably? If you are familiar with Paul's approach, you may not find anything new here.")</f>
        <v>Probably? If you are familiar with Paul's approach, you may not find anything new here.</v>
      </c>
      <c r="M777" s="3" t="str">
        <f>IFERROR(__xludf.DUMMYFUNCTION("""COMPUTED_VALUE"""),"Aligned search")</f>
        <v>Aligned search</v>
      </c>
    </row>
    <row r="778">
      <c r="A778" t="str">
        <f>IFERROR(__xludf.DUMMYFUNCTION("""COMPUTED_VALUE"""),"Iterated amplification")</f>
        <v>Iterated amplification</v>
      </c>
      <c r="B778" t="str">
        <f>IFERROR(__xludf.DUMMYFUNCTION("""COMPUTED_VALUE"""),"")</f>
        <v/>
      </c>
      <c r="C778" s="3" t="str">
        <f>IFERROR(__xludf.DUMMYFUNCTION("""COMPUTED_VALUE"""),"How does iterated amplification exceed human abilities?")</f>
        <v>How does iterated amplification exceed human abilities?</v>
      </c>
      <c r="D778" t="str">
        <f>IFERROR(__xludf.DUMMYFUNCTION("""COMPUTED_VALUE"""),"Issa Rice")</f>
        <v>Issa Rice</v>
      </c>
      <c r="E778" t="str">
        <f>IFERROR(__xludf.DUMMYFUNCTION("""COMPUTED_VALUE"""),"Alignment Forum")</f>
        <v>Alignment Forum</v>
      </c>
      <c r="F778">
        <f>IFERROR(__xludf.DUMMYFUNCTION("""COMPUTED_VALUE"""),2020.0)</f>
        <v>2020</v>
      </c>
      <c r="H778" s="3" t="str">
        <f>IFERROR(__xludf.DUMMYFUNCTION("""COMPUTED_VALUE"""),"AN #98")</f>
        <v>AN #98</v>
      </c>
    </row>
    <row r="779">
      <c r="A779" t="str">
        <f>IFERROR(__xludf.DUMMYFUNCTION("""COMPUTED_VALUE"""),"Iterated amplification")</f>
        <v>Iterated amplification</v>
      </c>
      <c r="B779" t="str">
        <f>IFERROR(__xludf.DUMMYFUNCTION("""COMPUTED_VALUE"""),"")</f>
        <v/>
      </c>
      <c r="C779" s="3" t="str">
        <f>IFERROR(__xludf.DUMMYFUNCTION("""COMPUTED_VALUE"""),"Unsupervised Question Decomposition for Question Answering")</f>
        <v>Unsupervised Question Decomposition for Question Answering</v>
      </c>
      <c r="D779" t="str">
        <f>IFERROR(__xludf.DUMMYFUNCTION("""COMPUTED_VALUE"""),"Ethan Perez, Patrick Lewis, Wen-tau Yih, Kyunghyun Cho, Douwe Kiela")</f>
        <v>Ethan Perez, Patrick Lewis, Wen-tau Yih, Kyunghyun Cho, Douwe Kiela</v>
      </c>
      <c r="E779" t="str">
        <f>IFERROR(__xludf.DUMMYFUNCTION("""COMPUTED_VALUE"""),"arXiv")</f>
        <v>arXiv</v>
      </c>
      <c r="F779">
        <f>IFERROR(__xludf.DUMMYFUNCTION("""COMPUTED_VALUE"""),2020.0)</f>
        <v>2020</v>
      </c>
      <c r="H779" s="3" t="str">
        <f>IFERROR(__xludf.DUMMYFUNCTION("""COMPUTED_VALUE"""),"AN #95")</f>
        <v>AN #95</v>
      </c>
      <c r="I779" t="str">
        <f>IFERROR(__xludf.DUMMYFUNCTION("""COMPUTED_VALUE"""),"Zach")</f>
        <v>Zach</v>
      </c>
      <c r="J779" t="str">
        <f>IFERROR(__xludf.DUMMYFUNCTION("""COMPUTED_VALUE"""),"Existing methods are proficient at simple question and answering (QA). These simple questions are called single-hop and can be answered with a single yes/no or underlined passage in the text. However, progress on the more difficult task of multi-hop QA la"&amp;"gs behind. **This paper introduces a method that can decompose hard multi-hop questions into easier single-hop questions that existing QA systems can answer.** Since collecting labeled decompositions is hard, the authors introduce a pseudo-decomposition w"&amp;"here multi-hop questions are matched with similar single-hop questions while making sure the single-hop questions are diverse. Following this, the model is trained to map multi-hop questions to simpler subquestions using _unsupervised_ sequence-to-sequenc"&amp;"e learning (as they found the supervised version performed worse). They show large improvement on the popular HotPot QA baseline with large improvement on out-of-domain questions due to the ability of sub-questions to help gather supporting facts that can"&amp;" be used to answer questions. ")</f>
        <v>Existing methods are proficient at simple question and answering (QA). These simple questions are called single-hop and can be answered with a single yes/no or underlined passage in the text. However, progress on the more difficult task of multi-hop QA lags behind. **This paper introduces a method that can decompose hard multi-hop questions into easier single-hop questions that existing QA systems can answer.** Since collecting labeled decompositions is hard, the authors introduce a pseudo-decomposition where multi-hop questions are matched with similar single-hop questions while making sure the single-hop questions are diverse. Following this, the model is trained to map multi-hop questions to simpler subquestions using _unsupervised_ sequence-to-sequence learning (as they found the supervised version performed worse). They show large improvement on the popular HotPot QA baseline with large improvement on out-of-domain questions due to the ability of sub-questions to help gather supporting facts that can be used to answer questions. </v>
      </c>
      <c r="K779" t="str">
        <f>IFERROR(__xludf.DUMMYFUNCTION("""COMPUTED_VALUE"""),"A core feature of this paper is the unsupervised approach to producing question decompositions. By doing this, it's possible to augment the data-set significantly by question-crawling the data-sets which helps explain why the model has performance on-par "&amp;"with supervised approaches. Moreover, looking at a few decomposition examples from the model seems to indicate that relevant sub-questions are being discovered. It's worth noting that decompositions with more than two questions are unlikely due to the spe"&amp;"cific loss used in the main paper. In the appendix, the authors experiment with a different loss for the pseudo-decomposition that allows more questions in the decomposition, but it performs slightly worse than the original loss. This makes me wonder whet"&amp;"her or not such a procedure would be useful if used recursively to create sub-sub-questions. Overall, I think the decomposition is useful for both down-stream processing and interpretation.
**Rohin's opinion:** The capabilities of methods like iterated a"&amp;"mplification depend on the ability to solve hard questions by decomposing them into simpler questions that we already know how to answer, and then combining the results appropriately. This paper demonstrates that even a very basic unsupervised approach ("&amp;"""decompose into the most similar simpler questions"") to decomposition can work quite well, at least for current AI systems.
In private correspondence, Ethan suggested that in the long term a semi-supervised approach would probably work best, which agre"&amp;"es with my intuitions.")</f>
        <v>A core feature of this paper is the unsupervised approach to producing question decompositions. By doing this, it's possible to augment the data-set significantly by question-crawling the data-sets which helps explain why the model has performance on-par with supervised approaches. Moreover, looking at a few decomposition examples from the model seems to indicate that relevant sub-questions are being discovered. It's worth noting that decompositions with more than two questions are unlikely due to the specific loss used in the main paper. In the appendix, the authors experiment with a different loss for the pseudo-decomposition that allows more questions in the decomposition, but it performs slightly worse than the original loss. This makes me wonder whether or not such a procedure would be useful if used recursively to create sub-sub-questions. Overall, I think the decomposition is useful for both down-stream processing and interpretation.
**Rohin's opinion:** The capabilities of methods like iterated amplification depend on the ability to solve hard questions by decomposing them into simpler questions that we already know how to answer, and then combining the results appropriately. This paper demonstrates that even a very basic unsupervised approach ("decompose into the most similar simpler questions") to decomposition can work quite well, at least for current AI systems.
In private correspondence, Ethan suggested that in the long term a semi-supervised approach would probably work best, which agrees with my intuitions.</v>
      </c>
    </row>
    <row r="780">
      <c r="A780" t="str">
        <f>IFERROR(__xludf.DUMMYFUNCTION("""COMPUTED_VALUE"""),"Iterated amplification")</f>
        <v>Iterated amplification</v>
      </c>
      <c r="B780" t="str">
        <f>IFERROR(__xludf.DUMMYFUNCTION("""COMPUTED_VALUE"""),"")</f>
        <v/>
      </c>
      <c r="C780" s="3" t="str">
        <f>IFERROR(__xludf.DUMMYFUNCTION("""COMPUTED_VALUE"""),"Synthesizing amplification and debate")</f>
        <v>Synthesizing amplification and debate</v>
      </c>
      <c r="D780" t="str">
        <f>IFERROR(__xludf.DUMMYFUNCTION("""COMPUTED_VALUE"""),"Evan Hubinger")</f>
        <v>Evan Hubinger</v>
      </c>
      <c r="E780" t="str">
        <f>IFERROR(__xludf.DUMMYFUNCTION("""COMPUTED_VALUE"""),"Alignment Forum")</f>
        <v>Alignment Forum</v>
      </c>
      <c r="F780">
        <f>IFERROR(__xludf.DUMMYFUNCTION("""COMPUTED_VALUE"""),2020.0)</f>
        <v>2020</v>
      </c>
      <c r="H780" s="3" t="str">
        <f>IFERROR(__xludf.DUMMYFUNCTION("""COMPUTED_VALUE"""),"AN #86")</f>
        <v>AN #86</v>
      </c>
      <c r="I780" t="str">
        <f>IFERROR(__xludf.DUMMYFUNCTION("""COMPUTED_VALUE"""),"Rohin")</f>
        <v>Rohin</v>
      </c>
      <c r="J780" t="str">
        <f>IFERROR(__xludf.DUMMYFUNCTION("""COMPUTED_VALUE"""),"The distillation step in &lt;@iterated amplification@&gt;(@Learning Complex Goals with Iterated Amplification@) can be done using imitation learning. However, as argued in [Against Mimicry](https://ai-alignment.com/against-mimicry-6002a472fc42), if your model M"&amp;" is unable to do perfect imitation, there must be errors, and in this case the imitation objective doesn't necessarily incentivize a graceful failure, whereas a reward-based objective does. So, we might want to add an auxiliary reward objective. This post"&amp;" proposes an algorithm in which the amplified model answers a question via a &lt;@debate@&gt;(@AI safety via debate@). The distilled model can then be trained by a combination of imitation of the amplified model, and reinforcement learning on the reward of +1 f"&amp;"or winning the debate and -1 for losing.")</f>
        <v>The distillation step in &lt;@iterated amplification@&gt;(@Learning Complex Goals with Iterated Amplification@) can be done using imitation learning. However, as argued in [Against Mimicry](https://ai-alignment.com/against-mimicry-6002a472fc42), if your model M is unable to do perfect imitation, there must be errors, and in this case the imitation objective doesn't necessarily incentivize a graceful failure, whereas a reward-based objective does. So, we might want to add an auxiliary reward objective. This post proposes an algorithm in which the amplified model answers a question via a &lt;@debate@&gt;(@AI safety via debate@). The distilled model can then be trained by a combination of imitation of the amplified model, and reinforcement learning on the reward of +1 for winning the debate and -1 for losing.</v>
      </c>
      <c r="K780" t="str">
        <f>IFERROR(__xludf.DUMMYFUNCTION("""COMPUTED_VALUE"""),"This seems like a reasonable algorithm to study, though I suspect there is a simpler algorithm that doesn't use debate that has the same advantages. Some other thoughts in [this thread](https://www.alignmentforum.org/posts/dJSD5RK6Qoidb3QY5/synthesizing-a"&amp;"mplification-and-debate#PhH6BstgNf5zmZK8W).")</f>
        <v>This seems like a reasonable algorithm to study, though I suspect there is a simpler algorithm that doesn't use debate that has the same advantages. Some other thoughts in [this thread](https://www.alignmentforum.org/posts/dJSD5RK6Qoidb3QY5/synthesizing-amplification-and-debate#PhH6BstgNf5zmZK8W).</v>
      </c>
    </row>
    <row r="781">
      <c r="A781" t="str">
        <f>IFERROR(__xludf.DUMMYFUNCTION("""COMPUTED_VALUE"""),"Iterated amplification")</f>
        <v>Iterated amplification</v>
      </c>
      <c r="B781" t="str">
        <f>IFERROR(__xludf.DUMMYFUNCTION("""COMPUTED_VALUE"""),"")</f>
        <v/>
      </c>
      <c r="C781" s="3" t="str">
        <f>IFERROR(__xludf.DUMMYFUNCTION("""COMPUTED_VALUE"""),"(When) is Truth-telling Favored in AI debate?")</f>
        <v>(When) is Truth-telling Favored in AI debate?</v>
      </c>
      <c r="D781" t="str">
        <f>IFERROR(__xludf.DUMMYFUNCTION("""COMPUTED_VALUE"""),"Vojtěch Kovařík, Ryan Carey")</f>
        <v>Vojtěch Kovařík, Ryan Carey</v>
      </c>
      <c r="E781" t="str">
        <f>IFERROR(__xludf.DUMMYFUNCTION("""COMPUTED_VALUE"""),"arXiv")</f>
        <v>arXiv</v>
      </c>
      <c r="F781">
        <f>IFERROR(__xludf.DUMMYFUNCTION("""COMPUTED_VALUE"""),2019.0)</f>
        <v>2019</v>
      </c>
      <c r="H781" s="3" t="str">
        <f>IFERROR(__xludf.DUMMYFUNCTION("""COMPUTED_VALUE"""),"AN #83")</f>
        <v>AN #83</v>
      </c>
      <c r="I781" t="str">
        <f>IFERROR(__xludf.DUMMYFUNCTION("""COMPUTED_VALUE"""),"Rohin")</f>
        <v>Rohin</v>
      </c>
      <c r="J781" t="str">
        <f>IFERROR(__xludf.DUMMYFUNCTION("""COMPUTED_VALUE"""),"&lt;@Debate@&gt;(@AI safety via debate@) aims to train an AI system using self-play to win ""debates"" which aim to convincingly answer a question, as evaluated by a human judge. The main hope is that the equilibrium behavior of this game is for the AI systems "&amp;"to provide true, useful information. This paper studies this in a simple theoretical setting called _feature debates_. In this environment, a ""world"" is sampled from some distribution, and the agents (who have perfect information) are allowed to make cl"&amp;"aims about real-valued ""features"" of the world, in order to answer some question about the features of the world. The judge is allowed to check the value of a single feature before declaring a winner, but otherwise knows nothing about the world.
If eit"&amp;"her agent lies about the value of a feature, the other agent can point this out, which the judge can then check; so at the very least the agents are incentivized to honestly report the values of features. However, does this mean that they will try to answ"&amp;"er the full question truthfully? If the debate has more rounds than there are features, then it certainly does: either agent can unilaterally reveal every feature, which uniquely determines the answer to the question. However, shorter debates need not lea"&amp;"d to truthful answers. For example, if the question is whether the first K features are all 1, then if the debate length is shorter than K, there is no way for an agent to prove that the first K features are all 1.")</f>
        <v>&lt;@Debate@&gt;(@AI safety via debate@) aims to train an AI system using self-play to win "debates" which aim to convincingly answer a question, as evaluated by a human judge. The main hope is that the equilibrium behavior of this game is for the AI systems to provide true, useful information. This paper studies this in a simple theoretical setting called _feature debates_. In this environment, a "world" is sampled from some distribution, and the agents (who have perfect information) are allowed to make claims about real-valued "features" of the world, in order to answer some question about the features of the world. The judge is allowed to check the value of a single feature before declaring a winner, but otherwise knows nothing about the world.
If either agent lies about the value of a feature, the other agent can point this out, which the judge can then check; so at the very least the agents are incentivized to honestly report the values of features. However, does this mean that they will try to answer the full question truthfully? If the debate has more rounds than there are features, then it certainly does: either agent can unilaterally reveal every feature, which uniquely determines the answer to the question. However, shorter debates need not lead to truthful answers. For example, if the question is whether the first K features are all 1, then if the debate length is shorter than K, there is no way for an agent to prove that the first K features are all 1.</v>
      </c>
      <c r="K781" t="str">
        <f>IFERROR(__xludf.DUMMYFUNCTION("""COMPUTED_VALUE"""),"While it is interesting to see what doesn't work with feature debates, I see two problems that make it hard to generalize these results to regular debate. First, I see debate as being truth-seeking in the sense that the answer you arrive at is (in expecta"&amp;"tion) more accurate than the answer the judge would have arrived at by themselves. However, this paper wants the answers to actually be _correct_. Thus, they claim that for sufficiently complicated questions, since the debate can't reach the right answer,"&amp;" the debate isn't truth-seeking -- but in these cases, the answer is still in expectation more accurate than the answer the judge would come up with by themselves.
Second, feature debate doesn't allow for decomposition of the question during the debate, "&amp;"and doesn't allow the agents to challenge each other on particular questions. I think this limits the ""expressive power"" of feature debate to P, while regular debate reaches PSPACE, and is thus able to do much more than feature debate. See this [comment"&amp;"](https://www.alignmentforum.org/posts/RQoSCs9SePDMLJvfz/new-paper-when-is-truth-telling-favored-in-ai-debate#gCeKuJ62HmLtPB9C9) for more details.")</f>
        <v>While it is interesting to see what doesn't work with feature debates, I see two problems that make it hard to generalize these results to regular debate. First, I see debate as being truth-seeking in the sense that the answer you arrive at is (in expectation) more accurate than the answer the judge would have arrived at by themselves. However, this paper wants the answers to actually be _correct_. Thus, they claim that for sufficiently complicated questions, since the debate can't reach the right answer, the debate isn't truth-seeking -- but in these cases, the answer is still in expectation more accurate than the answer the judge would come up with by themselves.
Second, feature debate doesn't allow for decomposition of the question during the debate, and doesn't allow the agents to challenge each other on particular questions. I think this limits the "expressive power" of feature debate to P, while regular debate reaches PSPACE, and is thus able to do much more than feature debate. See this [comment](https://www.alignmentforum.org/posts/RQoSCs9SePDMLJvfz/new-paper-when-is-truth-telling-favored-in-ai-debate#gCeKuJ62HmLtPB9C9) for more details.</v>
      </c>
      <c r="M781" s="3" t="str">
        <f>IFERROR(__xludf.DUMMYFUNCTION("""COMPUTED_VALUE"""),"Paper: (When) Is Truth-telling Favored in AI Debate?")</f>
        <v>Paper: (When) Is Truth-telling Favored in AI Debate?</v>
      </c>
    </row>
    <row r="782">
      <c r="A782" t="str">
        <f>IFERROR(__xludf.DUMMYFUNCTION("""COMPUTED_VALUE"""),"Iterated amplification")</f>
        <v>Iterated amplification</v>
      </c>
      <c r="B782" t="str">
        <f>IFERROR(__xludf.DUMMYFUNCTION("""COMPUTED_VALUE"""),"")</f>
        <v/>
      </c>
      <c r="C782" s="3" t="str">
        <f>IFERROR(__xludf.DUMMYFUNCTION("""COMPUTED_VALUE"""),"Finding Generalizable Evidence by Learning to Convince Q&amp;A Models")</f>
        <v>Finding Generalizable Evidence by Learning to Convince Q&amp;A Models</v>
      </c>
      <c r="D782" t="str">
        <f>IFERROR(__xludf.DUMMYFUNCTION("""COMPUTED_VALUE"""),"Ethan Perez, Siddharth Karamcheti, Rob Fergus, Jason Weston, Douwe Kiela, Kyunghyun Cho")</f>
        <v>Ethan Perez, Siddharth Karamcheti, Rob Fergus, Jason Weston, Douwe Kiela, Kyunghyun Cho</v>
      </c>
      <c r="E782" t="str">
        <f>IFERROR(__xludf.DUMMYFUNCTION("""COMPUTED_VALUE"""),"arXiv")</f>
        <v>arXiv</v>
      </c>
      <c r="F782">
        <f>IFERROR(__xludf.DUMMYFUNCTION("""COMPUTED_VALUE"""),2019.0)</f>
        <v>2019</v>
      </c>
      <c r="H782" s="3" t="str">
        <f>IFERROR(__xludf.DUMMYFUNCTION("""COMPUTED_VALUE"""),"AN #66")</f>
        <v>AN #66</v>
      </c>
      <c r="I782" t="str">
        <f>IFERROR(__xludf.DUMMYFUNCTION("""COMPUTED_VALUE"""),"Asya")</f>
        <v>Asya</v>
      </c>
      <c r="J782" t="str">
        <f>IFERROR(__xludf.DUMMYFUNCTION("""COMPUTED_VALUE"""),"This paper tries to improve performance on multiple-choice questions about text passages using a technique similar to &lt;@AI safety via debate@&gt;. The set-up consists of a **judge model** and one or more **evidence agents**. First, the judge model is pretrai"&amp;"ned on samples consisting of a passage, a multiple-choice question about that passage, and the correct answer to that question. Then, in the experimental portion of the set-up, instead of looking at a full passage, the judge model looks at a subsequence o"&amp;"f the passage created by combining the outputs from several evidence agents. Each evidence agent has been given the same passage and assigned a particular answer to the question, and must select a limited number of sentences from the passage to present to"&amp;" the judge model to convince it of that answer.
The paper varies several parameters in its setup, including the training process for the judge model, the questions used, the process evidence agents use to select sentences, etc. It finds that for many set"&amp;"tings of these parameters, when judge models are tasked with generalizing from shorter passages to longer passages, or easier passages to harder passages, they do better with the new passages when assisted by the evidence agents. It also finds that the se"&amp;"ntences given as evidence by the evidence agents are convincing to humans as well as the judge model.")</f>
        <v>This paper tries to improve performance on multiple-choice questions about text passages using a technique similar to &lt;@AI safety via debate@&gt;. The set-up consists of a **judge model** and one or more **evidence agents**. First, the judge model is pretrained on samples consisting of a passage, a multiple-choice question about that passage, and the correct answer to that question. Then, in the experimental portion of the set-up, instead of looking at a full passage, the judge model looks at a subsequence of the passage created by combining the outputs from several evidence agents. Each evidence agent has been given the same passage and assigned a particular answer to the question, and must select a limited number of sentences from the passage to present to the judge model to convince it of that answer.
The paper varies several parameters in its setup, including the training process for the judge model, the questions used, the process evidence agents use to select sentences, etc. It finds that for many settings of these parameters, when judge models are tasked with generalizing from shorter passages to longer passages, or easier passages to harder passages, they do better with the new passages when assisted by the evidence agents. It also finds that the sentences given as evidence by the evidence agents are convincing to humans as well as the judge model.</v>
      </c>
      <c r="K782" t="str">
        <f>IFERROR(__xludf.DUMMYFUNCTION("""COMPUTED_VALUE"""),"I think it's a cool and non-trivial result that debating agents can in fact improve model accuracy. It feels hard to extrapolate much from this narrow example to debate as a general AI safety technique. The judge model is answering multiple-choice questio"&amp;"ns rather than e.g. evaluating a detailed plan of action, and debating agents are quoting from existing text rather than generating their own potentially fallacious statements.")</f>
        <v>I think it's a cool and non-trivial result that debating agents can in fact improve model accuracy. It feels hard to extrapolate much from this narrow example to debate as a general AI safety technique. The judge model is answering multiple-choice questions rather than e.g. evaluating a detailed plan of action, and debating agents are quoting from existing text rather than generating their own potentially fallacious statements.</v>
      </c>
    </row>
    <row r="783">
      <c r="A783" t="str">
        <f>IFERROR(__xludf.DUMMYFUNCTION("""COMPUTED_VALUE"""),"Iterated amplification")</f>
        <v>Iterated amplification</v>
      </c>
      <c r="B783" t="str">
        <f>IFERROR(__xludf.DUMMYFUNCTION("""COMPUTED_VALUE"""),"")</f>
        <v/>
      </c>
      <c r="C783" s="3" t="str">
        <f>IFERROR(__xludf.DUMMYFUNCTION("""COMPUTED_VALUE"""),"What are the differences between all the iterative/recursive approaches to AI alignment?")</f>
        <v>What are the differences between all the iterative/recursive approaches to AI alignment?</v>
      </c>
      <c r="D783" t="str">
        <f>IFERROR(__xludf.DUMMYFUNCTION("""COMPUTED_VALUE"""),"Issa Rice")</f>
        <v>Issa Rice</v>
      </c>
      <c r="E783" t="str">
        <f>IFERROR(__xludf.DUMMYFUNCTION("""COMPUTED_VALUE"""),"LessWrong")</f>
        <v>LessWrong</v>
      </c>
      <c r="F783">
        <f>IFERROR(__xludf.DUMMYFUNCTION("""COMPUTED_VALUE"""),2019.0)</f>
        <v>2019</v>
      </c>
      <c r="H783" s="3" t="str">
        <f>IFERROR(__xludf.DUMMYFUNCTION("""COMPUTED_VALUE"""),"AN #66")</f>
        <v>AN #66</v>
      </c>
    </row>
    <row r="784">
      <c r="A784" t="str">
        <f>IFERROR(__xludf.DUMMYFUNCTION("""COMPUTED_VALUE"""),"Iterated amplification")</f>
        <v>Iterated amplification</v>
      </c>
      <c r="B784" t="str">
        <f>IFERROR(__xludf.DUMMYFUNCTION("""COMPUTED_VALUE"""),"")</f>
        <v/>
      </c>
      <c r="C784" s="3" t="str">
        <f>IFERROR(__xludf.DUMMYFUNCTION("""COMPUTED_VALUE"""),"Towards a mechanistic understanding of corrigibility")</f>
        <v>Towards a mechanistic understanding of corrigibility</v>
      </c>
      <c r="D784" t="str">
        <f>IFERROR(__xludf.DUMMYFUNCTION("""COMPUTED_VALUE"""),"Evan Hubinger")</f>
        <v>Evan Hubinger</v>
      </c>
      <c r="E784" t="str">
        <f>IFERROR(__xludf.DUMMYFUNCTION("""COMPUTED_VALUE"""),"Alignment Forum")</f>
        <v>Alignment Forum</v>
      </c>
      <c r="F784">
        <f>IFERROR(__xludf.DUMMYFUNCTION("""COMPUTED_VALUE"""),2019.0)</f>
        <v>2019</v>
      </c>
      <c r="H784" s="3" t="str">
        <f>IFERROR(__xludf.DUMMYFUNCTION("""COMPUTED_VALUE"""),"AN #63")</f>
        <v>AN #63</v>
      </c>
      <c r="I784" t="str">
        <f>IFERROR(__xludf.DUMMYFUNCTION("""COMPUTED_VALUE"""),"Rohin")</f>
        <v>Rohin</v>
      </c>
      <c r="J784" t="str">
        <f>IFERROR(__xludf.DUMMYFUNCTION("""COMPUTED_VALUE"""),"One general approach to align AI is to train _and verify_ that an AI system performs acceptably on all inputs. However, we can't do this by simply trying out all inputs, and so for verification we need to have an acceptability criterion that is a function"&amp;" of the ""structure"" of the computation, as opposed to just input-output behavior. This post investigates what this might look like if the acceptability criterion is some flavor of corrigibility, for an AI trained via amplification.")</f>
        <v>One general approach to align AI is to train _and verify_ that an AI system performs acceptably on all inputs. However, we can't do this by simply trying out all inputs, and so for verification we need to have an acceptability criterion that is a function of the "structure" of the computation, as opposed to just input-output behavior. This post investigates what this might look like if the acceptability criterion is some flavor of corrigibility, for an AI trained via amplification.</v>
      </c>
    </row>
    <row r="785">
      <c r="A785" t="str">
        <f>IFERROR(__xludf.DUMMYFUNCTION("""COMPUTED_VALUE"""),"Iterated amplification")</f>
        <v>Iterated amplification</v>
      </c>
      <c r="B785" t="str">
        <f>IFERROR(__xludf.DUMMYFUNCTION("""COMPUTED_VALUE"""),"")</f>
        <v/>
      </c>
      <c r="C785" s="3" t="str">
        <f>IFERROR(__xludf.DUMMYFUNCTION("""COMPUTED_VALUE"""),"Delegating open-ended cognitive work")</f>
        <v>Delegating open-ended cognitive work</v>
      </c>
      <c r="D785" t="str">
        <f>IFERROR(__xludf.DUMMYFUNCTION("""COMPUTED_VALUE"""),"Andreas Stuhlmüller")</f>
        <v>Andreas Stuhlmüller</v>
      </c>
      <c r="E785" t="str">
        <f>IFERROR(__xludf.DUMMYFUNCTION("""COMPUTED_VALUE"""),"EA Global")</f>
        <v>EA Global</v>
      </c>
      <c r="F785">
        <f>IFERROR(__xludf.DUMMYFUNCTION("""COMPUTED_VALUE"""),2019.0)</f>
        <v>2019</v>
      </c>
      <c r="H785" s="3" t="str">
        <f>IFERROR(__xludf.DUMMYFUNCTION("""COMPUTED_VALUE"""),"AN #62")</f>
        <v>AN #62</v>
      </c>
      <c r="I785" t="str">
        <f>IFERROR(__xludf.DUMMYFUNCTION("""COMPUTED_VALUE"""),"Rohin")</f>
        <v>Rohin</v>
      </c>
      <c r="J785" t="str">
        <f>IFERROR(__xludf.DUMMYFUNCTION("""COMPUTED_VALUE"""),"This is the latest explanation of the approach Ought is experimenting with: Factored Evaluation (in contrast to &lt;@Factored Cognition@&gt;). With Factored Cognition, the idea was to recursively decompose a high-level task until you reach subtasks that can be "&amp;"directly solved. Factored Evaluation still does recursive decomposition, but now it is aimed at _evaluating_ the work of experts, along the same lines as &lt;@recursive reward modeling@&gt;(@Scalable agent alignment via reward modeling@).
This shift means that"&amp;" Ought is attacking a very natural problem: how to effectively delegate work to experts while avoiding principal-agent problems. In particular, we want to design incentives such that untrusted experts under the incentives will be as helpful as experts int"&amp;"rinsically motivated to help. The experts could be human experts or advanced ML systems; ideally our incentive design would work for both.
Currently, Ought is running experiments with reading comprehension on Wikipedia articles. The experts get access to"&amp;" the article while the judge does not, but the judge can check whether particular quotes come from the article. They would like to move to tasks that have a greater gap between the experts and the judge (e.g. allowing the experts to use Google), and to ta"&amp;"sks that are more subjective (e.g. whether the judge should get Lasik surgery).")</f>
        <v>This is the latest explanation of the approach Ought is experimenting with: Factored Evaluation (in contrast to &lt;@Factored Cognition@&gt;). With Factored Cognition, the idea was to recursively decompose a high-level task until you reach subtasks that can be directly solved. Factored Evaluation still does recursive decomposition, but now it is aimed at _evaluating_ the work of experts, along the same lines as &lt;@recursive reward modeling@&gt;(@Scalable agent alignment via reward modeling@).
This shift means that Ought is attacking a very natural problem: how to effectively delegate work to experts while avoiding principal-agent problems. In particular, we want to design incentives such that untrusted experts under the incentives will be as helpful as experts intrinsically motivated to help. The experts could be human experts or advanced ML systems; ideally our incentive design would work for both.
Currently, Ought is running experiments with reading comprehension on Wikipedia articles. The experts get access to the article while the judge does not, but the judge can check whether particular quotes come from the article. They would like to move to tasks that have a greater gap between the experts and the judge (e.g. allowing the experts to use Google), and to tasks that are more subjective (e.g. whether the judge should get Lasik surgery).</v>
      </c>
      <c r="K785" t="str">
        <f>IFERROR(__xludf.DUMMYFUNCTION("""COMPUTED_VALUE"""),"The switch from Factored Cognition to Factored Evaluation is interesting. While it does make it more relevant outside the context of AI alignment (since principal-agent problems abound outside of AI), it still seems like the major impact of Ought is on AI"&amp;" alignment, and I'm not sure what the difference is there. In &lt;@iterated amplification@&gt;(@Learning Complex Goals with Iterated Amplification@), when decomposing tasks in the Factored Cognition sense, you would use imitation learning during the distillatio"&amp;"n step, whereas with Factored Evaluation, you would use reinforcement learning to optimize the evaluation signal. The switch would be useful if you expect the reinforcement learning to work significantly better than imitation learning.
However, with Fact"&amp;"ored Evaluation, the agent that you train iteratively is one that must be good at evaluating tasks, and then you'd need another agent that actually performs the task (or you could train the same agent to do both). In contrast, with Factored Cognition you "&amp;"only need an agent that is performing the task. If the decompositions needed to perform the task are different from the decompositions needed to evaluate the task, then Factored Cognition would presumably have an advantage.")</f>
        <v>The switch from Factored Cognition to Factored Evaluation is interesting. While it does make it more relevant outside the context of AI alignment (since principal-agent problems abound outside of AI), it still seems like the major impact of Ought is on AI alignment, and I'm not sure what the difference is there. In &lt;@iterated amplification@&gt;(@Learning Complex Goals with Iterated Amplification@), when decomposing tasks in the Factored Cognition sense, you would use imitation learning during the distillation step, whereas with Factored Evaluation, you would use reinforcement learning to optimize the evaluation signal. The switch would be useful if you expect the reinforcement learning to work significantly better than imitation learning.
However, with Factored Evaluation, the agent that you train iteratively is one that must be good at evaluating tasks, and then you'd need another agent that actually performs the task (or you could train the same agent to do both). In contrast, with Factored Cognition you only need an agent that is performing the task. If the decompositions needed to perform the task are different from the decompositions needed to evaluate the task, then Factored Cognition would presumably have an advantage.</v>
      </c>
    </row>
    <row r="786">
      <c r="A786" t="str">
        <f>IFERROR(__xludf.DUMMYFUNCTION("""COMPUTED_VALUE"""),"Iterated amplification")</f>
        <v>Iterated amplification</v>
      </c>
      <c r="B786" t="str">
        <f>IFERROR(__xludf.DUMMYFUNCTION("""COMPUTED_VALUE"""),"")</f>
        <v/>
      </c>
      <c r="C786" s="3" t="str">
        <f>IFERROR(__xludf.DUMMYFUNCTION("""COMPUTED_VALUE"""),"HCH is not just Mechanical Turk")</f>
        <v>HCH is not just Mechanical Turk</v>
      </c>
      <c r="D786" t="str">
        <f>IFERROR(__xludf.DUMMYFUNCTION("""COMPUTED_VALUE"""),"William Saunders")</f>
        <v>William Saunders</v>
      </c>
      <c r="E786" t="str">
        <f>IFERROR(__xludf.DUMMYFUNCTION("""COMPUTED_VALUE"""),"Alignment Forum")</f>
        <v>Alignment Forum</v>
      </c>
      <c r="F786">
        <f>IFERROR(__xludf.DUMMYFUNCTION("""COMPUTED_VALUE"""),2019.0)</f>
        <v>2019</v>
      </c>
      <c r="H786" s="3" t="str">
        <f>IFERROR(__xludf.DUMMYFUNCTION("""COMPUTED_VALUE"""),"AN #45")</f>
        <v>AN #45</v>
      </c>
      <c r="I786" t="str">
        <f>IFERROR(__xludf.DUMMYFUNCTION("""COMPUTED_VALUE"""),"Rohin")</f>
        <v>Rohin</v>
      </c>
      <c r="J786" t="str">
        <f>IFERROR(__xludf.DUMMYFUNCTION("""COMPUTED_VALUE"""),"In [Humans Consulting HCH](https://www.alignmentforum.org/posts/NXqs4nYXaq8q6dTTx/humans-consulting-hch) (HCH) ([AN #34](https://mailchi.mp/f1947668b183/alignment-newsletter-34)) a human is asked a question and is supposed to return an answer. The human c"&amp;"an ask subquestions, which are delegated to another copy of the human, who can ask subsubquestions, ad infinitum. This post points out that HCH has a free parameter -- the base human policy. We could imagine e.g. taking a Mechanical Turk worker and using "&amp;"them as the base human policy, and we could argue that HCH would give good answers in this setting as long as the worker is well-motivated, since he is using ""human-like"" reasoning. However, there are other alternatives. For example, in theory we could "&amp;"formalize a ""core"" of reasoning. For concreteness, suppose we implement a lookup table for ""simple"" questions, and then use this lookup table. We might expect this to be safe because of theorems that we proved about the lookup table, or by looking at "&amp;"the process by which the development team created the lookup table. In between these two extremes, we could imagine that the AI researchers train the human overseers about how to corrigibly answer questions, and then the human policy is used in HCH. This "&amp;"seems distinctly more likely to be safe than the first case.")</f>
        <v>In [Humans Consulting HCH](https://www.alignmentforum.org/posts/NXqs4nYXaq8q6dTTx/humans-consulting-hch) (HCH) ([AN #34](https://mailchi.mp/f1947668b183/alignment-newsletter-34)) a human is asked a question and is supposed to return an answer. The human can ask subquestions, which are delegated to another copy of the human, who can ask subsubquestions, ad infinitum. This post points out that HCH has a free parameter -- the base human policy. We could imagine e.g. taking a Mechanical Turk worker and using them as the base human policy, and we could argue that HCH would give good answers in this setting as long as the worker is well-motivated, since he is using "human-like" reasoning. However, there are other alternatives. For example, in theory we could formalize a "core" of reasoning. For concreteness, suppose we implement a lookup table for "simple" questions, and then use this lookup table. We might expect this to be safe because of theorems that we proved about the lookup table, or by looking at the process by which the development team created the lookup table. In between these two extremes, we could imagine that the AI researchers train the human overseers about how to corrigibly answer questions, and then the human policy is used in HCH. This seems distinctly more likely to be safe than the first case.</v>
      </c>
      <c r="K786" t="str">
        <f>IFERROR(__xludf.DUMMYFUNCTION("""COMPUTED_VALUE"""),"I strongly agree with the general point that we can get significant safety by [improving the human policy](https://www.alignmentforum.org/posts/eD9T4kiwB6MHpySGE/the-human-side-of-interaction) ([AN #43](https://mailchi.mp/768a8130013f/alignment-newsletter"&amp;"-43)), especially with HCH and iterated amplification, since they depend on having good human overseers, at least initially.")</f>
        <v>I strongly agree with the general point that we can get significant safety by [improving the human policy](https://www.alignmentforum.org/posts/eD9T4kiwB6MHpySGE/the-human-side-of-interaction) ([AN #43](https://mailchi.mp/768a8130013f/alignment-newsletter-43)), especially with HCH and iterated amplification, since they depend on having good human overseers, at least initially.</v>
      </c>
    </row>
    <row r="787">
      <c r="A787" t="str">
        <f>IFERROR(__xludf.DUMMYFUNCTION("""COMPUTED_VALUE"""),"Iterated amplification")</f>
        <v>Iterated amplification</v>
      </c>
      <c r="B787" t="str">
        <f>IFERROR(__xludf.DUMMYFUNCTION("""COMPUTED_VALUE"""),"")</f>
        <v/>
      </c>
      <c r="C787" s="3" t="str">
        <f>IFERROR(__xludf.DUMMYFUNCTION("""COMPUTED_VALUE"""),"Disagreement with Paul: alignment induction")</f>
        <v>Disagreement with Paul: alignment induction</v>
      </c>
      <c r="D787" t="str">
        <f>IFERROR(__xludf.DUMMYFUNCTION("""COMPUTED_VALUE"""),"Stuart Armstrong")</f>
        <v>Stuart Armstrong</v>
      </c>
      <c r="E787" t="str">
        <f>IFERROR(__xludf.DUMMYFUNCTION("""COMPUTED_VALUE"""),"Alignment Forum")</f>
        <v>Alignment Forum</v>
      </c>
      <c r="F787">
        <f>IFERROR(__xludf.DUMMYFUNCTION("""COMPUTED_VALUE"""),2018.0)</f>
        <v>2018</v>
      </c>
      <c r="H787" s="3" t="str">
        <f>IFERROR(__xludf.DUMMYFUNCTION("""COMPUTED_VALUE"""),"AN #24")</f>
        <v>AN #24</v>
      </c>
      <c r="I787" t="str">
        <f>IFERROR(__xludf.DUMMYFUNCTION("""COMPUTED_VALUE"""),"Rohin")</f>
        <v>Rohin</v>
      </c>
      <c r="J787" t="str">
        <f>IFERROR(__xludf.DUMMYFUNCTION("""COMPUTED_VALUE"""),"The amplification step in iterated distillation and amplification (IDA) requires an inductive argument saying that if the agent at level n is aligned, then so is the one at level n+1. However, in order to get the induction to work, you need to say not jus"&amp;"t that agent at level n won't take unaligned actions, but that it will also ""assess the decisions of a higher agent in a way that preserves alignment (and preserves the preservation of alignment, and so on)"". This seems like a much less intuitive criter"&amp;"ion, and so getting the base case of an agent that a human can verify has this property may be too hard -- it probably has to have all of the friendly utility function in the base case itself, or perhaps it gets it after one or two iterations (if it needs"&amp;" to solve a few problems along the way).")</f>
        <v>The amplification step in iterated distillation and amplification (IDA) requires an inductive argument saying that if the agent at level n is aligned, then so is the one at level n+1. However, in order to get the induction to work, you need to say not just that agent at level n won't take unaligned actions, but that it will also "assess the decisions of a higher agent in a way that preserves alignment (and preserves the preservation of alignment, and so on)". This seems like a much less intuitive criterion, and so getting the base case of an agent that a human can verify has this property may be too hard -- it probably has to have all of the friendly utility function in the base case itself, or perhaps it gets it after one or two iterations (if it needs to solve a few problems along the way).</v>
      </c>
      <c r="K787" t="str">
        <f>IFERROR(__xludf.DUMMYFUNCTION("""COMPUTED_VALUE"""),"If I imagine each level A[n] as maximizing the expected value of some simple utility function, I agree that it would be surprising if the result was not one of your first three cases. Intuitively, either we already have all of the friendly utility functio"&amp;"n, and we didn't need induction, or we didn't and bad things happen, which corresponds to cases 1 and 3.
But it seems like one of the main points of iterated amplification is that at least the initial levels need not be maximizing the expected value of s"&amp;"ome simple utility. In that case, there seems to be a much wider space of possible designs.
For example, we could have a system that has the epistemic state of wanting to help humans but knowing that it doesn't know how best to do that, and so asking hum"&amp;"ans for feedback and deferring to them when appropriate. Such a system with amplification might eventually learn the friendly utility function and start maximizing that, but it seems like there could be many iterations before that point, during which it i"&amp;"s corrigible in the sense of deferring to humans and not maximizing its current conception of what is best.
I don't have a strong sense at the moment what would happen, but it seems plausible that the induction will go through and will have ""actually ma"&amp;"ttered"".")</f>
        <v>If I imagine each level A[n] as maximizing the expected value of some simple utility function, I agree that it would be surprising if the result was not one of your first three cases. Intuitively, either we already have all of the friendly utility function, and we didn't need induction, or we didn't and bad things happen, which corresponds to cases 1 and 3.
But it seems like one of the main points of iterated amplification is that at least the initial levels need not be maximizing the expected value of some simple utility. In that case, there seems to be a much wider space of possible designs.
For example, we could have a system that has the epistemic state of wanting to help humans but knowing that it doesn't know how best to do that, and so asking humans for feedback and deferring to them when appropriate. Such a system with amplification might eventually learn the friendly utility function and start maximizing that, but it seems like there could be many iterations before that point, during which it is corrigible in the sense of deferring to humans and not maximizing its current conception of what is best.
I don't have a strong sense at the moment what would happen, but it seems plausible that the induction will go through and will have "actually mattered".</v>
      </c>
    </row>
    <row r="788">
      <c r="A788" t="str">
        <f>IFERROR(__xludf.DUMMYFUNCTION("""COMPUTED_VALUE"""),"Iterated amplification")</f>
        <v>Iterated amplification</v>
      </c>
      <c r="B788" t="str">
        <f>IFERROR(__xludf.DUMMYFUNCTION("""COMPUTED_VALUE"""),"")</f>
        <v/>
      </c>
      <c r="C788" s="3" t="str">
        <f>IFERROR(__xludf.DUMMYFUNCTION("""COMPUTED_VALUE"""),"Two guarantees")</f>
        <v>Two guarantees</v>
      </c>
      <c r="D788" t="str">
        <f>IFERROR(__xludf.DUMMYFUNCTION("""COMPUTED_VALUE"""),"Paul Christiano")</f>
        <v>Paul Christiano</v>
      </c>
      <c r="E788" t="str">
        <f>IFERROR(__xludf.DUMMYFUNCTION("""COMPUTED_VALUE"""),"AI Alignment")</f>
        <v>AI Alignment</v>
      </c>
      <c r="F788">
        <f>IFERROR(__xludf.DUMMYFUNCTION("""COMPUTED_VALUE"""),2018.0)</f>
        <v>2018</v>
      </c>
      <c r="H788" s="3" t="str">
        <f>IFERROR(__xludf.DUMMYFUNCTION("""COMPUTED_VALUE"""),"AN #2")</f>
        <v>AN #2</v>
      </c>
      <c r="I788" t="str">
        <f>IFERROR(__xludf.DUMMYFUNCTION("""COMPUTED_VALUE"""),"Rohin")</f>
        <v>Rohin</v>
      </c>
      <c r="J788" t="str">
        <f>IFERROR(__xludf.DUMMYFUNCTION("""COMPUTED_VALUE"""),"The ""minimum viable product"" of AI alignment research would be an AI that satisfies two guarantees -- first, that it achieves good average-case behavior (the performance guarantee), and second, that it achieves reasonable worst-case behavior (the contro"&amp;"l guarantee). There's then some discussion of how we might establish these guarantees inductively about [amplification](https://ai-alignment.com/policy-amplification-6a70cbee4f34).")</f>
        <v>The "minimum viable product" of AI alignment research would be an AI that satisfies two guarantees -- first, that it achieves good average-case behavior (the performance guarantee), and second, that it achieves reasonable worst-case behavior (the control guarantee). There's then some discussion of how we might establish these guarantees inductively about [amplification](https://ai-alignment.com/policy-amplification-6a70cbee4f34).</v>
      </c>
      <c r="K788" t="str">
        <f>IFERROR(__xludf.DUMMYFUNCTION("""COMPUTED_VALUE"""),"I like this framing of what guarantees we want to achieve. Hopefully we can apply this to other AI systems as well.")</f>
        <v>I like this framing of what guarantees we want to achieve. Hopefully we can apply this to other AI systems as well.</v>
      </c>
      <c r="M788" s="3" t="str">
        <f>IFERROR(__xludf.DUMMYFUNCTION("""COMPUTED_VALUE"""),"Techniques for optimizing worst-case performance")</f>
        <v>Techniques for optimizing worst-case performance</v>
      </c>
    </row>
    <row r="789">
      <c r="A789" t="str">
        <f>IFERROR(__xludf.DUMMYFUNCTION("""COMPUTED_VALUE"""),"Iterated amplification")</f>
        <v>Iterated amplification</v>
      </c>
      <c r="B789" t="str">
        <f>IFERROR(__xludf.DUMMYFUNCTION("""COMPUTED_VALUE"""),"")</f>
        <v/>
      </c>
      <c r="C789" s="3" t="str">
        <f>IFERROR(__xludf.DUMMYFUNCTION("""COMPUTED_VALUE"""),"Can corrigibility be learned safely?")</f>
        <v>Can corrigibility be learned safely?</v>
      </c>
      <c r="D789" t="str">
        <f>IFERROR(__xludf.DUMMYFUNCTION("""COMPUTED_VALUE"""),"Wei Dai")</f>
        <v>Wei Dai</v>
      </c>
      <c r="E789" t="str">
        <f>IFERROR(__xludf.DUMMYFUNCTION("""COMPUTED_VALUE"""),"LessWrong")</f>
        <v>LessWrong</v>
      </c>
      <c r="F789">
        <f>IFERROR(__xludf.DUMMYFUNCTION("""COMPUTED_VALUE"""),2018.0)</f>
        <v>2018</v>
      </c>
      <c r="H789" s="3" t="str">
        <f>IFERROR(__xludf.DUMMYFUNCTION("""COMPUTED_VALUE"""),"AN #2")</f>
        <v>AN #2</v>
      </c>
      <c r="I789" t="str">
        <f>IFERROR(__xludf.DUMMYFUNCTION("""COMPUTED_VALUE"""),"Rohin")</f>
        <v>Rohin</v>
      </c>
      <c r="J789" t="str">
        <f>IFERROR(__xludf.DUMMYFUNCTION("""COMPUTED_VALUE"""),"We hope that iterated distillation and amplification is sufficient to learn to be corrigible, because the subagents in the amplification procedure are given simple enough tasks that the tasks are not ""attacks"" that lead to incorrigible behavior. However"&amp;", if we are forced to break down all of our tasks into simple subtasks that are solved without access to any of the surrounding context, then we will end up with an AI that interprets us very literally and is unable to use ""common sense"", which could le"&amp;"ad to incorrigible behavior. You might think that we could get around this by learning about corrigible behavior from the environment (eg. by observing how humans interact with each other), but then we have the same problem that if you learn ""large"" chu"&amp;"nks from the environment you could be attacked, and if you learn ""small"" chunks you will be too literal.")</f>
        <v>We hope that iterated distillation and amplification is sufficient to learn to be corrigible, because the subagents in the amplification procedure are given simple enough tasks that the tasks are not "attacks" that lead to incorrigible behavior. However, if we are forced to break down all of our tasks into simple subtasks that are solved without access to any of the surrounding context, then we will end up with an AI that interprets us very literally and is unable to use "common sense", which could lead to incorrigible behavior. You might think that we could get around this by learning about corrigible behavior from the environment (eg. by observing how humans interact with each other), but then we have the same problem that if you learn "large" chunks from the environment you could be attacked, and if you learn "small" chunks you will be too literal.</v>
      </c>
      <c r="K789" t="str">
        <f>IFERROR(__xludf.DUMMYFUNCTION("""COMPUTED_VALUE"""),"I agree with the criticism that breaking tasks down into subtasks causes you to lose a lot of capability. I'm mostly confused by the analysis in terms of ""small"" and ""large"" chunks and whether there are ""attacks"" or not so don't want to comment on i"&amp;"t, but I think this is addressing an important open question and I'd like to see people try to understand what's going on and have more diversity of thought here.")</f>
        <v>I agree with the criticism that breaking tasks down into subtasks causes you to lose a lot of capability. I'm mostly confused by the analysis in terms of "small" and "large" chunks and whether there are "attacks" or not so don't want to comment on it, but I think this is addressing an important open question and I'd like to see people try to understand what's going on and have more diversity of thought here.</v>
      </c>
    </row>
    <row r="790">
      <c r="A790" t="str">
        <f>IFERROR(__xludf.DUMMYFUNCTION("""COMPUTED_VALUE"""),"Iterated amplification")</f>
        <v>Iterated amplification</v>
      </c>
      <c r="B790" t="str">
        <f>IFERROR(__xludf.DUMMYFUNCTION("""COMPUTED_VALUE"""),"")</f>
        <v/>
      </c>
      <c r="C790" s="3" t="str">
        <f>IFERROR(__xludf.DUMMYFUNCTION("""COMPUTED_VALUE"""),"The limits of corrigibility")</f>
        <v>The limits of corrigibility</v>
      </c>
      <c r="D790" t="str">
        <f>IFERROR(__xludf.DUMMYFUNCTION("""COMPUTED_VALUE"""),"Stuart Armstrong")</f>
        <v>Stuart Armstrong</v>
      </c>
      <c r="E790" t="str">
        <f>IFERROR(__xludf.DUMMYFUNCTION("""COMPUTED_VALUE"""),"LessWrong")</f>
        <v>LessWrong</v>
      </c>
      <c r="F790">
        <f>IFERROR(__xludf.DUMMYFUNCTION("""COMPUTED_VALUE"""),2018.0)</f>
        <v>2018</v>
      </c>
      <c r="H790" s="3" t="str">
        <f>IFERROR(__xludf.DUMMYFUNCTION("""COMPUTED_VALUE"""),"AN #2")</f>
        <v>AN #2</v>
      </c>
      <c r="I790" t="str">
        <f>IFERROR(__xludf.DUMMYFUNCTION("""COMPUTED_VALUE"""),"Rohin")</f>
        <v>Rohin</v>
      </c>
      <c r="J790" t="str">
        <f>IFERROR(__xludf.DUMMYFUNCTION("""COMPUTED_VALUE"""),"There are situations in which an AI would be able (or even required) to take some actions that can influence the human's values. For example, if a billionaire asked the AI to help him figure out how to prioritize between charities to give to, based on its"&amp;" answer the billionaire could move towards effective altruism, or focus more on administrative costs, or help animals instead of humans -- and all of these are ""compatible"" with the billionaire's current values. In such a situation, it's unclear what """&amp;"corrigibility"" means. It seems like the only ""corrigible"" behavior here is to explicitly figure out what the billionaire values, and then help him optimize those values -- but then in order to get corrigible behavior, we need to learn human values, whi"&amp;"ch we know is hard.")</f>
        <v>There are situations in which an AI would be able (or even required) to take some actions that can influence the human's values. For example, if a billionaire asked the AI to help him figure out how to prioritize between charities to give to, based on its answer the billionaire could move towards effective altruism, or focus more on administrative costs, or help animals instead of humans -- and all of these are "compatible" with the billionaire's current values. In such a situation, it's unclear what "corrigibility" means. It seems like the only "corrigible" behavior here is to explicitly figure out what the billionaire values, and then help him optimize those values -- but then in order to get corrigible behavior, we need to learn human values, which we know is hard.</v>
      </c>
      <c r="K790" t="str">
        <f>IFERROR(__xludf.DUMMYFUNCTION("""COMPUTED_VALUE"""),"This feels to me like a misunderstanding of (Paul's version of) corrigibility. The post takes a perspective where it looks at the _outcomes_ of an AI acting in the world, whereas my understanding is that corrigibility is also about the _motivation_ underl"&amp;"ying an AI's choices, regardless of what outcomes actually happen.")</f>
        <v>This feels to me like a misunderstanding of (Paul's version of) corrigibility. The post takes a perspective where it looks at the _outcomes_ of an AI acting in the world, whereas my understanding is that corrigibility is also about the _motivation_ underlying an AI's choices, regardless of what outcomes actually happen.</v>
      </c>
      <c r="M790" s="3" t="str">
        <f>IFERROR(__xludf.DUMMYFUNCTION("""COMPUTED_VALUE"""),"Problems with Amplification/Distillation")</f>
        <v>Problems with Amplification/Distillation</v>
      </c>
    </row>
    <row r="791">
      <c r="A791" t="str">
        <f>IFERROR(__xludf.DUMMYFUNCTION("""COMPUTED_VALUE"""),"Iterated amplification")</f>
        <v>Iterated amplification</v>
      </c>
      <c r="B791" t="str">
        <f>IFERROR(__xludf.DUMMYFUNCTION("""COMPUTED_VALUE"""),"")</f>
        <v/>
      </c>
      <c r="C791" s="3" t="str">
        <f>IFERROR(__xludf.DUMMYFUNCTION("""COMPUTED_VALUE"""),"A comment on the IDA-AlphaGoZero metaphor; capabilities versus alignment")</f>
        <v>A comment on the IDA-AlphaGoZero metaphor; capabilities versus alignment</v>
      </c>
      <c r="D791" t="str">
        <f>IFERROR(__xludf.DUMMYFUNCTION("""COMPUTED_VALUE"""),"Alex Mennen")</f>
        <v>Alex Mennen</v>
      </c>
      <c r="E791" t="str">
        <f>IFERROR(__xludf.DUMMYFUNCTION("""COMPUTED_VALUE"""),"LessWrong")</f>
        <v>LessWrong</v>
      </c>
      <c r="F791">
        <f>IFERROR(__xludf.DUMMYFUNCTION("""COMPUTED_VALUE"""),2018.0)</f>
        <v>2018</v>
      </c>
      <c r="H791" s="3" t="str">
        <f>IFERROR(__xludf.DUMMYFUNCTION("""COMPUTED_VALUE"""),"AN #15")</f>
        <v>AN #15</v>
      </c>
      <c r="I791" t="str">
        <f>IFERROR(__xludf.DUMMYFUNCTION("""COMPUTED_VALUE"""),"Rohin")</f>
        <v>Rohin</v>
      </c>
      <c r="J791" t="str">
        <f>IFERROR(__xludf.DUMMYFUNCTION("""COMPUTED_VALUE"""),"Paul Christiano has [compared](https://ai-alignment.com/alphago-zero-and-capability-amplification-ede767bb8446) iterated distillation and amplification (IDA) to AlphaGo Zero. However, we usually don't think of AlphaGo Zero as having any alignment issues. "&amp;"Alex points out that we could think of this another way -- we could imagine that the value network represents the ""goals"" of AlphaGo Zero. In that case, if states get an incorrect value, that is misalignment. AlphaGo Zero corrects this misalignment thro"&amp;"ugh MCTS (analogous to amplification in IDA), which updates the values according to the ground truth win/loss reward (analogous to the human). This suggests that in IDA, we should be aiming for any reduction in alignment from distillation to be corrected "&amp;"by the next amplification step.")</f>
        <v>Paul Christiano has [compared](https://ai-alignment.com/alphago-zero-and-capability-amplification-ede767bb8446) iterated distillation and amplification (IDA) to AlphaGo Zero. However, we usually don't think of AlphaGo Zero as having any alignment issues. Alex points out that we could think of this another way -- we could imagine that the value network represents the "goals" of AlphaGo Zero. In that case, if states get an incorrect value, that is misalignment. AlphaGo Zero corrects this misalignment through MCTS (analogous to amplification in IDA), which updates the values according to the ground truth win/loss reward (analogous to the human). This suggests that in IDA, we should be aiming for any reduction in alignment from distillation to be corrected by the next amplification step.</v>
      </c>
      <c r="K791" t="str">
        <f>IFERROR(__xludf.DUMMYFUNCTION("""COMPUTED_VALUE"""),"I agree with this post.")</f>
        <v>I agree with this post.</v>
      </c>
      <c r="M791" s="3" t="str">
        <f>IFERROR(__xludf.DUMMYFUNCTION("""COMPUTED_VALUE"""),"AlphaGo Zero and Capability Amplification")</f>
        <v>AlphaGo Zero and Capability Amplification</v>
      </c>
    </row>
    <row r="792">
      <c r="A792" t="str">
        <f>IFERROR(__xludf.DUMMYFUNCTION("""COMPUTED_VALUE"""),"Iterated amplification")</f>
        <v>Iterated amplification</v>
      </c>
      <c r="B792" t="str">
        <f>IFERROR(__xludf.DUMMYFUNCTION("""COMPUTED_VALUE"""),"")</f>
        <v/>
      </c>
      <c r="C792" s="3" t="str">
        <f>IFERROR(__xludf.DUMMYFUNCTION("""COMPUTED_VALUE"""),"Making AI Safe through Debate")</f>
        <v>Making AI Safe through Debate</v>
      </c>
      <c r="D792" t="str">
        <f>IFERROR(__xludf.DUMMYFUNCTION("""COMPUTED_VALUE"""),"Jeremie Harris and Ethan Perez")</f>
        <v>Jeremie Harris and Ethan Perez</v>
      </c>
      <c r="E792" t="str">
        <f>IFERROR(__xludf.DUMMYFUNCTION("""COMPUTED_VALUE"""),"Towards Data Science")</f>
        <v>Towards Data Science</v>
      </c>
      <c r="F792">
        <f>IFERROR(__xludf.DUMMYFUNCTION("""COMPUTED_VALUE"""),2021.0)</f>
        <v>2021</v>
      </c>
      <c r="H792" s="3" t="str">
        <f>IFERROR(__xludf.DUMMYFUNCTION("""COMPUTED_VALUE"""),"AN #146")</f>
        <v>AN #146</v>
      </c>
      <c r="I792" t="str">
        <f>IFERROR(__xludf.DUMMYFUNCTION("""COMPUTED_VALUE"""),"Rohin")</f>
        <v>Rohin</v>
      </c>
      <c r="J792" t="str">
        <f>IFERROR(__xludf.DUMMYFUNCTION("""COMPUTED_VALUE"""),"This hour-long podcast is a good introduction to iterated amplification and debate, from a more ML perspective than most other explanations.")</f>
        <v>This hour-long podcast is a good introduction to iterated amplification and debate, from a more ML perspective than most other explanations.</v>
      </c>
    </row>
    <row r="793">
      <c r="A793" t="str">
        <f>IFERROR(__xludf.DUMMYFUNCTION("""COMPUTED_VALUE"""),"Iterated amplification")</f>
        <v>Iterated amplification</v>
      </c>
      <c r="B793" t="str">
        <f>IFERROR(__xludf.DUMMYFUNCTION("""COMPUTED_VALUE"""),"")</f>
        <v/>
      </c>
      <c r="C793" s="3" t="str">
        <f>IFERROR(__xludf.DUMMYFUNCTION("""COMPUTED_VALUE"""),"Epistemology of HCH")</f>
        <v>Epistemology of HCH</v>
      </c>
      <c r="D793" t="str">
        <f>IFERROR(__xludf.DUMMYFUNCTION("""COMPUTED_VALUE"""),"Adam Shimi")</f>
        <v>Adam Shimi</v>
      </c>
      <c r="E793" t="str">
        <f>IFERROR(__xludf.DUMMYFUNCTION("""COMPUTED_VALUE"""),"Alignment Forum")</f>
        <v>Alignment Forum</v>
      </c>
      <c r="F793">
        <f>IFERROR(__xludf.DUMMYFUNCTION("""COMPUTED_VALUE"""),2021.0)</f>
        <v>2021</v>
      </c>
      <c r="H793" s="3" t="str">
        <f>IFERROR(__xludf.DUMMYFUNCTION("""COMPUTED_VALUE"""),"AN #138")</f>
        <v>AN #138</v>
      </c>
      <c r="I793" t="str">
        <f>IFERROR(__xludf.DUMMYFUNCTION("""COMPUTED_VALUE"""),"Rohin")</f>
        <v>Rohin</v>
      </c>
      <c r="J793" t="str">
        <f>IFERROR(__xludf.DUMMYFUNCTION("""COMPUTED_VALUE"""),"This post identifies and explores three perspectives one can take on &lt;@HCH@&gt;(@Humans Consulting HCH@):
1. **Philosophical abstraction:** In this perspective, HCH is an operationalization of the concept of one’s enlightened judgment.
2. **Intermediary ali"&amp;"gnment scheme:** Here we consider HCH as a scheme that arguably would be aligned if we could build it.
3. **Model of computation:** By identifying the human in HCH with some computation primitive (e.g. arbitrary polynomial-time algorithms), we can think o"&amp;"f HCH as a particular theoretical model of computation that can be done using that primitive.")</f>
        <v>This post identifies and explores three perspectives one can take on &lt;@HCH@&gt;(@Humans Consulting HCH@):
1. **Philosophical abstraction:** In this perspective, HCH is an operationalization of the concept of one’s enlightened judgment.
2. **Intermediary alignment scheme:** Here we consider HCH as a scheme that arguably would be aligned if we could build it.
3. **Model of computation:** By identifying the human in HCH with some computation primitive (e.g. arbitrary polynomial-time algorithms), we can think of HCH as a particular theoretical model of computation that can be done using that primitive.</v>
      </c>
    </row>
    <row r="794">
      <c r="A794" t="str">
        <f>IFERROR(__xludf.DUMMYFUNCTION("""COMPUTED_VALUE"""),"Iterated amplification")</f>
        <v>Iterated amplification</v>
      </c>
      <c r="B794" t="str">
        <f>IFERROR(__xludf.DUMMYFUNCTION("""COMPUTED_VALUE"""),"")</f>
        <v/>
      </c>
      <c r="C794" s="3" t="str">
        <f>IFERROR(__xludf.DUMMYFUNCTION("""COMPUTED_VALUE"""),"Factored Cognition sequence")</f>
        <v>Factored Cognition sequence</v>
      </c>
      <c r="D794" t="str">
        <f>IFERROR(__xludf.DUMMYFUNCTION("""COMPUTED_VALUE"""),"Rafael Harth")</f>
        <v>Rafael Harth</v>
      </c>
      <c r="E794" t="str">
        <f>IFERROR(__xludf.DUMMYFUNCTION("""COMPUTED_VALUE"""),"LessWrong")</f>
        <v>LessWrong</v>
      </c>
      <c r="F794">
        <f>IFERROR(__xludf.DUMMYFUNCTION("""COMPUTED_VALUE"""),2020.0)</f>
        <v>2020</v>
      </c>
      <c r="H794" s="3" t="str">
        <f>IFERROR(__xludf.DUMMYFUNCTION("""COMPUTED_VALUE"""),"AN #135")</f>
        <v>AN #135</v>
      </c>
      <c r="I794" t="str">
        <f>IFERROR(__xludf.DUMMYFUNCTION("""COMPUTED_VALUE"""),"Rohin")</f>
        <v>Rohin</v>
      </c>
      <c r="J794" t="str">
        <f>IFERROR(__xludf.DUMMYFUNCTION("""COMPUTED_VALUE"""),"The &lt;@Factored Cognition Hypothesis@&gt;(@Factored Cognition@) informally states that any task can be performed by recursively decomposing the task into smaller and smaller subtasks until eventually the smallest tasks can be done by a human. This sequence ai"&amp;"ms to formalize the hypothesis to the point that it can be used to argue for the outer alignment of (idealized versions of) &lt;@iterated amplification@&gt;(@Supervising strong learners by amplifying weak experts@) and &lt;@debate@&gt;(@AI safety via debate@).
The k"&amp;"ey concept is that of an _explanation_ or _decomposition_. An explanation for some statement **s** is a list of other statements **s1, s2, … sn** along with the statement “(**s1** and **s2** and … and **sn**) implies **s**”. A _debate tree_ is a tree in w"&amp;"hich for a given node **n** with statement **s**, the children of **n** form an explanation (decomposition) of **s**. The leaves of the tree should be statements that the human can verify. (Note that the full formalism has significantly more detail, e.g. "&amp;"a concept of the “difficulty” for the human to verify any given statement.)
We can then define an idealized version of debate, in which the first debater must produce an answer with associated explanation, and the second debater can choose any particular"&amp;" statement to expand further. The judge decides the winner based on whether they can confidently verify the final statement or not. Assuming optimal play, the correct (honest) answer is an equilibrium as long as:
**Ideal Debate Factored Cognition Hypothe"&amp;"sis:** For every question, there exists a debate tree for the correct answer where every leaf can be verified by the judge.
The idealized form of iterated amplification is &lt;@HCH@&gt;(@Humans Consulting HCH@); the corresponding Factored Cognition Hypothesis "&amp;"is simply “For every question, HCH returns the correct answer”. Note that the _existence_ of a debate tree is not enough to guarantee this, as HCH must also _find_ the decompositions in this debate tree. If we imagine that HCH gets access to a decompositi"&amp;"on oracle that tells it the right decomposition to make at each node, then HCH would be similar to idealized debate. (HCH could of course simply try all possible decompositions, but we are ignoring that possibility: the decompositions that we rely on shou"&amp;"ld reduce or hide complexity.)
Is the HCH version of the Factored Cognition Hypothesis true? The author tends to lean against (more specifically, that HCH would not be superintelligent), because it seems hard for HCH to find good decompositions. In parti"&amp;"cular, humans seem to improve their decompositions over time as they learn more, and also seem to improve the concepts by which they think over time, all of which are challenging for HCH to do. On the other hand, the author is cautiously optimistic about "&amp;"debate.")</f>
        <v>The &lt;@Factored Cognition Hypothesis@&gt;(@Factored Cognition@) informally states that any task can be performed by recursively decomposing the task into smaller and smaller subtasks until eventually the smallest tasks can be done by a human. This sequence aims to formalize the hypothesis to the point that it can be used to argue for the outer alignment of (idealized versions of) &lt;@iterated amplification@&gt;(@Supervising strong learners by amplifying weak experts@) and &lt;@debate@&gt;(@AI safety via debate@).
The key concept is that of an _explanation_ or _decomposition_. An explanation for some statement **s** is a list of other statements **s1, s2, … sn** along with the statement “(**s1** and **s2** and … and **sn**) implies **s**”. A _debate tree_ is a tree in which for a given node **n** with statement **s**, the children of **n** form an explanation (decomposition) of **s**. The leaves of the tree should be statements that the human can verify. (Note that the full formalism has significantly more detail, e.g. a concept of the “difficulty” for the human to verify any given statement.)
We can then define an idealized version of debate, in which the first debater must produce an answer with associated explanation, and the second debater can choose any particular statement to expand further. The judge decides the winner based on whether they can confidently verify the final statement or not. Assuming optimal play, the correct (honest) answer is an equilibrium as long as:
**Ideal Debate Factored Cognition Hypothesis:** For every question, there exists a debate tree for the correct answer where every leaf can be verified by the judge.
The idealized form of iterated amplification is &lt;@HCH@&gt;(@Humans Consulting HCH@); the corresponding Factored Cognition Hypothesis is simply “For every question, HCH returns the correct answer”. Note that the _existence_ of a debate tree is not enough to guarantee this, as HCH must also _find_ the decompositions in this debate tree. If we imagine that HCH gets access to a decomposition oracle that tells it the right decomposition to make at each node, then HCH would be similar to idealized debate. (HCH could of course simply try all possible decompositions, but we are ignoring that possibility: the decompositions that we rely on should reduce or hide complexity.)
Is the HCH version of the Factored Cognition Hypothesis true? The author tends to lean against (more specifically, that HCH would not be superintelligent), because it seems hard for HCH to find good decompositions. In particular, humans seem to improve their decompositions over time as they learn more, and also seem to improve the concepts by which they think over time, all of which are challenging for HCH to do. On the other hand, the author is cautiously optimistic about debate.</v>
      </c>
      <c r="K794" t="str">
        <f>IFERROR(__xludf.DUMMYFUNCTION("""COMPUTED_VALUE"""),"I enjoyed this sequence: I’m glad to see more analysis of what is and isn’t necessary for iterated amplification and debate to work, as well as more theoretical models of debate. I broadly agreed with the conceptual points made, with one exception: I’m no"&amp;"t convinced that we should not allow brute force for HCH, and for similar reasons I don’t find the arguments that HCH won’t be superintelligent convincing. In particular, the hope with iterated amplification is to approximate a truly massive tree of human"&amp;"s, perhaps a tree containing around 2^100 (about 1e30) base agents / humans. At that scale (or even at just a measly billion (1e9) humans), I don’t expect the reasoning to look anything like what an individual human does, and approaches that are more like"&amp;" “brute force” seem a lot more feasible.
One might wonder why I think it is possible to approximate a tree with more base agents than there are grains of sand in the Sahara desert. Well, a perfect binary tree of depth 99 would have 1e30 nodes; thus we ca"&amp;"n roughly say that we’re approximating 99-depth-limited HCH. If we had perfect distillation, this would take 99 rounds of iterated amplification and distillation, which seems quite reasonable. Of course, we don’t have perfect distillation, but I expect th"&amp;"at to be a relatively small constant factor on top (say 100x), which still seems pretty reasonable. (There’s more detail about how we get this implicit exponential-time computation in &lt;@this post@&gt;(@Factored Cognition@).)")</f>
        <v>I enjoyed this sequence: I’m glad to see more analysis of what is and isn’t necessary for iterated amplification and debate to work, as well as more theoretical models of debate. I broadly agreed with the conceptual points made, with one exception: I’m not convinced that we should not allow brute force for HCH, and for similar reasons I don’t find the arguments that HCH won’t be superintelligent convincing. In particular, the hope with iterated amplification is to approximate a truly massive tree of humans, perhaps a tree containing around 2^100 (about 1e30) base agents / humans. At that scale (or even at just a measly billion (1e9) humans), I don’t expect the reasoning to look anything like what an individual human does, and approaches that are more like “brute force” seem a lot more feasible.
One might wonder why I think it is possible to approximate a tree with more base agents than there are grains of sand in the Sahara desert. Well, a perfect binary tree of depth 99 would have 1e30 nodes; thus we can roughly say that we’re approximating 99-depth-limited HCH. If we had perfect distillation, this would take 99 rounds of iterated amplification and distillation, which seems quite reasonable. Of course, we don’t have perfect distillation, but I expect that to be a relatively small constant factor on top (say 100x), which still seems pretty reasonable. (There’s more detail about how we get this implicit exponential-time computation in &lt;@this post@&gt;(@Factored Cognition@).)</v>
      </c>
    </row>
    <row r="795">
      <c r="A795" t="str">
        <f>IFERROR(__xludf.DUMMYFUNCTION("""COMPUTED_VALUE"""),"Iterated amplification")</f>
        <v>Iterated amplification</v>
      </c>
      <c r="B795" t="str">
        <f>IFERROR(__xludf.DUMMYFUNCTION("""COMPUTED_VALUE"""),"")</f>
        <v/>
      </c>
      <c r="C795" s="3" t="str">
        <f>IFERROR(__xludf.DUMMYFUNCTION("""COMPUTED_VALUE"""),"My Understanding of Paul Christiano's Iterated Amplification AI Safety Research Agenda")</f>
        <v>My Understanding of Paul Christiano's Iterated Amplification AI Safety Research Agenda</v>
      </c>
      <c r="D795" t="str">
        <f>IFERROR(__xludf.DUMMYFUNCTION("""COMPUTED_VALUE"""),"Chi Nguyen")</f>
        <v>Chi Nguyen</v>
      </c>
      <c r="E795" t="str">
        <f>IFERROR(__xludf.DUMMYFUNCTION("""COMPUTED_VALUE"""),"Alignment Forum")</f>
        <v>Alignment Forum</v>
      </c>
      <c r="F795">
        <f>IFERROR(__xludf.DUMMYFUNCTION("""COMPUTED_VALUE"""),2020.0)</f>
        <v>2020</v>
      </c>
      <c r="H795" t="str">
        <f>IFERROR(__xludf.DUMMYFUNCTION("""COMPUTED_VALUE"""),"AN #113")</f>
        <v>AN #113</v>
      </c>
      <c r="I795" t="str">
        <f>IFERROR(__xludf.DUMMYFUNCTION("""COMPUTED_VALUE"""),"Rohin")</f>
        <v>Rohin</v>
      </c>
      <c r="J795" t="str">
        <f>IFERROR(__xludf.DUMMYFUNCTION("""COMPUTED_VALUE"""),"This post provides an informal description of the full [iterated amplification](https://www.alignmentforum.org/s/EmDuGeRw749sD3GKd) agenda, aimed at all levels of technical expertise. It is significantly more comprehensive than past descriptions.")</f>
        <v>This post provides an informal description of the full [iterated amplification](https://www.alignmentforum.org/s/EmDuGeRw749sD3GKd) agenda, aimed at all levels of technical expertise. It is significantly more comprehensive than past descriptions.</v>
      </c>
      <c r="K795" t="str">
        <f>IFERROR(__xludf.DUMMYFUNCTION("""COMPUTED_VALUE"""),"I enjoyed reading through this agenda, especially because of the inline clarifications from Paul. I found it actually more useful to see what the author initially thought and what Paul’s correction was, relative to the scenario in which the author simply "&amp;"made the correction and presented the final result, as by including both it makes clear what the (probably common) misunderstanding was.")</f>
        <v>I enjoyed reading through this agenda, especially because of the inline clarifications from Paul. I found it actually more useful to see what the author initially thought and what Paul’s correction was, relative to the scenario in which the author simply made the correction and presented the final result, as by including both it makes clear what the (probably common) misunderstanding was.</v>
      </c>
    </row>
    <row r="796">
      <c r="A796" t="str">
        <f>IFERROR(__xludf.DUMMYFUNCTION("""COMPUTED_VALUE"""),"Iterated amplification")</f>
        <v>Iterated amplification</v>
      </c>
      <c r="B796" t="str">
        <f>IFERROR(__xludf.DUMMYFUNCTION("""COMPUTED_VALUE"""),"")</f>
        <v/>
      </c>
      <c r="C796" s="3" t="str">
        <f>IFERROR(__xludf.DUMMYFUNCTION("""COMPUTED_VALUE"""),"Parallels Between AI Safety by Debate and Evidence Law")</f>
        <v>Parallels Between AI Safety by Debate and Evidence Law</v>
      </c>
      <c r="D796" t="str">
        <f>IFERROR(__xludf.DUMMYFUNCTION("""COMPUTED_VALUE"""),"Cullen O'Keefe")</f>
        <v>Cullen O'Keefe</v>
      </c>
      <c r="E796" t="str">
        <f>IFERROR(__xludf.DUMMYFUNCTION("""COMPUTED_VALUE"""),"Alignment Forum")</f>
        <v>Alignment Forum</v>
      </c>
      <c r="F796">
        <f>IFERROR(__xludf.DUMMYFUNCTION("""COMPUTED_VALUE"""),2020.0)</f>
        <v>2020</v>
      </c>
      <c r="H796" s="3" t="str">
        <f>IFERROR(__xludf.DUMMYFUNCTION("""COMPUTED_VALUE"""),"AN #110")</f>
        <v>AN #110</v>
      </c>
      <c r="I796" t="str">
        <f>IFERROR(__xludf.DUMMYFUNCTION("""COMPUTED_VALUE"""),"Rohin")</f>
        <v>Rohin</v>
      </c>
      <c r="J796" t="str">
        <f>IFERROR(__xludf.DUMMYFUNCTION("""COMPUTED_VALUE"""),"&lt;@Debate@&gt;(@Writeup: Progress on AI Safety via Debate@) requires us to provide a structure for a debate as well as rules for how the human judge should decide who wins. This post points out that we have an existing system that has been heavily optimized f"&amp;"or this already: evidence law, which governs how court cases are run. A court case is high-stakes and involves two sides presenting opposing opinions; evidence law tells us how to structure these arguments and how to limit the kinds of arguments debaters "&amp;"can use. Evidence is generally admissible by default, but there are many exceptions, often based on the fallibility of fact-finders.
As a result, it may be fruitful to look to evidence law for how we might structure debates, and to see what types of argu"&amp;"ments we should be looking for.")</f>
        <v>&lt;@Debate@&gt;(@Writeup: Progress on AI Safety via Debate@) requires us to provide a structure for a debate as well as rules for how the human judge should decide who wins. This post points out that we have an existing system that has been heavily optimized for this already: evidence law, which governs how court cases are run. A court case is high-stakes and involves two sides presenting opposing opinions; evidence law tells us how to structure these arguments and how to limit the kinds of arguments debaters can use. Evidence is generally admissible by default, but there are many exceptions, often based on the fallibility of fact-finders.
As a result, it may be fruitful to look to evidence law for how we might structure debates, and to see what types of arguments we should be looking for.</v>
      </c>
      <c r="K796" t="str">
        <f>IFERROR(__xludf.DUMMYFUNCTION("""COMPUTED_VALUE"""),"This seems eminently sensible to me. Of course, evidence law is going to be specialized to arguments about innocence or guilt of a crime, and may not generalize to what we would like to do with debate, but it still seems like we should be able to learn so"&amp;"me generalizable lessons.")</f>
        <v>This seems eminently sensible to me. Of course, evidence law is going to be specialized to arguments about innocence or guilt of a crime, and may not generalize to what we would like to do with debate, but it still seems like we should be able to learn some generalizable lessons.</v>
      </c>
    </row>
    <row r="797">
      <c r="A797" t="str">
        <f>IFERROR(__xludf.DUMMYFUNCTION("""COMPUTED_VALUE"""),"Iterated amplification")</f>
        <v>Iterated amplification</v>
      </c>
      <c r="B797" t="str">
        <f>IFERROR(__xludf.DUMMYFUNCTION("""COMPUTED_VALUE"""),"")</f>
        <v/>
      </c>
      <c r="C797" s="3" t="str">
        <f>IFERROR(__xludf.DUMMYFUNCTION("""COMPUTED_VALUE"""),"Weak HCH accesses EXP")</f>
        <v>Weak HCH accesses EXP</v>
      </c>
      <c r="D797" t="str">
        <f>IFERROR(__xludf.DUMMYFUNCTION("""COMPUTED_VALUE"""),"Evan Hubinger")</f>
        <v>Evan Hubinger</v>
      </c>
      <c r="E797" t="str">
        <f>IFERROR(__xludf.DUMMYFUNCTION("""COMPUTED_VALUE"""),"Alignment Forum")</f>
        <v>Alignment Forum</v>
      </c>
      <c r="F797">
        <f>IFERROR(__xludf.DUMMYFUNCTION("""COMPUTED_VALUE"""),2020.0)</f>
        <v>2020</v>
      </c>
      <c r="H797" s="3" t="str">
        <f>IFERROR(__xludf.DUMMYFUNCTION("""COMPUTED_VALUE"""),"AN #110")</f>
        <v>AN #110</v>
      </c>
      <c r="I797" t="str">
        <f>IFERROR(__xludf.DUMMYFUNCTION("""COMPUTED_VALUE"""),"Rohin")</f>
        <v>Rohin</v>
      </c>
      <c r="J797" t="str">
        <f>IFERROR(__xludf.DUMMYFUNCTION("""COMPUTED_VALUE"""),"This followup to last week's &lt;@Alignment proposals and complexity classes@&gt; shows that the amplification-based proposals can access EXP.")</f>
        <v>This followup to last week's &lt;@Alignment proposals and complexity classes@&gt; shows that the amplification-based proposals can access EXP.</v>
      </c>
    </row>
    <row r="798">
      <c r="A798" t="str">
        <f>IFERROR(__xludf.DUMMYFUNCTION("""COMPUTED_VALUE"""),"Iterated amplification")</f>
        <v>Iterated amplification</v>
      </c>
      <c r="B798" t="str">
        <f>IFERROR(__xludf.DUMMYFUNCTION("""COMPUTED_VALUE"""),"")</f>
        <v/>
      </c>
      <c r="C798" s="3" t="str">
        <f>IFERROR(__xludf.DUMMYFUNCTION("""COMPUTED_VALUE"""),"Alignment proposals and complexity classes")</f>
        <v>Alignment proposals and complexity classes</v>
      </c>
      <c r="D798" t="str">
        <f>IFERROR(__xludf.DUMMYFUNCTION("""COMPUTED_VALUE"""),"Evan Hubinger")</f>
        <v>Evan Hubinger</v>
      </c>
      <c r="E798" t="str">
        <f>IFERROR(__xludf.DUMMYFUNCTION("""COMPUTED_VALUE"""),"Alignment Forum")</f>
        <v>Alignment Forum</v>
      </c>
      <c r="F798">
        <f>IFERROR(__xludf.DUMMYFUNCTION("""COMPUTED_VALUE"""),2020.0)</f>
        <v>2020</v>
      </c>
      <c r="H798" s="3" t="str">
        <f>IFERROR(__xludf.DUMMYFUNCTION("""COMPUTED_VALUE"""),"AN #109")</f>
        <v>AN #109</v>
      </c>
      <c r="I798" t="str">
        <f>IFERROR(__xludf.DUMMYFUNCTION("""COMPUTED_VALUE"""),"Rohin")</f>
        <v>Rohin</v>
      </c>
      <c r="J798" t="str">
        <f>IFERROR(__xludf.DUMMYFUNCTION("""COMPUTED_VALUE"""),"The original &lt;@debate@&gt;(@AI safety via debate@) paper showed that any problem in PSPACE can be solved by optimal play in a debate game judged by a (problem-specific) algorithm in P. Intuitively, this is an illustration of how the mechanism of debate can t"&amp;"ake a weak ability (the ability to solve arbitrary problems in P) and amplify it into a stronger ability (the ability to solve arbitrary problems in PSPACE). One would hope that similarly, debate would allow us to amplify a human’s problem-solving ability"&amp;" into a much stronger problem-solving ability.
This post applies this technique to several other alignment proposals. In particular, for each proposal, we assume that the “human” can be an arbitrary polynomial-time algorithm, and the AI models are optima"&amp;"l w.r.t their loss functions, and we ask which problems we can solve using these capabilities. The post finds that, as lower bounds, the various forms of amplification can access PSPACE, while &lt;@market making@&gt;(@AI safety via market making@) can access EX"&amp;"P. If there are untamperable pointers (so that the polynomial-time algorithm can look at objects of an arbitrary size, as long as it only looks at a polynomial-sized subset of them), then amplification and market making can access R (the set of decidable "&amp;"problems).")</f>
        <v>The original &lt;@debate@&gt;(@AI safety via debate@) paper showed that any problem in PSPACE can be solved by optimal play in a debate game judged by a (problem-specific) algorithm in P. Intuitively, this is an illustration of how the mechanism of debate can take a weak ability (the ability to solve arbitrary problems in P) and amplify it into a stronger ability (the ability to solve arbitrary problems in PSPACE). One would hope that similarly, debate would allow us to amplify a human’s problem-solving ability into a much stronger problem-solving ability.
This post applies this technique to several other alignment proposals. In particular, for each proposal, we assume that the “human” can be an arbitrary polynomial-time algorithm, and the AI models are optimal w.r.t their loss functions, and we ask which problems we can solve using these capabilities. The post finds that, as lower bounds, the various forms of amplification can access PSPACE, while &lt;@market making@&gt;(@AI safety via market making@) can access EXP. If there are untamperable pointers (so that the polynomial-time algorithm can look at objects of an arbitrary size, as long as it only looks at a polynomial-sized subset of them), then amplification and market making can access R (the set of decidable problems).</v>
      </c>
      <c r="K798" t="str">
        <f>IFERROR(__xludf.DUMMYFUNCTION("""COMPUTED_VALUE"""),"In practice our models are not going to reach the optimal loss, and humans won’t solve arbitrary polynomial-time problems, so these theorems won’t directly apply to reality. Nonetheless, this does seem like a worthwhile check to do -- it feels similar to "&amp;"ensuring that a deep RL algorithm has a proof of convergence under idealized assumptions, even if those assumptions won’t actually hold in reality. I have much more faith in a deep RL algorithm that started from one with a proof of convergence and then wa"&amp;"s modified based on empirical considerations.")</f>
        <v>In practice our models are not going to reach the optimal loss, and humans won’t solve arbitrary polynomial-time problems, so these theorems won’t directly apply to reality. Nonetheless, this does seem like a worthwhile check to do -- it feels similar to ensuring that a deep RL algorithm has a proof of convergence under idealized assumptions, even if those assumptions won’t actually hold in reality. I have much more faith in a deep RL algorithm that started from one with a proof of convergence and then was modified based on empirical considerations.</v>
      </c>
    </row>
    <row r="799">
      <c r="A799" t="str">
        <f>IFERROR(__xludf.DUMMYFUNCTION("""COMPUTED_VALUE"""),"Iterated amplification")</f>
        <v>Iterated amplification</v>
      </c>
      <c r="B799" t="str">
        <f>IFERROR(__xludf.DUMMYFUNCTION("""COMPUTED_VALUE"""),"")</f>
        <v/>
      </c>
      <c r="C799" s="3" t="str">
        <f>IFERROR(__xludf.DUMMYFUNCTION("""COMPUTED_VALUE"""),"AI safety via market making")</f>
        <v>AI safety via market making</v>
      </c>
      <c r="D799" t="str">
        <f>IFERROR(__xludf.DUMMYFUNCTION("""COMPUTED_VALUE"""),"Evan Hubinger")</f>
        <v>Evan Hubinger</v>
      </c>
      <c r="E799" t="str">
        <f>IFERROR(__xludf.DUMMYFUNCTION("""COMPUTED_VALUE"""),"Alignment Forum")</f>
        <v>Alignment Forum</v>
      </c>
      <c r="F799">
        <f>IFERROR(__xludf.DUMMYFUNCTION("""COMPUTED_VALUE"""),2020.0)</f>
        <v>2020</v>
      </c>
      <c r="H799" s="3" t="str">
        <f>IFERROR(__xludf.DUMMYFUNCTION("""COMPUTED_VALUE"""),"AN #108")</f>
        <v>AN #108</v>
      </c>
      <c r="I799" t="str">
        <f>IFERROR(__xludf.DUMMYFUNCTION("""COMPUTED_VALUE"""),"Rohin")</f>
        <v>Rohin</v>
      </c>
      <c r="J799" t="str">
        <f>IFERROR(__xludf.DUMMYFUNCTION("""COMPUTED_VALUE"""),"If you have an expert, but don’t trust them to give you truthful information, how can you incentivize them to tell you the truth anyway? One [option](https://meteuphoric.com/2014/07/21/how-to-buy-a-truth-from-a-liar/) is to pay them every time they provid"&amp;"e evidence that changes your mind, with the hope that only once you believe the truth will there be no evidence that can change your mind. This post proposes a similar scheme for AI alignment.
We train two models, M and Adv. Given a question Q, M is trai"&amp;"ned to predict what answer to Q the human will give at the end of the procedure. Adv on the other hand is trained to produce arguments that will most make M “change its mind”, i.e. output a substantially different distribution over answers than it previou"&amp;"sly outputted. M can then make a new prediction. This is repeated T times, and eventually the human is given all T outputs produced by Adv, and provides their final answer (which is used to provide a gradient signal for M). After training, we throw away A"&amp;"dv and simply use M as our question-answering system.
One way to think about this is that M is trained to provide a prediction market on “what the human will answer”, and Adv is trained to manipulate the market by providing new arguments that would chang"&amp;"e what the human says. So, once you see M providing a stable result, that should mean that the result is robust to any argument that Adv could provide, and so it is what the human would say after seeing all the arguments.
This scheme bears some resemblan"&amp;"ce to &lt;@debate@&gt;(@AI safety via debate@), and it can benefit from schemes that help debate, most notably &lt;@cross-examination@&gt;(@Writeup: Progress on AI Safety via Debate@). In particular, at every step Adv can cross-examine the previous incarnation of Adv"&amp;". If the previous incarnation was deceptive, the current incarnation can demonstrate this to the human, which should cause them to disregard the previous argument. We can also add oversight, where an overseer with access to the model ensures that the mode"&amp;"l does not become non-myopic or deceptive.")</f>
        <v>If you have an expert, but don’t trust them to give you truthful information, how can you incentivize them to tell you the truth anyway? One [option](https://meteuphoric.com/2014/07/21/how-to-buy-a-truth-from-a-liar/) is to pay them every time they provide evidence that changes your mind, with the hope that only once you believe the truth will there be no evidence that can change your mind. This post proposes a similar scheme for AI alignment.
We train two models, M and Adv. Given a question Q, M is trained to predict what answer to Q the human will give at the end of the procedure. Adv on the other hand is trained to produce arguments that will most make M “change its mind”, i.e. output a substantially different distribution over answers than it previously outputted. M can then make a new prediction. This is repeated T times, and eventually the human is given all T outputs produced by Adv, and provides their final answer (which is used to provide a gradient signal for M). After training, we throw away Adv and simply use M as our question-answering system.
One way to think about this is that M is trained to provide a prediction market on “what the human will answer”, and Adv is trained to manipulate the market by providing new arguments that would change what the human says. So, once you see M providing a stable result, that should mean that the result is robust to any argument that Adv could provide, and so it is what the human would say after seeing all the arguments.
This scheme bears some resemblance to &lt;@debate@&gt;(@AI safety via debate@), and it can benefit from schemes that help debate, most notably &lt;@cross-examination@&gt;(@Writeup: Progress on AI Safety via Debate@). In particular, at every step Adv can cross-examine the previous incarnation of Adv. If the previous incarnation was deceptive, the current incarnation can demonstrate this to the human, which should cause them to disregard the previous argument. We can also add oversight, where an overseer with access to the model ensures that the model does not become non-myopic or deceptive.</v>
      </c>
      <c r="K799" t="str">
        <f>IFERROR(__xludf.DUMMYFUNCTION("""COMPUTED_VALUE"""),"I like the simplicity of the idea ""find the point at which the human no longer changes their mind"", and that this is a new idea of how we can scale training of AI systems beyond human level performance. However, I’m not convinced that the training proce"&amp;"dure given in this post would end up at this equilibrium, unless the human very specifically guided the training to do so (an assumption I don’t think we can usually make). It seems that if we were to reach the state where M stably reported the true answe"&amp;"r to the question, then Adv would never get any reward -- but Adv could do better by randomizing what arguments it makes, so that M cannot know which arguments H will be exposed to and so can’t stably predict H’s final answer. See more details in this [th"&amp;"read](https://www.alignmentforum.org/posts/YWwzccGbcHMJMpT45/ai-safety-via-market-making?commentId=43im5ykxC2SPD86Po).")</f>
        <v>I like the simplicity of the idea "find the point at which the human no longer changes their mind", and that this is a new idea of how we can scale training of AI systems beyond human level performance. However, I’m not convinced that the training procedure given in this post would end up at this equilibrium, unless the human very specifically guided the training to do so (an assumption I don’t think we can usually make). It seems that if we were to reach the state where M stably reported the true answer to the question, then Adv would never get any reward -- but Adv could do better by randomizing what arguments it makes, so that M cannot know which arguments H will be exposed to and so can’t stably predict H’s final answer. See more details in this [thread](https://www.alignmentforum.org/posts/YWwzccGbcHMJMpT45/ai-safety-via-market-making?commentId=43im5ykxC2SPD86Po).</v>
      </c>
    </row>
    <row r="800">
      <c r="A800" t="str">
        <f>IFERROR(__xludf.DUMMYFUNCTION("""COMPUTED_VALUE"""),"Iterated amplification")</f>
        <v>Iterated amplification</v>
      </c>
      <c r="B800" t="str">
        <f>IFERROR(__xludf.DUMMYFUNCTION("""COMPUTED_VALUE"""),"")</f>
        <v/>
      </c>
      <c r="C800" s="3" t="str">
        <f>IFERROR(__xludf.DUMMYFUNCTION("""COMPUTED_VALUE"""),"AI Safety Debate and Its Applications")</f>
        <v>AI Safety Debate and Its Applications</v>
      </c>
      <c r="D800" t="str">
        <f>IFERROR(__xludf.DUMMYFUNCTION("""COMPUTED_VALUE"""),"Vojta Kovarik")</f>
        <v>Vojta Kovarik</v>
      </c>
      <c r="E800" t="str">
        <f>IFERROR(__xludf.DUMMYFUNCTION("""COMPUTED_VALUE"""),"Alignment Forum")</f>
        <v>Alignment Forum</v>
      </c>
      <c r="F800">
        <f>IFERROR(__xludf.DUMMYFUNCTION("""COMPUTED_VALUE"""),2019.0)</f>
        <v>2019</v>
      </c>
      <c r="H800" s="3" t="str">
        <f>IFERROR(__xludf.DUMMYFUNCTION("""COMPUTED_VALUE"""),"AN #83")</f>
        <v>AN #83</v>
      </c>
      <c r="I800" t="str">
        <f>IFERROR(__xludf.DUMMYFUNCTION("""COMPUTED_VALUE"""),"Rohin")</f>
        <v>Rohin</v>
      </c>
      <c r="J800" t="str">
        <f>IFERROR(__xludf.DUMMYFUNCTION("""COMPUTED_VALUE"""),"This post defines the components of a &lt;@debate@&gt;(@AI safety via debate@) game, lists some of its applications, and defines truth-seeking as the property that we want. Assuming that the agent chooses randomly from the possible Nash equilibria, the truth-pr"&amp;"omoting likelihood is the probability that the agent picks the actually correct answer. The post then shows the results of experiments on MNIST and Fashion MNIST, seeing comparable results to the original paper.")</f>
        <v>This post defines the components of a &lt;@debate@&gt;(@AI safety via debate@) game, lists some of its applications, and defines truth-seeking as the property that we want. Assuming that the agent chooses randomly from the possible Nash equilibria, the truth-promoting likelihood is the probability that the agent picks the actually correct answer. The post then shows the results of experiments on MNIST and Fashion MNIST, seeing comparable results to the original paper.</v>
      </c>
    </row>
    <row r="801">
      <c r="A801" t="str">
        <f>IFERROR(__xludf.DUMMYFUNCTION("""COMPUTED_VALUE"""),"Iterated amplification")</f>
        <v>Iterated amplification</v>
      </c>
      <c r="B801" t="str">
        <f>IFERROR(__xludf.DUMMYFUNCTION("""COMPUTED_VALUE"""),"")</f>
        <v/>
      </c>
      <c r="C801" s="3" t="str">
        <f>IFERROR(__xludf.DUMMYFUNCTION("""COMPUTED_VALUE"""),"A Concrete Proposal for Adversarial IDA")</f>
        <v>A Concrete Proposal for Adversarial IDA</v>
      </c>
      <c r="D801" t="str">
        <f>IFERROR(__xludf.DUMMYFUNCTION("""COMPUTED_VALUE"""),"Evan Hubinger")</f>
        <v>Evan Hubinger</v>
      </c>
      <c r="E801" t="str">
        <f>IFERROR(__xludf.DUMMYFUNCTION("""COMPUTED_VALUE"""),"Alignment Forum")</f>
        <v>Alignment Forum</v>
      </c>
      <c r="F801">
        <f>IFERROR(__xludf.DUMMYFUNCTION("""COMPUTED_VALUE"""),2019.0)</f>
        <v>2019</v>
      </c>
      <c r="H801" s="3" t="str">
        <f>IFERROR(__xludf.DUMMYFUNCTION("""COMPUTED_VALUE"""),"AN #53")</f>
        <v>AN #53</v>
      </c>
      <c r="I801" t="str">
        <f>IFERROR(__xludf.DUMMYFUNCTION("""COMPUTED_VALUE"""),"Rohin")</f>
        <v>Rohin</v>
      </c>
      <c r="J801" t="str">
        <f>IFERROR(__xludf.DUMMYFUNCTION("""COMPUTED_VALUE"""),"This post presents a method to use an adversary to improve the sample efficiency (with respect to human feedback) of iterated amplification. The key idea is that when a question is decomposed into subquestions, the adversary is used to predict which subqu"&amp;"estion the agent will do poorly on, and the human is only asked to resolve that subquestion. In addition to improving sample efficiency by only asking relevant questions, the resulting adversary can also be used for interpretability: for any question-answ"&amp;"er pair, the adversary can pick out specific subquestions in the tree that are particularly likely to contain errors, which can then be reviewed.")</f>
        <v>This post presents a method to use an adversary to improve the sample efficiency (with respect to human feedback) of iterated amplification. The key idea is that when a question is decomposed into subquestions, the adversary is used to predict which subquestion the agent will do poorly on, and the human is only asked to resolve that subquestion. In addition to improving sample efficiency by only asking relevant questions, the resulting adversary can also be used for interpretability: for any question-answer pair, the adversary can pick out specific subquestions in the tree that are particularly likely to contain errors, which can then be reviewed.</v>
      </c>
      <c r="K801" t="str">
        <f>IFERROR(__xludf.DUMMYFUNCTION("""COMPUTED_VALUE"""),"I like the idea, but the math in the post is quite hard to read (mainly due to the lack of exposition). The post also has separate procedures for amplification, distillation and iteration; I think they can be collapsed into a single more efficient procedu"&amp;"re, which I wrote about in this [comment](https://www.alignmentforum.org/posts/jYvm4mmjvGHcPXtGL/a-concrete-proposal-for-adversarial-ida#KdqEJNmRH6vFx5NZg).")</f>
        <v>I like the idea, but the math in the post is quite hard to read (mainly due to the lack of exposition). The post also has separate procedures for amplification, distillation and iteration; I think they can be collapsed into a single more efficient procedure, which I wrote about in this [comment](https://www.alignmentforum.org/posts/jYvm4mmjvGHcPXtGL/a-concrete-proposal-for-adversarial-ida#KdqEJNmRH6vFx5NZg).</v>
      </c>
    </row>
    <row r="802">
      <c r="A802" t="str">
        <f>IFERROR(__xludf.DUMMYFUNCTION("""COMPUTED_VALUE"""),"Iterated amplification")</f>
        <v>Iterated amplification</v>
      </c>
      <c r="B802" t="str">
        <f>IFERROR(__xludf.DUMMYFUNCTION("""COMPUTED_VALUE"""),"")</f>
        <v/>
      </c>
      <c r="C802" s="3" t="str">
        <f>IFERROR(__xludf.DUMMYFUNCTION("""COMPUTED_VALUE"""),"Can HCH epistemically dominate Ramanujan?")</f>
        <v>Can HCH epistemically dominate Ramanujan?</v>
      </c>
      <c r="D802" t="str">
        <f>IFERROR(__xludf.DUMMYFUNCTION("""COMPUTED_VALUE"""),"Alex Zhu")</f>
        <v>Alex Zhu</v>
      </c>
      <c r="E802" t="str">
        <f>IFERROR(__xludf.DUMMYFUNCTION("""COMPUTED_VALUE"""),"Alignment Forum")</f>
        <v>Alignment Forum</v>
      </c>
      <c r="F802">
        <f>IFERROR(__xludf.DUMMYFUNCTION("""COMPUTED_VALUE"""),2019.0)</f>
        <v>2019</v>
      </c>
      <c r="H802" s="3" t="str">
        <f>IFERROR(__xludf.DUMMYFUNCTION("""COMPUTED_VALUE"""),"AN #48")</f>
        <v>AN #48</v>
      </c>
      <c r="I802" t="str">
        <f>IFERROR(__xludf.DUMMYFUNCTION("""COMPUTED_VALUE"""),"Rohin")</f>
        <v>Rohin</v>
      </c>
      <c r="J802" t="str">
        <f>IFERROR(__xludf.DUMMYFUNCTION("""COMPUTED_VALUE"""),"Iterated amplification rests on the hope that we can achieve arbitrarily high capabilities with (potentially very large) trees of explicit verbal breakdowns of problems. This is often formalized as a question about [HCH](https://www.alignmentforum.org/pos"&amp;"ts/NXqs4nYXaq8q6dTTx/humans-consulting-hch) ([AN #34](https://mailchi.mp/f1947668b183/alignment-newsletter-34)). This post considers the example of Srinivasa Ramanujan, who is ""famously known for solving math problems with sudden and inexplicable flashes"&amp;" of insight"". It is not clear how HCH would be able to replicate this sort of reasoning.")</f>
        <v>Iterated amplification rests on the hope that we can achieve arbitrarily high capabilities with (potentially very large) trees of explicit verbal breakdowns of problems. This is often formalized as a question about [HCH](https://www.alignmentforum.org/posts/NXqs4nYXaq8q6dTTx/humans-consulting-hch) ([AN #34](https://mailchi.mp/f1947668b183/alignment-newsletter-34)). This post considers the example of Srinivasa Ramanujan, who is "famously known for solving math problems with sudden and inexplicable flashes of insight". It is not clear how HCH would be able to replicate this sort of reasoning.</v>
      </c>
    </row>
    <row r="803">
      <c r="A803" t="str">
        <f>IFERROR(__xludf.DUMMYFUNCTION("""COMPUTED_VALUE"""),"Iterated amplification")</f>
        <v>Iterated amplification</v>
      </c>
      <c r="B803" t="str">
        <f>IFERROR(__xludf.DUMMYFUNCTION("""COMPUTED_VALUE"""),"")</f>
        <v/>
      </c>
      <c r="C803" s="3" t="str">
        <f>IFERROR(__xludf.DUMMYFUNCTION("""COMPUTED_VALUE"""),"AI Unsafety via Non-Zero-Sum Debate")</f>
        <v>AI Unsafety via Non-Zero-Sum Debate</v>
      </c>
      <c r="D803" t="str">
        <f>IFERROR(__xludf.DUMMYFUNCTION("""COMPUTED_VALUE"""),"Vojtech Kovarik")</f>
        <v>Vojtech Kovarik</v>
      </c>
      <c r="E803" t="str">
        <f>IFERROR(__xludf.DUMMYFUNCTION("""COMPUTED_VALUE"""),"Alignment Forum")</f>
        <v>Alignment Forum</v>
      </c>
      <c r="F803">
        <f>IFERROR(__xludf.DUMMYFUNCTION("""COMPUTED_VALUE"""),2020.0)</f>
        <v>2020</v>
      </c>
      <c r="H803" s="3" t="str">
        <f>IFERROR(__xludf.DUMMYFUNCTION("""COMPUTED_VALUE"""),"AN #108")</f>
        <v>AN #108</v>
      </c>
      <c r="I803" t="str">
        <f>IFERROR(__xludf.DUMMYFUNCTION("""COMPUTED_VALUE"""),"Rohin")</f>
        <v>Rohin</v>
      </c>
      <c r="J803" t="str">
        <f>IFERROR(__xludf.DUMMYFUNCTION("""COMPUTED_VALUE"""),"This post points out that &lt;@debate@&gt;(@AI safety via debate@) relies crucially on creating a zero-sum game in order to ensure that the debaters point out flaws in each other’s arguments. For example, if you modified debate so that both agents are penalized"&amp;" for an inconclusive debate, then an agent may decide not to point out a flaw in an argument if it believes that it has some chance of confusing the judge.")</f>
        <v>This post points out that &lt;@debate@&gt;(@AI safety via debate@) relies crucially on creating a zero-sum game in order to ensure that the debaters point out flaws in each other’s arguments. For example, if you modified debate so that both agents are penalized for an inconclusive debate, then an agent may decide not to point out a flaw in an argument if it believes that it has some chance of confusing the judge.</v>
      </c>
    </row>
    <row r="804">
      <c r="A804" t="str">
        <f>IFERROR(__xludf.DUMMYFUNCTION("""COMPUTED_VALUE"""),"Iterated amplification")</f>
        <v>Iterated amplification</v>
      </c>
      <c r="B804" t="str">
        <f>IFERROR(__xludf.DUMMYFUNCTION("""COMPUTED_VALUE"""),"")</f>
        <v/>
      </c>
      <c r="C804" s="3" t="str">
        <f>IFERROR(__xludf.DUMMYFUNCTION("""COMPUTED_VALUE"""),"Problems with Amplification/Distillation")</f>
        <v>Problems with Amplification/Distillation</v>
      </c>
      <c r="D804" t="str">
        <f>IFERROR(__xludf.DUMMYFUNCTION("""COMPUTED_VALUE"""),"Stuart Armstrong")</f>
        <v>Stuart Armstrong</v>
      </c>
      <c r="E804" t="str">
        <f>IFERROR(__xludf.DUMMYFUNCTION("""COMPUTED_VALUE"""),"LessWrong")</f>
        <v>LessWrong</v>
      </c>
      <c r="F804">
        <f>IFERROR(__xludf.DUMMYFUNCTION("""COMPUTED_VALUE"""),2018.0)</f>
        <v>2018</v>
      </c>
      <c r="H804" s="3" t="str">
        <f>IFERROR(__xludf.DUMMYFUNCTION("""COMPUTED_VALUE"""),"Recon #5")</f>
        <v>Recon #5</v>
      </c>
      <c r="I804" t="str">
        <f>IFERROR(__xludf.DUMMYFUNCTION("""COMPUTED_VALUE"""),"Rohin")</f>
        <v>Rohin</v>
      </c>
      <c r="J804" t="str">
        <f>IFERROR(__xludf.DUMMYFUNCTION("""COMPUTED_VALUE"""),"")</f>
        <v/>
      </c>
      <c r="K804" t="str">
        <f>IFERROR(__xludf.DUMMYFUNCTION("""COMPUTED_VALUE"""),"")</f>
        <v/>
      </c>
    </row>
    <row r="805">
      <c r="A805" t="str">
        <f>IFERROR(__xludf.DUMMYFUNCTION("""COMPUTED_VALUE"""),"Iterated amplification")</f>
        <v>Iterated amplification</v>
      </c>
      <c r="B805" t="str">
        <f>IFERROR(__xludf.DUMMYFUNCTION("""COMPUTED_VALUE"""),"")</f>
        <v/>
      </c>
      <c r="C805" s="3" t="str">
        <f>IFERROR(__xludf.DUMMYFUNCTION("""COMPUTED_VALUE"""),"Thoughts on ""AI safety via debate""")</f>
        <v>Thoughts on "AI safety via debate"</v>
      </c>
      <c r="D805" t="str">
        <f>IFERROR(__xludf.DUMMYFUNCTION("""COMPUTED_VALUE"""),"gworley")</f>
        <v>gworley</v>
      </c>
      <c r="E805" t="str">
        <f>IFERROR(__xludf.DUMMYFUNCTION("""COMPUTED_VALUE"""),"LessWrong")</f>
        <v>LessWrong</v>
      </c>
      <c r="F805">
        <f>IFERROR(__xludf.DUMMYFUNCTION("""COMPUTED_VALUE"""),2018.0)</f>
        <v>2018</v>
      </c>
      <c r="H805" s="3" t="str">
        <f>IFERROR(__xludf.DUMMYFUNCTION("""COMPUTED_VALUE"""),"AN #6")</f>
        <v>AN #6</v>
      </c>
      <c r="I805" t="str">
        <f>IFERROR(__xludf.DUMMYFUNCTION("""COMPUTED_VALUE"""),"Rohin")</f>
        <v>Rohin</v>
      </c>
      <c r="J805" t="str">
        <f>IFERROR(__xludf.DUMMYFUNCTION("""COMPUTED_VALUE"""),"")</f>
        <v/>
      </c>
      <c r="K805" t="str">
        <f>IFERROR(__xludf.DUMMYFUNCTION("""COMPUTED_VALUE"""),"")</f>
        <v/>
      </c>
      <c r="L805" s="3" t="str">
        <f>IFERROR(__xludf.DUMMYFUNCTION("""COMPUTED_VALUE"""),"AI safety via debate")</f>
        <v>AI safety via debate</v>
      </c>
    </row>
    <row r="806">
      <c r="A806" t="str">
        <f>IFERROR(__xludf.DUMMYFUNCTION("""COMPUTED_VALUE"""),"Iterated amplification")</f>
        <v>Iterated amplification</v>
      </c>
      <c r="B806" t="str">
        <f>IFERROR(__xludf.DUMMYFUNCTION("""COMPUTED_VALUE"""),"")</f>
        <v/>
      </c>
      <c r="C806" s="3" t="str">
        <f>IFERROR(__xludf.DUMMYFUNCTION("""COMPUTED_VALUE"""),"Reinforcement Learning in the Iterated Amplification Framework")</f>
        <v>Reinforcement Learning in the Iterated Amplification Framework</v>
      </c>
      <c r="D806" t="str">
        <f>IFERROR(__xludf.DUMMYFUNCTION("""COMPUTED_VALUE"""),"William Saunders")</f>
        <v>William Saunders</v>
      </c>
      <c r="E806" t="str">
        <f>IFERROR(__xludf.DUMMYFUNCTION("""COMPUTED_VALUE"""),"Alignment Forum")</f>
        <v>Alignment Forum</v>
      </c>
      <c r="F806">
        <f>IFERROR(__xludf.DUMMYFUNCTION("""COMPUTED_VALUE"""),2019.0)</f>
        <v>2019</v>
      </c>
      <c r="H806" s="3" t="str">
        <f>IFERROR(__xludf.DUMMYFUNCTION("""COMPUTED_VALUE"""),"AN #45")</f>
        <v>AN #45</v>
      </c>
      <c r="I806" t="str">
        <f>IFERROR(__xludf.DUMMYFUNCTION("""COMPUTED_VALUE"""),"Rohin")</f>
        <v>Rohin</v>
      </c>
      <c r="J806" t="str">
        <f>IFERROR(__xludf.DUMMYFUNCTION("""COMPUTED_VALUE"""),"This post and its comments clarify how we can use reinforcement learning for the distillation step in iterated amplification. The discussion is still happening so I don't want to summarize it yet.")</f>
        <v>This post and its comments clarify how we can use reinforcement learning for the distillation step in iterated amplification. The discussion is still happening so I don't want to summarize it yet.</v>
      </c>
    </row>
    <row r="807">
      <c r="A807" t="str">
        <f>IFERROR(__xludf.DUMMYFUNCTION("""COMPUTED_VALUE"""),"Iterated amplification")</f>
        <v>Iterated amplification</v>
      </c>
      <c r="B807" t="str">
        <f>IFERROR(__xludf.DUMMYFUNCTION("""COMPUTED_VALUE"""),"")</f>
        <v/>
      </c>
      <c r="C807" s="3" t="str">
        <f>IFERROR(__xludf.DUMMYFUNCTION("""COMPUTED_VALUE"""),"Amplification Discussion Notes")</f>
        <v>Amplification Discussion Notes</v>
      </c>
      <c r="D807" t="str">
        <f>IFERROR(__xludf.DUMMYFUNCTION("""COMPUTED_VALUE"""),"William_S")</f>
        <v>William_S</v>
      </c>
      <c r="E807" t="str">
        <f>IFERROR(__xludf.DUMMYFUNCTION("""COMPUTED_VALUE"""),"LessWrong")</f>
        <v>LessWrong</v>
      </c>
      <c r="F807">
        <f>IFERROR(__xludf.DUMMYFUNCTION("""COMPUTED_VALUE"""),2018.0)</f>
        <v>2018</v>
      </c>
      <c r="H807" s="3" t="str">
        <f>IFERROR(__xludf.DUMMYFUNCTION("""COMPUTED_VALUE"""),"AN #9")</f>
        <v>AN #9</v>
      </c>
    </row>
    <row r="808">
      <c r="A808" t="str">
        <f>IFERROR(__xludf.DUMMYFUNCTION("""COMPUTED_VALUE"""),"Iterated amplification")</f>
        <v>Iterated amplification</v>
      </c>
      <c r="B808" t="str">
        <f>IFERROR(__xludf.DUMMYFUNCTION("""COMPUTED_VALUE"""),"")</f>
        <v/>
      </c>
      <c r="C808" s="3" t="str">
        <f>IFERROR(__xludf.DUMMYFUNCTION("""COMPUTED_VALUE"""),"My confusions with Paul's Agenda")</f>
        <v>My confusions with Paul's Agenda</v>
      </c>
      <c r="D808" t="str">
        <f>IFERROR(__xludf.DUMMYFUNCTION("""COMPUTED_VALUE"""),"Vaniver")</f>
        <v>Vaniver</v>
      </c>
      <c r="E808" t="str">
        <f>IFERROR(__xludf.DUMMYFUNCTION("""COMPUTED_VALUE"""),"LessWrong")</f>
        <v>LessWrong</v>
      </c>
      <c r="F808">
        <f>IFERROR(__xludf.DUMMYFUNCTION("""COMPUTED_VALUE"""),2018.0)</f>
        <v>2018</v>
      </c>
      <c r="H808" s="3" t="str">
        <f>IFERROR(__xludf.DUMMYFUNCTION("""COMPUTED_VALUE"""),"AN #3")</f>
        <v>AN #3</v>
      </c>
      <c r="I808" t="str">
        <f>IFERROR(__xludf.DUMMYFUNCTION("""COMPUTED_VALUE"""),"Rohin")</f>
        <v>Rohin</v>
      </c>
      <c r="J808" t="str">
        <f>IFERROR(__xludf.DUMMYFUNCTION("""COMPUTED_VALUE"""),"")</f>
        <v/>
      </c>
      <c r="K808" t="str">
        <f>IFERROR(__xludf.DUMMYFUNCTION("""COMPUTED_VALUE"""),"")</f>
        <v/>
      </c>
    </row>
    <row r="809">
      <c r="A809" t="str">
        <f>IFERROR(__xludf.DUMMYFUNCTION("""COMPUTED_VALUE"""),"Iterated amplification sequence")</f>
        <v>Iterated amplification sequence</v>
      </c>
      <c r="B809" t="str">
        <f>IFERROR(__xludf.DUMMYFUNCTION("""COMPUTED_VALUE"""),"")</f>
        <v/>
      </c>
      <c r="C809" s="3" t="str">
        <f>IFERROR(__xludf.DUMMYFUNCTION("""COMPUTED_VALUE"""),"Security amplification")</f>
        <v>Security amplification</v>
      </c>
      <c r="D809" t="str">
        <f>IFERROR(__xludf.DUMMYFUNCTION("""COMPUTED_VALUE"""),"Paul Christiano")</f>
        <v>Paul Christiano</v>
      </c>
      <c r="E809" t="str">
        <f>IFERROR(__xludf.DUMMYFUNCTION("""COMPUTED_VALUE"""),"Alignment Forum")</f>
        <v>Alignment Forum</v>
      </c>
      <c r="F809">
        <f>IFERROR(__xludf.DUMMYFUNCTION("""COMPUTED_VALUE"""),2016.0)</f>
        <v>2016</v>
      </c>
      <c r="H809" s="3" t="str">
        <f>IFERROR(__xludf.DUMMYFUNCTION("""COMPUTED_VALUE"""),"AN #45")</f>
        <v>AN #45</v>
      </c>
      <c r="I809" t="str">
        <f>IFERROR(__xludf.DUMMYFUNCTION("""COMPUTED_VALUE"""),"Rohin")</f>
        <v>Rohin</v>
      </c>
      <c r="J809" t="str">
        <f>IFERROR(__xludf.DUMMYFUNCTION("""COMPUTED_VALUE"""),"If we imagine humans as reasoners over natural language, there are probably some esoteric sentences that could cause ""failure"". For example, maybe there are unreasonably convincing arguments that cause the human to believe something, when they shouldn't"&amp;" have been convinced by the argument. Maybe they are tricked or threatened in a way that ""shouldn't"" have happened. The goal with security amplification is to make these sorts of sentences difficult to find, so that we will not come across them in pract"&amp;"ice. As with [Reliability amplification](https://www.alignmentforum.org/posts/6fMvGoyy3kgnonRNM/reliability-amplification) ([AN #44](https://mailchi.mp/6bfac400a0c3/alignment-newsletter-44)), we are trying to amplify a fast agent A into a slow agent A* th"&amp;"at is ""more secure"", meaning that it is multiplicatively harder to find an input that causes a catastrophic failure.
You might expect that [capability amplification](https://www.alignmentforum.org/posts/t3AJW5jP3sk36aGoC/capability-amplification) ([AN "&amp;"#42](https://mailchi.mp/f6488137d76c/alignment-newsletter-42)) would also improve security, since the more capable agent would be able to notice failure modes and remove them. However, this would likely take far too long.
Instead, we can hope to achieve "&amp;"security amplification by making reasoning abstract and explicit, with the hope that when reasoning is explicit it becomes harder to trigger the underlying failure mode, since you have to get your attack ""through"" the abstract reasoning. I believe a fut"&amp;"ure post will talk about this more, so I'll leave the details till then. Another option would be for the agent to act stochastically; for example, when it needs to generate a subquestion, it generates many different wordings of the subquestion and chooses"&amp;" one randomly. If only one of the wordings can trigger the failure, then this reduces the failure probability.")</f>
        <v>If we imagine humans as reasoners over natural language, there are probably some esoteric sentences that could cause "failure". For example, maybe there are unreasonably convincing arguments that cause the human to believe something, when they shouldn't have been convinced by the argument. Maybe they are tricked or threatened in a way that "shouldn't" have happened. The goal with security amplification is to make these sorts of sentences difficult to find, so that we will not come across them in practice. As with [Reliability amplification](https://www.alignmentforum.org/posts/6fMvGoyy3kgnonRNM/reliability-amplification) ([AN #44](https://mailchi.mp/6bfac400a0c3/alignment-newsletter-44)), we are trying to amplify a fast agent A into a slow agent A* that is "more secure", meaning that it is multiplicatively harder to find an input that causes a catastrophic failure.
You might expect that [capability amplification](https://www.alignmentforum.org/posts/t3AJW5jP3sk36aGoC/capability-amplification) ([AN #42](https://mailchi.mp/f6488137d76c/alignment-newsletter-42)) would also improve security, since the more capable agent would be able to notice failure modes and remove them. However, this would likely take far too long.
Instead, we can hope to achieve security amplification by making reasoning abstract and explicit, with the hope that when reasoning is explicit it becomes harder to trigger the underlying failure mode, since you have to get your attack "through" the abstract reasoning. I believe a future post will talk about this more, so I'll leave the details till then. Another option would be for the agent to act stochastically; for example, when it needs to generate a subquestion, it generates many different wordings of the subquestion and chooses one randomly. If only one of the wordings can trigger the failure, then this reduces the failure probability.</v>
      </c>
      <c r="K809" t="str">
        <f>IFERROR(__xludf.DUMMYFUNCTION("""COMPUTED_VALUE"""),"This is the counterpoint to [Reliability amplification](https://www.alignmentforum.org/posts/6fMvGoyy3kgnonRNM/reliability-amplification) ([AN #44](https://mailchi.mp/6bfac400a0c3/alignment-newsletter-44)) from last week, and the same [confusion](https://"&amp;"www.alignmentforum.org/posts/6fMvGoyy3kgnonRNM/reliability-amplification#9HpJBuc9PBwTPtdQW) I had last week still apply, so I'm going to refrain from an opinion.")</f>
        <v>This is the counterpoint to [Reliability amplification](https://www.alignmentforum.org/posts/6fMvGoyy3kgnonRNM/reliability-amplification) ([AN #44](https://mailchi.mp/6bfac400a0c3/alignment-newsletter-44)) from last week, and the same [confusion](https://www.alignmentforum.org/posts/6fMvGoyy3kgnonRNM/reliability-amplification#9HpJBuc9PBwTPtdQW) I had last week still apply, so I'm going to refrain from an opinion.</v>
      </c>
    </row>
    <row r="810">
      <c r="A810" t="str">
        <f>IFERROR(__xludf.DUMMYFUNCTION("""COMPUTED_VALUE"""),"Iterated amplification sequence")</f>
        <v>Iterated amplification sequence</v>
      </c>
      <c r="B810" t="str">
        <f>IFERROR(__xludf.DUMMYFUNCTION("""COMPUTED_VALUE"""),"")</f>
        <v/>
      </c>
      <c r="C810" s="3" t="str">
        <f>IFERROR(__xludf.DUMMYFUNCTION("""COMPUTED_VALUE"""),"Reliability amplification")</f>
        <v>Reliability amplification</v>
      </c>
      <c r="D810" t="str">
        <f>IFERROR(__xludf.DUMMYFUNCTION("""COMPUTED_VALUE"""),"Paul Christiano")</f>
        <v>Paul Christiano</v>
      </c>
      <c r="E810" t="str">
        <f>IFERROR(__xludf.DUMMYFUNCTION("""COMPUTED_VALUE"""),"Alignment Forum")</f>
        <v>Alignment Forum</v>
      </c>
      <c r="F810">
        <f>IFERROR(__xludf.DUMMYFUNCTION("""COMPUTED_VALUE"""),2016.0)</f>
        <v>2016</v>
      </c>
      <c r="H810" s="3" t="str">
        <f>IFERROR(__xludf.DUMMYFUNCTION("""COMPUTED_VALUE"""),"AN #44")</f>
        <v>AN #44</v>
      </c>
      <c r="I810" t="str">
        <f>IFERROR(__xludf.DUMMYFUNCTION("""COMPUTED_VALUE"""),"Rohin")</f>
        <v>Rohin</v>
      </c>
      <c r="J810" t="str">
        <f>IFERROR(__xludf.DUMMYFUNCTION("""COMPUTED_VALUE"""),"One hope for building an aligned AI system is to alternate [capability amplification](https://www.alignmentforum.org/posts/t3AJW5jP3sk36aGoC/capability-amplification) and [reward engineering](https://www.alignmentforum.org/posts/4nZRzoGTqg8xy5rr8/the-rewa"&amp;"rd-engineering-problem) (both [AN #42](https://mailchi.mp/f6488137d76c/alignment-newsletter-42)) with semi-supervised learning in order to create an agent that becomes more and more capable with more iterations, while remaining aligned. However, our agent"&amp;"s will likely always have a small probability of failing, and when we use capability amplification, that failure probability is also amplified (since each of the subagents could fail). If we do enough capability amplifiation, the failure probability could"&amp;" approach 1. This motivates the problem of _reliability amplification_, which aims to take an agent that fails with small probability ε and produce a new agent that fails with significantly lower probability. As with capability amplification, the new agen"&amp;"t can take much more time and compute than the original. The hope would be that the combination of capability and reliability amplification would allow us to take an initial agent and make it both more capable and more reliable (even though capability amp"&amp;"lification reduces reliability, and reliability amplification will probably reduce capability).
One simple thing to do would be to sample three agents, have them collaboratively settle on an action. If all three agents are aligned, we're fine. The chance"&amp;" of two or three of the agents being malign is small enough that we can ignore it. The interesting case is if one agent is malign and two are benign. If there were only one correct answer, we could simply take a majority vote and get the right answer, and"&amp;" we would have amplified reliability to order ε^2 (which happens when you get two or more malign agents). However, different benign agents could give different answers, since there is no one ""correct"" benign answer. If we were to choose randomly, as you"&amp;" might expect we get no benefit: we'd have a ~3ε chance of having exactly one malign agent, and a 1/3 chance of failing in that case, keeping the failure probability at ε. The hope for reducing the failure probability is if the two benign agents can ""rec"&amp;"ognize"" each other as benign, and so that the majority vote has a &gt;2/3 chance of choosing one of the actions that the benign agents suggested. This does depend on all of the agents having similar capabilities -- if the malign agent is a superintelligence"&amp;" while the two benign agents are human-level, then it seems likely that the malign superintelligence would be able to convince the benign agents to go along with its plan.")</f>
        <v>One hope for building an aligned AI system is to alternate [capability amplification](https://www.alignmentforum.org/posts/t3AJW5jP3sk36aGoC/capability-amplification) and [reward engineering](https://www.alignmentforum.org/posts/4nZRzoGTqg8xy5rr8/the-reward-engineering-problem) (both [AN #42](https://mailchi.mp/f6488137d76c/alignment-newsletter-42)) with semi-supervised learning in order to create an agent that becomes more and more capable with more iterations, while remaining aligned. However, our agents will likely always have a small probability of failing, and when we use capability amplification, that failure probability is also amplified (since each of the subagents could fail). If we do enough capability amplifiation, the failure probability could approach 1. This motivates the problem of _reliability amplification_, which aims to take an agent that fails with small probability ε and produce a new agent that fails with significantly lower probability. As with capability amplification, the new agent can take much more time and compute than the original. The hope would be that the combination of capability and reliability amplification would allow us to take an initial agent and make it both more capable and more reliable (even though capability amplification reduces reliability, and reliability amplification will probably reduce capability).
One simple thing to do would be to sample three agents, have them collaboratively settle on an action. If all three agents are aligned, we're fine. The chance of two or three of the agents being malign is small enough that we can ignore it. The interesting case is if one agent is malign and two are benign. If there were only one correct answer, we could simply take a majority vote and get the right answer, and we would have amplified reliability to order ε^2 (which happens when you get two or more malign agents). However, different benign agents could give different answers, since there is no one "correct" benign answer. If we were to choose randomly, as you might expect we get no benefit: we'd have a ~3ε chance of having exactly one malign agent, and a 1/3 chance of failing in that case, keeping the failure probability at ε. The hope for reducing the failure probability is if the two benign agents can "recognize" each other as benign, and so that the majority vote has a &gt;2/3 chance of choosing one of the actions that the benign agents suggested. This does depend on all of the agents having similar capabilities -- if the malign agent is a superintelligence while the two benign agents are human-level, then it seems likely that the malign superintelligence would be able to convince the benign agents to go along with its plan.</v>
      </c>
      <c r="K810" t="str">
        <f>IFERROR(__xludf.DUMMYFUNCTION("""COMPUTED_VALUE"""),"It seems like this requires the assumption that our agents have a small probability of failure on any given input. I think this makes sense of we are thinking of reliability of [corrigibility](https://www.alignmentforum.org/s/EmDuGeRw749sD3GKd/p/fkLYhTQte"&amp;"Au5SinAc) ([AN #35](https://mailchi.mp/bbd47ba94e84/alignment-newsletter-35)). That said, I'm pretty confused about what problem this technique is trying to protect against, which I wrote about [in this comment](https://www.alignmentforum.org/s/EmDuGeRw74"&amp;"9sD3GKd/p/6fMvGoyy3kgnonRNM#9HpJBuc9PBwTPtdQW).")</f>
        <v>It seems like this requires the assumption that our agents have a small probability of failure on any given input. I think this makes sense of we are thinking of reliability of [corrigibility](https://www.alignmentforum.org/s/EmDuGeRw749sD3GKd/p/fkLYhTQteAu5SinAc) ([AN #35](https://mailchi.mp/bbd47ba94e84/alignment-newsletter-35)). That said, I'm pretty confused about what problem this technique is trying to protect against, which I wrote about [in this comment](https://www.alignmentforum.org/s/EmDuGeRw749sD3GKd/p/6fMvGoyy3kgnonRNM#9HpJBuc9PBwTPtdQW).</v>
      </c>
    </row>
    <row r="811">
      <c r="A811" t="str">
        <f>IFERROR(__xludf.DUMMYFUNCTION("""COMPUTED_VALUE"""),"Iterated amplification sequence")</f>
        <v>Iterated amplification sequence</v>
      </c>
      <c r="B811" t="str">
        <f>IFERROR(__xludf.DUMMYFUNCTION("""COMPUTED_VALUE"""),"")</f>
        <v/>
      </c>
      <c r="C811" s="3" t="str">
        <f>IFERROR(__xludf.DUMMYFUNCTION("""COMPUTED_VALUE"""),"Learning with catastrophes")</f>
        <v>Learning with catastrophes</v>
      </c>
      <c r="D811" t="str">
        <f>IFERROR(__xludf.DUMMYFUNCTION("""COMPUTED_VALUE"""),"Paul Christiano")</f>
        <v>Paul Christiano</v>
      </c>
      <c r="E811" t="str">
        <f>IFERROR(__xludf.DUMMYFUNCTION("""COMPUTED_VALUE"""),"Alignment Forum")</f>
        <v>Alignment Forum</v>
      </c>
      <c r="F811">
        <f>IFERROR(__xludf.DUMMYFUNCTION("""COMPUTED_VALUE"""),2016.0)</f>
        <v>2016</v>
      </c>
      <c r="H811" s="3" t="str">
        <f>IFERROR(__xludf.DUMMYFUNCTION("""COMPUTED_VALUE"""),"AN #43")</f>
        <v>AN #43</v>
      </c>
      <c r="I811" t="str">
        <f>IFERROR(__xludf.DUMMYFUNCTION("""COMPUTED_VALUE"""),"Rohin")</f>
        <v>Rohin</v>
      </c>
      <c r="J811" t="str">
        <f>IFERROR(__xludf.DUMMYFUNCTION("""COMPUTED_VALUE"""),"In iterated amplification, we need to train a fast agent from a slow one produced by [amplification](https://www.alignmentforum.org/posts/t3AJW5jP3sk36aGoC/capability-amplification) ([AN #42](https://mailchi.mp/f6488137d76c/alignment-newsletter-42)). We n"&amp;"eed this training to be such that the resulting agent _never_ does anything catastrophic at test time. In iterated amplification, we do have the benefit of having a strong overseer who can give good fedback. This suggests a formalization for catastrophes."&amp;" Suppose there is some oracle that can take any sequence of observations and actions and label it as catastrophic or not. How do we use this oracle to train an agent that will never produce catastrophic behavior at test time?
Given unlimited compute and "&amp;"unlimited access to the oracle, this problem is easy: simply search over all possible environments and ask the oracle if the agent behaves catastrophically on them. If any such behavior is found, train the agent to not perform that behavior any more. Repe"&amp;"at until all catastrophic behavior is eliminated. This is basically a very strong form of adversarial training.")</f>
        <v>In iterated amplification, we need to train a fast agent from a slow one produced by [amplification](https://www.alignmentforum.org/posts/t3AJW5jP3sk36aGoC/capability-amplification) ([AN #42](https://mailchi.mp/f6488137d76c/alignment-newsletter-42)). We need this training to be such that the resulting agent _never_ does anything catastrophic at test time. In iterated amplification, we do have the benefit of having a strong overseer who can give good fedback. This suggests a formalization for catastrophes. Suppose there is some oracle that can take any sequence of observations and actions and label it as catastrophic or not. How do we use this oracle to train an agent that will never produce catastrophic behavior at test time?
Given unlimited compute and unlimited access to the oracle, this problem is easy: simply search over all possible environments and ask the oracle if the agent behaves catastrophically on them. If any such behavior is found, train the agent to not perform that behavior any more. Repeat until all catastrophic behavior is eliminated. This is basically a very strong form of adversarial training.</v>
      </c>
      <c r="K811" t="str">
        <f>IFERROR(__xludf.DUMMYFUNCTION("""COMPUTED_VALUE"""),"I'm not sure how necessary it is to explicitly aim to avoid catastrophic behavior -- it seems that even a low capability [corrigible](https://ai-alignment.com/corrigibility-3039e668638) agent would still know enough to avoid catastrophic behavior in pract"&amp;"ice. However, based on [Techniques for optimizing worst-case performance](https://www.alignmentforum.org/posts/E2aZ9Xwdz3i2ghPtn/techniques-for-optimizing-worst-case-performance), summarized below, it seems like the motivation is actually to avoid catastr"&amp;"ophic failures of corrigibility, as opposed to all catastrophes.
In fact, we can see that we can't avoid all catastrophes without some assumption on either the environment or the oracle. Suppose the environment can do anything computable, and the oracle "&amp;"evaluates behavior only based on outcomes (observations). In this case, for any observation that the oracle would label as catastrophic, there is an environment that regardless of the agent's action outputs that observation, and there is no agent that can"&amp;" always avoid catastrophe. So for this problem to be solvable, we need to either have a limit on what the environment ""could do"", or an oracle that judges ""catastrophe"" based on the agent's action in addition to outcomes. That latter option can cache "&amp;"out to ""are the actions in this transcript knowably going to cause something bad to happen"", which sounds very much like corrigibility.")</f>
        <v>I'm not sure how necessary it is to explicitly aim to avoid catastrophic behavior -- it seems that even a low capability [corrigible](https://ai-alignment.com/corrigibility-3039e668638) agent would still know enough to avoid catastrophic behavior in practice. However, based on [Techniques for optimizing worst-case performance](https://www.alignmentforum.org/posts/E2aZ9Xwdz3i2ghPtn/techniques-for-optimizing-worst-case-performance), summarized below, it seems like the motivation is actually to avoid catastrophic failures of corrigibility, as opposed to all catastrophes.
In fact, we can see that we can't avoid all catastrophes without some assumption on either the environment or the oracle. Suppose the environment can do anything computable, and the oracle evaluates behavior only based on outcomes (observations). In this case, for any observation that the oracle would label as catastrophic, there is an environment that regardless of the agent's action outputs that observation, and there is no agent that can always avoid catastrophe. So for this problem to be solvable, we need to either have a limit on what the environment "could do", or an oracle that judges "catastrophe" based on the agent's action in addition to outcomes. That latter option can cache out to "are the actions in this transcript knowably going to cause something bad to happen", which sounds very much like corrigibility.</v>
      </c>
    </row>
    <row r="812">
      <c r="A812" t="str">
        <f>IFERROR(__xludf.DUMMYFUNCTION("""COMPUTED_VALUE"""),"Iterated amplification sequence")</f>
        <v>Iterated amplification sequence</v>
      </c>
      <c r="B812" t="str">
        <f>IFERROR(__xludf.DUMMYFUNCTION("""COMPUTED_VALUE"""),"")</f>
        <v/>
      </c>
      <c r="C812" s="3" t="str">
        <f>IFERROR(__xludf.DUMMYFUNCTION("""COMPUTED_VALUE"""),"Techniques for optimizing worst-case performance")</f>
        <v>Techniques for optimizing worst-case performance</v>
      </c>
      <c r="D812" t="str">
        <f>IFERROR(__xludf.DUMMYFUNCTION("""COMPUTED_VALUE"""),"Paul Christiano")</f>
        <v>Paul Christiano</v>
      </c>
      <c r="E812" t="str">
        <f>IFERROR(__xludf.DUMMYFUNCTION("""COMPUTED_VALUE"""),"Alignment Forum")</f>
        <v>Alignment Forum</v>
      </c>
      <c r="F812">
        <f>IFERROR(__xludf.DUMMYFUNCTION("""COMPUTED_VALUE"""),2018.0)</f>
        <v>2018</v>
      </c>
      <c r="H812" s="3" t="str">
        <f>IFERROR(__xludf.DUMMYFUNCTION("""COMPUTED_VALUE"""),"AN #43")</f>
        <v>AN #43</v>
      </c>
      <c r="I812" t="str">
        <f>IFERROR(__xludf.DUMMYFUNCTION("""COMPUTED_VALUE"""),"Rohin")</f>
        <v>Rohin</v>
      </c>
      <c r="J812" t="str">
        <f>IFERROR(__xludf.DUMMYFUNCTION("""COMPUTED_VALUE"""),"There are “benign” failures of worst-case performance, where the AI system encounters a novel situation and behaves weirdly, but not in a way that systematically disfavors human values. As I noted above, we can’t get rid of all of these, but that’s probab"&amp;"ly fine. We instead would like to focus on “malign” failures, where the AI system applies its intelligence in pursuit of the wrong goal. There are a few techniques that could be applied to this problem.
With adversarial training, we can have one system f"&amp;"ind inputs on which our agent fails catastrophically, and then train the agent to avoid those behaviors. The main issue here is that there will likely be some failures that aren't found.
On the other hand, verification has strong guarantees, but suffers "&amp;"from the problem that it is hard to know what to specify, and it is computationally expensive to actually perform verification. If we have a strong trusted overseer, eg. produced by amplification, we could use it as a very expensive specification. Alterna"&amp;"tively, we could use a catastrophe-checker in lieu of a specification. _(Note: While I can see some ways of using catastrophe-checkers, the post seems to have a specific method in mind that I don't understand.)_
Any malignant failure must be using the in"&amp;"telligence of the agent somehow, and the agent is only intelligent on the training data, so if we can use strong transparency techniques on the training data, we could find such failures. However, if you use transparency for this, by default you weed out "&amp;"the comprehensible failures and leave in the incomprehensible ones.")</f>
        <v>There are “benign” failures of worst-case performance, where the AI system encounters a novel situation and behaves weirdly, but not in a way that systematically disfavors human values. As I noted above, we can’t get rid of all of these, but that’s probably fine. We instead would like to focus on “malign” failures, where the AI system applies its intelligence in pursuit of the wrong goal. There are a few techniques that could be applied to this problem.
With adversarial training, we can have one system find inputs on which our agent fails catastrophically, and then train the agent to avoid those behaviors. The main issue here is that there will likely be some failures that aren't found.
On the other hand, verification has strong guarantees, but suffers from the problem that it is hard to know what to specify, and it is computationally expensive to actually perform verification. If we have a strong trusted overseer, eg. produced by amplification, we could use it as a very expensive specification. Alternatively, we could use a catastrophe-checker in lieu of a specification. _(Note: While I can see some ways of using catastrophe-checkers, the post seems to have a specific method in mind that I don't understand.)_
Any malignant failure must be using the intelligence of the agent somehow, and the agent is only intelligent on the training data, so if we can use strong transparency techniques on the training data, we could find such failures. However, if you use transparency for this, by default you weed out the comprehensible failures and leave in the incomprehensible ones.</v>
      </c>
      <c r="K812" t="str">
        <f>IFERROR(__xludf.DUMMYFUNCTION("""COMPUTED_VALUE"""),"While I agree that it would be great to optimize worst-case performance, all of these techniques feel quite difficult to do scalably and with guarantees. With adversarial training, you need to find _all_ of the ways that an agent could fail, while catastr"&amp;"ophe could happen if the agent stumbles across _any_ of these methods. It seems plausible to me that with sufficient additional information given to the adversary we can meet this standard, but it seems very hard to _knowably_ meet this standard, i.e. to "&amp;"have a strong argument that we will find all of the potential issues.
With verification, the specification problem seems like a deal-breaker, unless combined with other methods: a major point with AI safety is that we can't write down a good specificatio"&amp;"n for what we want. If we instead only use verification to propagate worst-case guarantees from one model to another (as the post suggests), then it seems possible in theory, but very expensive in practice: most verification techniques assume unlimited fa"&amp;"st access to the specification, whereas our specification is very expensive to query. Of course, not much research has focused on this setting, so we can expect large gains; nonetheless you do need to somehow extrapolate the specification to all possible "&amp;"inputs, which seems hard to do with limited access to the specification.
Transparency also seems like it provides additional safety, rather than making any guarantees, since we probably can't get a guarantee that our transparency mechanisms can show us a"&amp;"ll possible failure modes in a way that we understand them. The argument that we can only focus on the training data makes the assumption that the AI system is not going to generalize well outside of the training dataset. While I'm sympathetic to this ass"&amp;"umption (we really don't have good methods for generalization, and there are strong reasons to expect generalization to be near-impossible), it isn't one that I'm confident about, especially when we're talking about _general_ intelligence.
Of course, I'm"&amp;" still excited for more research to be done on these topics, since they do seem to cut out some additional failure modes. But if we're looking to have a semi-formal strong argument that we will have good worst-case performance, I don't see the reasons for"&amp;" optimism about that.")</f>
        <v>While I agree that it would be great to optimize worst-case performance, all of these techniques feel quite difficult to do scalably and with guarantees. With adversarial training, you need to find _all_ of the ways that an agent could fail, while catastrophe could happen if the agent stumbles across _any_ of these methods. It seems plausible to me that with sufficient additional information given to the adversary we can meet this standard, but it seems very hard to _knowably_ meet this standard, i.e. to have a strong argument that we will find all of the potential issues.
With verification, the specification problem seems like a deal-breaker, unless combined with other methods: a major point with AI safety is that we can't write down a good specification for what we want. If we instead only use verification to propagate worst-case guarantees from one model to another (as the post suggests), then it seems possible in theory, but very expensive in practice: most verification techniques assume unlimited fast access to the specification, whereas our specification is very expensive to query. Of course, not much research has focused on this setting, so we can expect large gains; nonetheless you do need to somehow extrapolate the specification to all possible inputs, which seems hard to do with limited access to the specification.
Transparency also seems like it provides additional safety, rather than making any guarantees, since we probably can't get a guarantee that our transparency mechanisms can show us all possible failure modes in a way that we understand them. The argument that we can only focus on the training data makes the assumption that the AI system is not going to generalize well outside of the training dataset. While I'm sympathetic to this assumption (we really don't have good methods for generalization, and there are strong reasons to expect generalization to be near-impossible), it isn't one that I'm confident about, especially when we're talking about _general_ intelligence.
Of course, I'm still excited for more research to be done on these topics, since they do seem to cut out some additional failure modes. But if we're looking to have a semi-formal strong argument that we will have good worst-case performance, I don't see the reasons for optimism about that.</v>
      </c>
    </row>
    <row r="813">
      <c r="A813" t="str">
        <f>IFERROR(__xludf.DUMMYFUNCTION("""COMPUTED_VALUE"""),"Iterated amplification sequence")</f>
        <v>Iterated amplification sequence</v>
      </c>
      <c r="B813" t="str">
        <f>IFERROR(__xludf.DUMMYFUNCTION("""COMPUTED_VALUE"""),"")</f>
        <v/>
      </c>
      <c r="C813" s="3" t="str">
        <f>IFERROR(__xludf.DUMMYFUNCTION("""COMPUTED_VALUE"""),"Thoughts on reward engineering")</f>
        <v>Thoughts on reward engineering</v>
      </c>
      <c r="D813" t="str">
        <f>IFERROR(__xludf.DUMMYFUNCTION("""COMPUTED_VALUE"""),"Paul Christiano")</f>
        <v>Paul Christiano</v>
      </c>
      <c r="E813" t="str">
        <f>IFERROR(__xludf.DUMMYFUNCTION("""COMPUTED_VALUE"""),"Alignment Forum")</f>
        <v>Alignment Forum</v>
      </c>
      <c r="F813">
        <f>IFERROR(__xludf.DUMMYFUNCTION("""COMPUTED_VALUE"""),2016.0)</f>
        <v>2016</v>
      </c>
      <c r="H813" s="3" t="str">
        <f>IFERROR(__xludf.DUMMYFUNCTION("""COMPUTED_VALUE"""),"AN #43")</f>
        <v>AN #43</v>
      </c>
      <c r="I813" t="str">
        <f>IFERROR(__xludf.DUMMYFUNCTION("""COMPUTED_VALUE"""),"Rohin")</f>
        <v>Rohin</v>
      </c>
      <c r="J813" t="str">
        <f>IFERROR(__xludf.DUMMYFUNCTION("""COMPUTED_VALUE"""),"This post digs into some of the ""easy"" issues with reward engineering (where we must design a good reward function for an agent, given access to a stronger overseer).
First, in order to handle outcomes over long time horizons, we need to have the rewar"&amp;"d function capture the overseer's evaluation of the long-term consequences of an action, since it isn't feasible to wait until the outcomes actually happen.
Second, since human judgments are inconsistent and unreliable, we could have the agent choose an "&amp;"action such that there is no other action which the overseer would evaluate as better in a _comparison_ between the two. _(This is not exactly right -- the human's comparisons could be such that this is an impossible standard. The post uses a two-player g"&amp;"ame formulation that avoids the issue, and gives the guarantee that the agent won't choose something that is unambiguously worse than another option.)_
Third, since the agent will be uncertain about the overseer's reward, it will have the equivalent of n"&amp;"ormative uncertainty -- how should it trade off between different possible reward functions the overseer could have? One option is to choose a particular yardstick, eg. how much the overseer values a minute of their time, some small amount of money, etc. "&amp;"and normalize all rewards to that yardstick.
Fourth, when there are decisions with very widely-varying scales of rewards, traditional algorithms don't work well. Normally we could focus on the high-stakes decisions and ignore the others, but if the high-"&amp;"stakes decisions occur infrequently then all decisions are about equally important. In this case, we could oversample high-stakes decisions and reduce their rewards (i.e. importance sampling) to use traditional algorithms to learn effectively without chan"&amp;"ging the overall ""meaning"" of the reward function. However, very rare+high-stakes decisions will probably require additional techniques.
Fifth, for sparse reward functions where most behavior is equally bad, we need to provide ""hints"" about what good"&amp;" behavior looks like. Reward shaping is the main current approach, but we do need to make sure that by the end of training we are using the true reward, not the shaped one. Lots of other information such as demonstrations can also be taken as hints that a"&amp;"llow you to get higher reward.
Finally, the reward will likely be sufficiently complex that we cannot write it down, and so we'll need to rely on an expensive evaluation by the overseer. We will probably need semi-supervised RL in order to make this suff"&amp;"iciently computationally efficient.")</f>
        <v>This post digs into some of the "easy" issues with reward engineering (where we must design a good reward function for an agent, given access to a stronger overseer).
First, in order to handle outcomes over long time horizons, we need to have the reward function capture the overseer's evaluation of the long-term consequences of an action, since it isn't feasible to wait until the outcomes actually happen.
Second, since human judgments are inconsistent and unreliable, we could have the agent choose an action such that there is no other action which the overseer would evaluate as better in a _comparison_ between the two. _(This is not exactly right -- the human's comparisons could be such that this is an impossible standard. The post uses a two-player game formulation that avoids the issue, and gives the guarantee that the agent won't choose something that is unambiguously worse than another option.)_
Third, since the agent will be uncertain about the overseer's reward, it will have the equivalent of normative uncertainty -- how should it trade off between different possible reward functions the overseer could have? One option is to choose a particular yardstick, eg. how much the overseer values a minute of their time, some small amount of money, etc. and normalize all rewards to that yardstick.
Fourth, when there are decisions with very widely-varying scales of rewards, traditional algorithms don't work well. Normally we could focus on the high-stakes decisions and ignore the others, but if the high-stakes decisions occur infrequently then all decisions are about equally important. In this case, we could oversample high-stakes decisions and reduce their rewards (i.e. importance sampling) to use traditional algorithms to learn effectively without changing the overall "meaning" of the reward function. However, very rare+high-stakes decisions will probably require additional techniques.
Fifth, for sparse reward functions where most behavior is equally bad, we need to provide "hints" about what good behavior looks like. Reward shaping is the main current approach, but we do need to make sure that by the end of training we are using the true reward, not the shaped one. Lots of other information such as demonstrations can also be taken as hints that allow you to get higher reward.
Finally, the reward will likely be sufficiently complex that we cannot write it down, and so we'll need to rely on an expensive evaluation by the overseer. We will probably need semi-supervised RL in order to make this sufficiently computationally efficient.</v>
      </c>
      <c r="K813" t="str">
        <f>IFERROR(__xludf.DUMMYFUNCTION("""COMPUTED_VALUE"""),"As the post notes, these problems are only ""easy"" in the conceptual sense -- the resulting RL problems could be quite hard. I feel most confused about the third and fourth problems. Choosing a yardstick could work to aggregate reward functions, but I st"&amp;"ill worry about the issue that this tends to overweight reward functions that assign a low value to the yardstick but high value to other outcomes. With widely-varying rewards, it seems hard to importance sample high-stakes decisions, without knowing what"&amp;" those decisions might be. Maybe if we notice a very large reward, we instead make it lower reward, but oversample it in the future? Something like this could potentially work, but I don't see how yet.
For complex, expensive-to-evaluate rewards, Paul sug"&amp;"gests using semi-supervised learning; this would be fine if semi-supervised learning was sufficient, but I worry that there actually isn't enough information in just a few evaluations of the reward function to narrow down on the true reward sufficiently, "&amp;"which means that even conceptually we will need something else.")</f>
        <v>As the post notes, these problems are only "easy" in the conceptual sense -- the resulting RL problems could be quite hard. I feel most confused about the third and fourth problems. Choosing a yardstick could work to aggregate reward functions, but I still worry about the issue that this tends to overweight reward functions that assign a low value to the yardstick but high value to other outcomes. With widely-varying rewards, it seems hard to importance sample high-stakes decisions, without knowing what those decisions might be. Maybe if we notice a very large reward, we instead make it lower reward, but oversample it in the future? Something like this could potentially work, but I don't see how yet.
For complex, expensive-to-evaluate rewards, Paul suggests using semi-supervised learning; this would be fine if semi-supervised learning was sufficient, but I worry that there actually isn't enough information in just a few evaluations of the reward function to narrow down on the true reward sufficiently, which means that even conceptually we will need something else.</v>
      </c>
    </row>
    <row r="814">
      <c r="A814" t="str">
        <f>IFERROR(__xludf.DUMMYFUNCTION("""COMPUTED_VALUE"""),"Iterated amplification sequence")</f>
        <v>Iterated amplification sequence</v>
      </c>
      <c r="B814" t="str">
        <f>IFERROR(__xludf.DUMMYFUNCTION("""COMPUTED_VALUE"""),"")</f>
        <v/>
      </c>
      <c r="C814" s="3" t="str">
        <f>IFERROR(__xludf.DUMMYFUNCTION("""COMPUTED_VALUE"""),"Capability amplification")</f>
        <v>Capability amplification</v>
      </c>
      <c r="D814" t="str">
        <f>IFERROR(__xludf.DUMMYFUNCTION("""COMPUTED_VALUE"""),"Paul Christiano")</f>
        <v>Paul Christiano</v>
      </c>
      <c r="E814" t="str">
        <f>IFERROR(__xludf.DUMMYFUNCTION("""COMPUTED_VALUE"""),"Alignment Forum")</f>
        <v>Alignment Forum</v>
      </c>
      <c r="F814">
        <f>IFERROR(__xludf.DUMMYFUNCTION("""COMPUTED_VALUE"""),2016.0)</f>
        <v>2016</v>
      </c>
      <c r="H814" s="3" t="str">
        <f>IFERROR(__xludf.DUMMYFUNCTION("""COMPUTED_VALUE"""),"AN #42")</f>
        <v>AN #42</v>
      </c>
      <c r="I814" t="str">
        <f>IFERROR(__xludf.DUMMYFUNCTION("""COMPUTED_VALUE"""),"Rohin")</f>
        <v>Rohin</v>
      </c>
      <c r="J814" t="str">
        <f>IFERROR(__xludf.DUMMYFUNCTION("""COMPUTED_VALUE"""),"Capability amplification is the problem of taking some existing policy and producing a better policy, perhaps using much more time and compute. It is a particularly interesting problem to study because it could be used to define the goals of a powerful AI"&amp;" system, and it could be combined with [reward engineering](https://www.alignmentforum.org/posts/4nZRzoGTqg8xy5rr8/the-reward-engineering-problem) above to create a powerful aligned system. (Capability amplification and reward engineering are analogous to"&amp;" amplification and distillation respectively.) In addition, capability amplification seems simpler than the general problem of ""build an AI that does the right thing"", because we get to start with a weak policy A rather than nothing, and were allowed to"&amp;" take lots of time and computation to implement the better policy. It would be useful to tell whether the ""hard part"" of value alignment is in capability amplification, or somewhere else.
We can evaluate capability amplification using the concepts of r"&amp;"eachability and obstructions. A policy C is _reachable_ from another policy A if there is some chain of policies from A to C, such that at each step capability amplification takes you from the first policy to something at least as good as the second polic"&amp;"y. Ideally, all policies would be reachable from some very simple policy. This is impossible if there exists an _obstruction_, that is a partition of policies into two sets L and H, such that it is impossible to amplify any policy in L to get a policy tha"&amp;"t is at least as good as some policy in H. Intuitively, an obstruction prevents us from getting to arbitrarily good behavior, and means that all of the policies in H are not reachable from any policy in L.
We can do further work on capability amplificati"&amp;"on. With theory, we can search for challenging obstructions, and design procedures that overcome them. With experiment, we can study capability amplification with humans (something which [Ought](https://ought.org/) is now doing).")</f>
        <v>Capability amplification is the problem of taking some existing policy and producing a better policy, perhaps using much more time and compute. It is a particularly interesting problem to study because it could be used to define the goals of a powerful AI system, and it could be combined with [reward engineering](https://www.alignmentforum.org/posts/4nZRzoGTqg8xy5rr8/the-reward-engineering-problem) above to create a powerful aligned system. (Capability amplification and reward engineering are analogous to amplification and distillation respectively.) In addition, capability amplification seems simpler than the general problem of "build an AI that does the right thing", because we get to start with a weak policy A rather than nothing, and were allowed to take lots of time and computation to implement the better policy. It would be useful to tell whether the "hard part" of value alignment is in capability amplification, or somewhere else.
We can evaluate capability amplification using the concepts of reachability and obstructions. A policy C is _reachable_ from another policy A if there is some chain of policies from A to C, such that at each step capability amplification takes you from the first policy to something at least as good as the second policy. Ideally, all policies would be reachable from some very simple policy. This is impossible if there exists an _obstruction_, that is a partition of policies into two sets L and H, such that it is impossible to amplify any policy in L to get a policy that is at least as good as some policy in H. Intuitively, an obstruction prevents us from getting to arbitrarily good behavior, and means that all of the policies in H are not reachable from any policy in L.
We can do further work on capability amplification. With theory, we can search for challenging obstructions, and design procedures that overcome them. With experiment, we can study capability amplification with humans (something which [Ought](https://ought.org/) is now doing).</v>
      </c>
      <c r="K814" t="str">
        <f>IFERROR(__xludf.DUMMYFUNCTION("""COMPUTED_VALUE"""),"There's a clear reason for work on capability amplification: it could be used as a part of an implementation of iterated amplification. However, this post also suggests another reason for such work -- it may help us determine where the ""hard part"" of AI"&amp;" safety lies. Does it help to assume that you have lots of time and compute, and that you have access to a weaker policy?
Certainly if you just have access to a weaker policy, this doesn't make the problem any easier. If you could take a weak policy and "&amp;"amplify it into a stronger policy efficiently, then you could just repeatedly apply this policy-improvement operator to some very weak base policy (say, a neural net with random weights) to solve the full problem. (In other variants, you have a much stron"&amp;"ger aligned base policy, eg. the human policy with short inputs and over a short time horizon; in that case this assumption is more powerful.) The more interesting assumption is that you have lots of time and compute, which does seem to have a lot of pote"&amp;"ntial. I feel pretty optimistic that a human thinking for a long time could reach ""superhuman performance"" by our current standards; capability amplification asks if we can do this in a particular structured way.")</f>
        <v>There's a clear reason for work on capability amplification: it could be used as a part of an implementation of iterated amplification. However, this post also suggests another reason for such work -- it may help us determine where the "hard part" of AI safety lies. Does it help to assume that you have lots of time and compute, and that you have access to a weaker policy?
Certainly if you just have access to a weaker policy, this doesn't make the problem any easier. If you could take a weak policy and amplify it into a stronger policy efficiently, then you could just repeatedly apply this policy-improvement operator to some very weak base policy (say, a neural net with random weights) to solve the full problem. (In other variants, you have a much stronger aligned base policy, eg. the human policy with short inputs and over a short time horizon; in that case this assumption is more powerful.) The more interesting assumption is that you have lots of time and compute, which does seem to have a lot of potential. I feel pretty optimistic that a human thinking for a long time could reach "superhuman performance" by our current standards; capability amplification asks if we can do this in a particular structured way.</v>
      </c>
    </row>
    <row r="815">
      <c r="A815" t="str">
        <f>IFERROR(__xludf.DUMMYFUNCTION("""COMPUTED_VALUE"""),"Iterated amplification sequence")</f>
        <v>Iterated amplification sequence</v>
      </c>
      <c r="B815" t="str">
        <f>IFERROR(__xludf.DUMMYFUNCTION("""COMPUTED_VALUE"""),"")</f>
        <v/>
      </c>
      <c r="C815" s="3" t="str">
        <f>IFERROR(__xludf.DUMMYFUNCTION("""COMPUTED_VALUE"""),"The reward engineering problem")</f>
        <v>The reward engineering problem</v>
      </c>
      <c r="D815" t="str">
        <f>IFERROR(__xludf.DUMMYFUNCTION("""COMPUTED_VALUE"""),"Paul Christiano")</f>
        <v>Paul Christiano</v>
      </c>
      <c r="E815" t="str">
        <f>IFERROR(__xludf.DUMMYFUNCTION("""COMPUTED_VALUE"""),"Alignment Forum")</f>
        <v>Alignment Forum</v>
      </c>
      <c r="F815">
        <f>IFERROR(__xludf.DUMMYFUNCTION("""COMPUTED_VALUE"""),2016.0)</f>
        <v>2016</v>
      </c>
      <c r="H815" s="3" t="str">
        <f>IFERROR(__xludf.DUMMYFUNCTION("""COMPUTED_VALUE"""),"AN #42")</f>
        <v>AN #42</v>
      </c>
      <c r="I815" t="str">
        <f>IFERROR(__xludf.DUMMYFUNCTION("""COMPUTED_VALUE"""),"Rohin")</f>
        <v>Rohin</v>
      </c>
      <c r="J815" t="str">
        <f>IFERROR(__xludf.DUMMYFUNCTION("""COMPUTED_VALUE"""),"The reward engineering problem is the problem of designing some form of reward feedback such that if the agent learns to get high reward, then we are happy with the resulting behavior. We assume that an overseer H is providing reward for an agent A, with "&amp;"H smarter than A.
(Aside: Why are we assuming H is smarter, when we are typically worried about AI that is more intelligent than we are? Because we could hope to use AI tools to create this reward function, so that the human + AI team is smarter than the"&amp;" AI being trained. In iterated amplification, this corresponds to the distillation step.)
We could imagine three approaches: direct supervision (where H provides a reward for every action A takes), imitation learning (where A tries to mimic H, perhaps by"&amp;" trying to fool a discriminator that distinguishes between A and H), and inverse reinforcement learning (where we infer a reward function by observing H's behavior and use that to supervise A).
With all of these approaches, we might hope that since H is "&amp;"smarter than A, A will not be able to trick H with some behavior that gets high reward but is actually undesirable. However, this argument has a major flaw. When A chooses an action, the process or computation by which it chooses that action is important "&amp;"information, which by default (especially with neural nets) only A has access to, and so this can allow it to fool H. For example, if A is tasked with drawing original artwork, it might copy and slightly change existing artwork, which H may not realize if"&amp;" it cannot see how the artwork was made. We could hope to fix this problem with transparency or explanations, but this requires a lot more research.
Imitation learning and IRL have the problem that A may not be capable of doing what H does. In that case,"&amp;" it will be off-distribution and may have weird behavior. Direct supervision doesn't suffer from this problem, but it is very time-inefficient. This could potentially be fixed using semi-supervised learning techniques.")</f>
        <v>The reward engineering problem is the problem of designing some form of reward feedback such that if the agent learns to get high reward, then we are happy with the resulting behavior. We assume that an overseer H is providing reward for an agent A, with H smarter than A.
(Aside: Why are we assuming H is smarter, when we are typically worried about AI that is more intelligent than we are? Because we could hope to use AI tools to create this reward function, so that the human + AI team is smarter than the AI being trained. In iterated amplification, this corresponds to the distillation step.)
We could imagine three approaches: direct supervision (where H provides a reward for every action A takes), imitation learning (where A tries to mimic H, perhaps by trying to fool a discriminator that distinguishes between A and H), and inverse reinforcement learning (where we infer a reward function by observing H's behavior and use that to supervise A).
With all of these approaches, we might hope that since H is smarter than A, A will not be able to trick H with some behavior that gets high reward but is actually undesirable. However, this argument has a major flaw. When A chooses an action, the process or computation by which it chooses that action is important information, which by default (especially with neural nets) only A has access to, and so this can allow it to fool H. For example, if A is tasked with drawing original artwork, it might copy and slightly change existing artwork, which H may not realize if it cannot see how the artwork was made. We could hope to fix this problem with transparency or explanations, but this requires a lot more research.
Imitation learning and IRL have the problem that A may not be capable of doing what H does. In that case, it will be off-distribution and may have weird behavior. Direct supervision doesn't suffer from this problem, but it is very time-inefficient. This could potentially be fixed using semi-supervised learning techniques.</v>
      </c>
      <c r="K815" t="str">
        <f>IFERROR(__xludf.DUMMYFUNCTION("""COMPUTED_VALUE"""),"The information asymmetry problem between H and A seems like a major issue. For me, it's the strongest argument for why transparency is a _necessary_ ingredient of a solution to alignment. The argument against imitation learning and IRL is quite strong, i"&amp;"n the sense that it seems like you can't rely on either of them to capture the right behavior. These are stronger than the arguments against [ambitious value learning](https://www.alignmentforum.org/s/4dHMdK5TLN6xcqtyc/p/5eX8ko7GCxwR5N9mN) ([AN #31](https"&amp;"://mailchi.mp/7d0e3916e3d9/alignment-newsletter-31)) because here we assume that H is smarter than A, which we could not do with ambitious value learning. So it does seem to me that direct supervision (with semi-supervised techniques and robustness) is th"&amp;"e most likely path forward to solving the reward engineering problem.
There is also the question of whether it is necessary to solve the reward engineering problem. It certainly seems necessary in order to implement iterated amplification given current s"&amp;"ystems (where the distillation step will be implemented with optimization, which means that we need a reward signal), but might not be necessary if we move away from optimization or if we build systems using some technique other than iterated amplificatio"&amp;"n (though even then it seems very useful to have a good reward engineering solution).")</f>
        <v>The information asymmetry problem between H and A seems like a major issue. For me, it's the strongest argument for why transparency is a _necessary_ ingredient of a solution to alignment. The argument against imitation learning and IRL is quite strong, in the sense that it seems like you can't rely on either of them to capture the right behavior. These are stronger than the arguments against [ambitious value learning](https://www.alignmentforum.org/s/4dHMdK5TLN6xcqtyc/p/5eX8ko7GCxwR5N9mN) ([AN #31](https://mailchi.mp/7d0e3916e3d9/alignment-newsletter-31)) because here we assume that H is smarter than A, which we could not do with ambitious value learning. So it does seem to me that direct supervision (with semi-supervised techniques and robustness) is the most likely path forward to solving the reward engineering problem.
There is also the question of whether it is necessary to solve the reward engineering problem. It certainly seems necessary in order to implement iterated amplification given current systems (where the distillation step will be implemented with optimization, which means that we need a reward signal), but might not be necessary if we move away from optimization or if we build systems using some technique other than iterated amplification (though even then it seems very useful to have a good reward engineering solution).</v>
      </c>
    </row>
    <row r="816">
      <c r="A816" t="str">
        <f>IFERROR(__xludf.DUMMYFUNCTION("""COMPUTED_VALUE"""),"Iterated amplification sequence")</f>
        <v>Iterated amplification sequence</v>
      </c>
      <c r="B816" t="str">
        <f>IFERROR(__xludf.DUMMYFUNCTION("""COMPUTED_VALUE"""),"")</f>
        <v/>
      </c>
      <c r="C816" s="3" t="str">
        <f>IFERROR(__xludf.DUMMYFUNCTION("""COMPUTED_VALUE"""),"AlphaGo Zero and capability amplification")</f>
        <v>AlphaGo Zero and capability amplification</v>
      </c>
      <c r="D816" t="str">
        <f>IFERROR(__xludf.DUMMYFUNCTION("""COMPUTED_VALUE"""),"Paul Christiano")</f>
        <v>Paul Christiano</v>
      </c>
      <c r="E816" t="str">
        <f>IFERROR(__xludf.DUMMYFUNCTION("""COMPUTED_VALUE"""),"Alignment Forum")</f>
        <v>Alignment Forum</v>
      </c>
      <c r="F816">
        <f>IFERROR(__xludf.DUMMYFUNCTION("""COMPUTED_VALUE"""),2017.0)</f>
        <v>2017</v>
      </c>
      <c r="H816" s="3" t="str">
        <f>IFERROR(__xludf.DUMMYFUNCTION("""COMPUTED_VALUE"""),"AN #41")</f>
        <v>AN #41</v>
      </c>
      <c r="I816" t="str">
        <f>IFERROR(__xludf.DUMMYFUNCTION("""COMPUTED_VALUE"""),"Rohin")</f>
        <v>Rohin</v>
      </c>
      <c r="J816" t="str">
        <f>IFERROR(__xludf.DUMMYFUNCTION("""COMPUTED_VALUE"""),"AlphaGo Zero works by starting with a randomly chosen policy and value network. Then, it repeatedly applies a ""policy improvement"" step: it runs MCTS using the policy and value networks to guide the search, which results in moves that are better than th"&amp;"e policy and value networks used alone, and then trains the policy and value networks on those moves. Iterated amplification is very similar: it starts with a base policy, and then repeatedly applies a ""policy improvement"" step that consists of first am"&amp;"plifying the policy and then distilling it. MCTS is analogous to amplification, and training on the resulting moves is analogous to distillation.
So, if a general method of building capable agents is to constantly apply ""policy improvement"" steps, the "&amp;"key challenge is to figure out a ""policy improvement"" operator that preserves alignment. (We could hopefully get an aligned weak initial agent by eg. imitating a human's cognitive procedure.) In iterated amplification, we are hoping that ""think longer"&amp;""" (as formalized by increasingly large bounded versions of [HCH](https://www.alignmentforum.org/posts/NXqs4nYXaq8q6dTTx/humans-consulting-hch) ([AN #34](https://mailchi.mp/f1947668b183/alignment-newsletter-34))) would be an alignment-preserving policy im"&amp;"provement operator.")</f>
        <v>AlphaGo Zero works by starting with a randomly chosen policy and value network. Then, it repeatedly applies a "policy improvement" step: it runs MCTS using the policy and value networks to guide the search, which results in moves that are better than the policy and value networks used alone, and then trains the policy and value networks on those moves. Iterated amplification is very similar: it starts with a base policy, and then repeatedly applies a "policy improvement" step that consists of first amplifying the policy and then distilling it. MCTS is analogous to amplification, and training on the resulting moves is analogous to distillation.
So, if a general method of building capable agents is to constantly apply "policy improvement" steps, the key challenge is to figure out a "policy improvement" operator that preserves alignment. (We could hopefully get an aligned weak initial agent by eg. imitating a human's cognitive procedure.) In iterated amplification, we are hoping that "think longer" (as formalized by increasingly large bounded versions of [HCH](https://www.alignmentforum.org/posts/NXqs4nYXaq8q6dTTx/humans-consulting-hch) ([AN #34](https://mailchi.mp/f1947668b183/alignment-newsletter-34))) would be an alignment-preserving policy improvement operator.</v>
      </c>
    </row>
    <row r="817">
      <c r="A817" t="str">
        <f>IFERROR(__xludf.DUMMYFUNCTION("""COMPUTED_VALUE"""),"Iterated amplification sequence")</f>
        <v>Iterated amplification sequence</v>
      </c>
      <c r="B817" t="str">
        <f>IFERROR(__xludf.DUMMYFUNCTION("""COMPUTED_VALUE"""),"")</f>
        <v/>
      </c>
      <c r="C817" s="3" t="str">
        <f>IFERROR(__xludf.DUMMYFUNCTION("""COMPUTED_VALUE"""),"Directions and desiderata for AI alignment")</f>
        <v>Directions and desiderata for AI alignment</v>
      </c>
      <c r="D817" t="str">
        <f>IFERROR(__xludf.DUMMYFUNCTION("""COMPUTED_VALUE"""),"Paul Christiano")</f>
        <v>Paul Christiano</v>
      </c>
      <c r="E817" t="str">
        <f>IFERROR(__xludf.DUMMYFUNCTION("""COMPUTED_VALUE"""),"Alignment Forum")</f>
        <v>Alignment Forum</v>
      </c>
      <c r="F817">
        <f>IFERROR(__xludf.DUMMYFUNCTION("""COMPUTED_VALUE"""),2017.0)</f>
        <v>2017</v>
      </c>
      <c r="H817" s="3" t="str">
        <f>IFERROR(__xludf.DUMMYFUNCTION("""COMPUTED_VALUE"""),"AN #41")</f>
        <v>AN #41</v>
      </c>
      <c r="I817" t="str">
        <f>IFERROR(__xludf.DUMMYFUNCTION("""COMPUTED_VALUE"""),"Rohin")</f>
        <v>Rohin</v>
      </c>
      <c r="J817" t="str">
        <f>IFERROR(__xludf.DUMMYFUNCTION("""COMPUTED_VALUE"""),"What further research needs to be done to get iterated amplification to work? There are three main areas: robustness, reward learning, and amplification.
With reliability and robustness, we want our AI systems to never fail catastrophically, whereas the "&amp;"simple setup of iterated amplification only optimizes performance in the average case. This is discussed more in [Techniques for Optimizing Worst-Case Performance](https://ai-alignment.com/techniques-for-optimizing-worst-case-performance-39eafec74b99), wh"&amp;"ich talks about adversarial training, interpretability, and verification.
Reward learning, as I understand it here, is the same thing as [narrow value learning](https://www.alignmentforum.org/posts/SvuLhtREMy8wRBzpC/ambitious-vs-narrow-value-learning), d"&amp;"escribed in this newsletter. We've talked a lot about the challenges of reward learning, so I'll leave that part out.
Finally, deliberation and amplification is about how to train an ML system to exceed human performance. At present, the only way we have"&amp;" of doing this is to use reinforcement learning to optimize some simple objective. However, given that ""human values"" is not a simple objective, we need to figure out another way that allows us to get superhuman performance on the tasks that we actually"&amp;" care about. You could do this with ambitious value learning, but not with narrow value learning. Alternatively, you could try to replicate human cognition and run it longer, either by using iterated amplification, or by using inverse reinforcement learni"&amp;"ng on cognition.
Then, the post goes on to talk about desiderata for any solution to AI alignment, proposing that the solution should be secure, competitive and scalable.
A secure AI system is one that works even when the environment is behaving adversa"&amp;"rially. This is not possible in full generality because of no-free-lunch theorems, but we could at least hope that our AI system is never actively ""trying"" to hurt us. This is desirable because it holds us to a relatively clear standard that we can eval"&amp;"uate currently, rather than trying to predict how the future will look (a notoriously hard task) and evaluating whether our AI system will work in that future. In addition, the typical iterative method of trying things out and seeing how they do may not w"&amp;"ork in the future, because technological progress may accelerate due to recursive improvement. If we instead focus on arguments and analysis that suggest that our AI systems are secure, we would not need the iterative method. Finally, there could in fact "&amp;"be adversaries (that themselves might be AI systems) that we need to deal with.
An AI system is competitive if it is almost as efficient and capable as the best possible AI system we could build at the same time (which may be unaligned). This is necessar"&amp;"y because without it it becomes very likely that someone will build the unaligned version for the efficiency gains; we would need global coordination to avoid this which seems quite difficult. In addition, it is relatively easy to tell when a system is co"&amp;"mpetitive, whereas if an AI system is uncompetitive, it is hard to tell how uncompetitive it is. Once again, with an uncompetitive AI system, we need to predict the future in order to tell whether or not it will be okay to rely on that system.
A scalable"&amp;" AI system is one that remains aligned as the underlying technologies become more and more powerful. Without scalability, we would need to predict how far a particular scheme will take us (which seems hard), and we need to continually invest in alignment "&amp;"research in order to ""keep up"" with improving capabilities, which might be particularly hard to do in the face of accelerating progress due to recursive improvement.
These are very demanding desiderata. However, while it may seem impossible to get a se"&amp;"cure, competitive, scalable solution to AI alignment, we don't know why yet, and impossibility claims are notoriously hard to get right. In any case, even if it is impossible, it would be worthwhile to clarify exactly why these desiderata are impossible t"&amp;"o meet, in order to figure out how to deal with the resulting problems.")</f>
        <v>What further research needs to be done to get iterated amplification to work? There are three main areas: robustness, reward learning, and amplification.
With reliability and robustness, we want our AI systems to never fail catastrophically, whereas the simple setup of iterated amplification only optimizes performance in the average case. This is discussed more in [Techniques for Optimizing Worst-Case Performance](https://ai-alignment.com/techniques-for-optimizing-worst-case-performance-39eafec74b99), which talks about adversarial training, interpretability, and verification.
Reward learning, as I understand it here, is the same thing as [narrow value learning](https://www.alignmentforum.org/posts/SvuLhtREMy8wRBzpC/ambitious-vs-narrow-value-learning), described in this newsletter. We've talked a lot about the challenges of reward learning, so I'll leave that part out.
Finally, deliberation and amplification is about how to train an ML system to exceed human performance. At present, the only way we have of doing this is to use reinforcement learning to optimize some simple objective. However, given that "human values" is not a simple objective, we need to figure out another way that allows us to get superhuman performance on the tasks that we actually care about. You could do this with ambitious value learning, but not with narrow value learning. Alternatively, you could try to replicate human cognition and run it longer, either by using iterated amplification, or by using inverse reinforcement learning on cognition.
Then, the post goes on to talk about desiderata for any solution to AI alignment, proposing that the solution should be secure, competitive and scalable.
A secure AI system is one that works even when the environment is behaving adversarially. This is not possible in full generality because of no-free-lunch theorems, but we could at least hope that our AI system is never actively "trying" to hurt us. This is desirable because it holds us to a relatively clear standard that we can evaluate currently, rather than trying to predict how the future will look (a notoriously hard task) and evaluating whether our AI system will work in that future. In addition, the typical iterative method of trying things out and seeing how they do may not work in the future, because technological progress may accelerate due to recursive improvement. If we instead focus on arguments and analysis that suggest that our AI systems are secure, we would not need the iterative method. Finally, there could in fact be adversaries (that themselves might be AI systems) that we need to deal with.
An AI system is competitive if it is almost as efficient and capable as the best possible AI system we could build at the same time (which may be unaligned). This is necessary because without it it becomes very likely that someone will build the unaligned version for the efficiency gains; we would need global coordination to avoid this which seems quite difficult. In addition, it is relatively easy to tell when a system is competitive, whereas if an AI system is uncompetitive, it is hard to tell how uncompetitive it is. Once again, with an uncompetitive AI system, we need to predict the future in order to tell whether or not it will be okay to rely on that system.
A scalable AI system is one that remains aligned as the underlying technologies become more and more powerful. Without scalability, we would need to predict how far a particular scheme will take us (which seems hard), and we need to continually invest in alignment research in order to "keep up" with improving capabilities, which might be particularly hard to do in the face of accelerating progress due to recursive improvement.
These are very demanding desiderata. However, while it may seem impossible to get a secure, competitive, scalable solution to AI alignment, we don't know why yet, and impossibility claims are notoriously hard to get right. In any case, even if it is impossible, it would be worthwhile to clarify exactly why these desiderata are impossible to meet, in order to figure out how to deal with the resulting problems.</v>
      </c>
      <c r="K817" t="str">
        <f>IFERROR(__xludf.DUMMYFUNCTION("""COMPUTED_VALUE"""),"The three directions of reliability/robustness, reward learning, and amplification seem great. Robustness seems particularly hard to achieve. While there is current work on adversarial training, interpretability and verification, even if all of the proble"&amp;"ms that researchers currently work on were magically solved, I don't have a story for how that leads to robustness of (say) an agent trained by iterated amplification. Normally, I'd also talk about how amplification seems to require some sort of universal"&amp;"ity assumption, but now I can just refer you to [ascription universality](https://www.alignmentforum.org/posts/M8WdeNWacMrmorNdd/towards-formalizing-universality) (described in this newsletter).
I am more conflicted about the desiderata. They seem very d"&amp;"ifficult to satisfy, and they don't seem strictly necessary to achieve good outcomes. The underlying view here is that we should aim for something that we know is _sufficient_ to achieve good outcomes, and only weaken our requirements if we find a fundame"&amp;"ntal obstacle. My main issue with this view is that even if it is true that the requirements are impossible to satisfy, it seems very hard to _know_ this, and so we may spend a lot of time trying to satisfy these requirements and most of that work ends up"&amp;" being useless. I can imagine that we try to figure out ways to achieve robustness for several years in order to get a secure AI system, and it turns out that this is impossible to do in a way where we know it is robust, but in practice any AI system that"&amp;" we train will be sufficiently robust that it never fails catastrophically. In this world, we keep trying to achieve robustness, never find a fundamental obstruction, but also never succeed at creating a secure AI system.
Another way of phrasing this is "&amp;"that I am pessimistic about the prospects of conceptual thinking, which seems to be the main way by which we could find a fundamental obstruction. (Theory and empirical experiments can build intuitions about what is and isn't hard, but given the complexit"&amp;"ies of the real world it seems unlikely that either would give us the sort of crystallized knowledge that Paul is aiming for.) Phrased this way, I put less credence in this opinion, because I think there are a few examples of conceptual thinking being ver"&amp;"y important, though not that many.")</f>
        <v>The three directions of reliability/robustness, reward learning, and amplification seem great. Robustness seems particularly hard to achieve. While there is current work on adversarial training, interpretability and verification, even if all of the problems that researchers currently work on were magically solved, I don't have a story for how that leads to robustness of (say) an agent trained by iterated amplification. Normally, I'd also talk about how amplification seems to require some sort of universality assumption, but now I can just refer you to [ascription universality](https://www.alignmentforum.org/posts/M8WdeNWacMrmorNdd/towards-formalizing-universality) (described in this newsletter).
I am more conflicted about the desiderata. They seem very difficult to satisfy, and they don't seem strictly necessary to achieve good outcomes. The underlying view here is that we should aim for something that we know is _sufficient_ to achieve good outcomes, and only weaken our requirements if we find a fundamental obstacle. My main issue with this view is that even if it is true that the requirements are impossible to satisfy, it seems very hard to _know_ this, and so we may spend a lot of time trying to satisfy these requirements and most of that work ends up being useless. I can imagine that we try to figure out ways to achieve robustness for several years in order to get a secure AI system, and it turns out that this is impossible to do in a way where we know it is robust, but in practice any AI system that we train will be sufficiently robust that it never fails catastrophically. In this world, we keep trying to achieve robustness, never find a fundamental obstruction, but also never succeed at creating a secure AI system.
Another way of phrasing this is that I am pessimistic about the prospects of conceptual thinking, which seems to be the main way by which we could find a fundamental obstruction. (Theory and empirical experiments can build intuitions about what is and isn't hard, but given the complexities of the real world it seems unlikely that either would give us the sort of crystallized knowledge that Paul is aiming for.) Phrased this way, I put less credence in this opinion, because I think there are a few examples of conceptual thinking being very important, though not that many.</v>
      </c>
    </row>
    <row r="818">
      <c r="A818" t="str">
        <f>IFERROR(__xludf.DUMMYFUNCTION("""COMPUTED_VALUE"""),"Iterated amplification sequence")</f>
        <v>Iterated amplification sequence</v>
      </c>
      <c r="B818" t="str">
        <f>IFERROR(__xludf.DUMMYFUNCTION("""COMPUTED_VALUE"""),"")</f>
        <v/>
      </c>
      <c r="C818" s="3" t="str">
        <f>IFERROR(__xludf.DUMMYFUNCTION("""COMPUTED_VALUE"""),"Supervising strong learners by amplifying weak experts")</f>
        <v>Supervising strong learners by amplifying weak experts</v>
      </c>
      <c r="D818" t="str">
        <f>IFERROR(__xludf.DUMMYFUNCTION("""COMPUTED_VALUE"""),"Paul Christiano")</f>
        <v>Paul Christiano</v>
      </c>
      <c r="E818" t="str">
        <f>IFERROR(__xludf.DUMMYFUNCTION("""COMPUTED_VALUE"""),"Alignment Forum")</f>
        <v>Alignment Forum</v>
      </c>
      <c r="F818">
        <f>IFERROR(__xludf.DUMMYFUNCTION("""COMPUTED_VALUE"""),2019.0)</f>
        <v>2019</v>
      </c>
      <c r="H818" s="3" t="str">
        <f>IFERROR(__xludf.DUMMYFUNCTION("""COMPUTED_VALUE"""),"AN #40")</f>
        <v>AN #40</v>
      </c>
      <c r="I818" t="str">
        <f>IFERROR(__xludf.DUMMYFUNCTION("""COMPUTED_VALUE"""),"Rohin")</f>
        <v>Rohin</v>
      </c>
      <c r="J818" t="str">
        <f>IFERROR(__xludf.DUMMYFUNCTION("""COMPUTED_VALUE"""),"This was previously covered in [AN #30](https://mailchi.mp/c1f376f3a12e/alignment-newsletter-30), I've copied the summary and opinion. This paper introduces iterated amplification, focusing on how it can be used to define a training signal for tasks that "&amp;"humans cannot perform or evaluate, such as designing a transit system. The key insight is that humans are capable of decomposing even very difficult tasks into slightly simpler tasks. So, in theory, we could provide ground truth labels for an arbitrarily "&amp;"difficult task by a huge tree of humans, each decomposing their own subquestion and handing off new subquestions to other humans, until questions are easy enough that a human can directly answer them.
We can turn this into an efficient algorithm by havin"&amp;"g the human decompose the question only once, and using the current AI system to answer the generated subquestions. If the AI isn't able to answer the subquestions, then the human will get nonsense answers. However, as long as there are questions that the"&amp;" human + AI system can answer but the AI alone cannot answer, the AI can learn from the answers to those questions. To reduce the reliance on human data, another model is trained to predict the decomposition that the human performs. In addition, some task"&amp;"s could refer to a large context (eg. evaluating safety for a specific rocket design), so they model the human as being able to access small pieces of the context at a time.
They evaluate on simple algorithmic tasks like distance between nodes in a graph"&amp;", where they can program an automated human decomposition for faster experiments, and there is a ground truth solution. They compare against supervised learning, which trains a model on the ground truth answers to questions (which iterated amplification d"&amp;"oes not have access to), and find that they can match the performance of supervised learning with only slightly more training steps.")</f>
        <v>This was previously covered in [AN #30](https://mailchi.mp/c1f376f3a12e/alignment-newsletter-30), I've copied the summary and opinion. This paper introduces iterated amplification, focusing on how it can be used to define a training signal for tasks that humans cannot perform or evaluate, such as designing a transit system. The key insight is that humans are capable of decomposing even very difficult tasks into slightly simpler tasks. So, in theory, we could provide ground truth labels for an arbitrarily difficult task by a huge tree of humans, each decomposing their own subquestion and handing off new subquestions to other humans, until questions are easy enough that a human can directly answer them.
We can turn this into an efficient algorithm by having the human decompose the question only once, and using the current AI system to answer the generated subquestions. If the AI isn't able to answer the subquestions, then the human will get nonsense answers. However, as long as there are questions that the human + AI system can answer but the AI alone cannot answer, the AI can learn from the answers to those questions. To reduce the reliance on human data, another model is trained to predict the decomposition that the human performs. In addition, some tasks could refer to a large context (eg. evaluating safety for a specific rocket design), so they model the human as being able to access small pieces of the context at a time.
They evaluate on simple algorithmic tasks like distance between nodes in a graph, where they can program an automated human decomposition for faster experiments, and there is a ground truth solution. They compare against supervised learning, which trains a model on the ground truth answers to questions (which iterated amplification does not have access to), and find that they can match the performance of supervised learning with only slightly more training steps.</v>
      </c>
      <c r="K818" t="str">
        <f>IFERROR(__xludf.DUMMYFUNCTION("""COMPUTED_VALUE"""),"This is my new favorite post/paper for explaining how iterated amplification works, since it very succinctly and clearly makes the case for iterated amplification as a strategy for generating a good training signal. I'd recommend reading the [paper](https"&amp;"://arxiv.org/abs/1810.08575) in full, as it makes other important points that I haven't included in the summary.
Note that it does not explain a lot of Paul's thinking. It explains one particular training method that allows you to train an AI system with"&amp;" a more intelligent and informed overseer.")</f>
        <v>This is my new favorite post/paper for explaining how iterated amplification works, since it very succinctly and clearly makes the case for iterated amplification as a strategy for generating a good training signal. I'd recommend reading the [paper](https://arxiv.org/abs/1810.08575) in full, as it makes other important points that I haven't included in the summary.
Note that it does not explain a lot of Paul's thinking. It explains one particular training method that allows you to train an AI system with a more intelligent and informed overseer.</v>
      </c>
    </row>
    <row r="819">
      <c r="A819" t="str">
        <f>IFERROR(__xludf.DUMMYFUNCTION("""COMPUTED_VALUE"""),"Iterated amplification sequence")</f>
        <v>Iterated amplification sequence</v>
      </c>
      <c r="B819" t="str">
        <f>IFERROR(__xludf.DUMMYFUNCTION("""COMPUTED_VALUE"""),"")</f>
        <v/>
      </c>
      <c r="C819" s="3" t="str">
        <f>IFERROR(__xludf.DUMMYFUNCTION("""COMPUTED_VALUE"""),"Factored Cognition")</f>
        <v>Factored Cognition</v>
      </c>
      <c r="D819" t="str">
        <f>IFERROR(__xludf.DUMMYFUNCTION("""COMPUTED_VALUE"""),"Andreas Stuhlmüller")</f>
        <v>Andreas Stuhlmüller</v>
      </c>
      <c r="E819" t="str">
        <f>IFERROR(__xludf.DUMMYFUNCTION("""COMPUTED_VALUE"""),"Alignment Forum")</f>
        <v>Alignment Forum</v>
      </c>
      <c r="F819">
        <f>IFERROR(__xludf.DUMMYFUNCTION("""COMPUTED_VALUE"""),2018.0)</f>
        <v>2018</v>
      </c>
      <c r="H819" s="3" t="str">
        <f>IFERROR(__xludf.DUMMYFUNCTION("""COMPUTED_VALUE"""),"AN #36")</f>
        <v>AN #36</v>
      </c>
      <c r="I819" t="str">
        <f>IFERROR(__xludf.DUMMYFUNCTION("""COMPUTED_VALUE"""),"Rohin")</f>
        <v>Rohin</v>
      </c>
      <c r="J819" t="str">
        <f>IFERROR(__xludf.DUMMYFUNCTION("""COMPUTED_VALUE"""),"This was previously summarized in [AN #12](https://mailchi.mp/bcb2c6f1d507/alignment-newsletter-12). While this post describes a project from Ought, it explains many of the ideas behind iterated amplification (which is why it is in this sequence). There a"&amp;"re two important and distinct topics addressed in this post: first, whether it is possible in principle to achieve good performance on tasks when you must use _explicit reasoning_, and second, how to use explicit reasoning to train an aligned AI system vi"&amp;"a iterated amplification.
Currently, most AI research is supervised based on _behavior_: we specify a domain and data or reward functions that identify good behavior, and hope that the AI develops a good decision-making system during training. We don't p"&amp;"rovide training data for decision-making itself. In contrast, Factored Cognition aims to make the decision-making algorithm itself explicit, in a form that could be used to train an AI system, which we might call internal supervision. Note that this is _n"&amp;"ot_ a required feature of iterated amplification, which can work with external (i.e. behavioral) supervision, as in [recursive reward modeling](https://medium.com/@deepmindsafetyresearch/scalable-agent-alignment-via-reward-modeling-bf4ab06dfd84) ([AN #34]"&amp;"(https://mailchi.mp/f1947668b183/alignment-newsletter-34)). However, we might want to use internal supervision because then we get to control the decision-making process itself, and that is what determines whether the AI system is aligned or not.
Researc"&amp;"h currently does not use internal supervision because it requires training data on _how_ to solve the problem, whereas a reward function only needs to tell _whether_ the problem is solved. However, for sufficiently general AI systems, we could provide tra"&amp;"ining data on general problem-solving, which could then be applied to many tasks. This could be competitive with the alternative of providing training data or reward functions for each task separately.
How might we make general problem-solving explicit e"&amp;"nough that we could train AI systems to replicate it? Factored Cognition hypothesizes that we could do this by providing _decompositions_ of tasks into simpler subtasks. While this is not how humans solve tasks (for example, expert Go players use a lot of"&amp;" intuition), it seems plausible that we could get similar or better performance using decomposition as long as we were willing to wait a long time (for example, by implementing minimax using decomposition to solve Go). Ought wants to test this hypothesis,"&amp;" by studying whether humans are in fact capable of providing decompositions in challenging problem domains, such as math and programming puzzles, textbook problems, fact-checking, interactive dialog, and task prioritization. (There will likely be no ML he"&amp;"re, just humans decomposing problems for other humans to then solve.)
The post makes this concrete by considering a particular way in which humans might provide decompositions. They develop a ""cognitive workspace"" where a human can take ""actions"" suc"&amp;"h as editing the text in the workspace, each of which can only involve a small amount of cognitive work. There are a lot of details that I won't get into, but broadly it seems to me like what you would get if you tried to create a functional programming l"&amp;"anguage where the primitive forms are things that a human can do. Note that the examples in the post use task-specific decompositions for clarity but in the long term we would need general decomposition strategies.
We could train an AI system to mimic th"&amp;"is explicit reasoning. It seems like this would achieve human performance but no more, since after all we are imitating human decision-making algorithms. However, now we can use the iterated amplification trick. If a human got to use explicit reasoning ov"&amp;"er a long time, we would expect significantly better decisions. So, we can first distill an agent A that mimics a human using explicit reasoning over a short time period, then amplify it to get H[A], where a human performs a decomposition into subquestion"&amp;"s that are answered by A, then distill that into A', etc. The post has a nice visualization of how this allows you to mimic an implicit exponentially large tree of decompositions in polynomial time. As before, distillation could be done using imitation le"&amp;"arning, or RL with some good inferred reward.")</f>
        <v>This was previously summarized in [AN #12](https://mailchi.mp/bcb2c6f1d507/alignment-newsletter-12). While this post describes a project from Ought, it explains many of the ideas behind iterated amplification (which is why it is in this sequence). There are two important and distinct topics addressed in this post: first, whether it is possible in principle to achieve good performance on tasks when you must use _explicit reasoning_, and second, how to use explicit reasoning to train an aligned AI system via iterated amplification.
Currently, most AI research is supervised based on _behavior_: we specify a domain and data or reward functions that identify good behavior, and hope that the AI develops a good decision-making system during training. We don't provide training data for decision-making itself. In contrast, Factored Cognition aims to make the decision-making algorithm itself explicit, in a form that could be used to train an AI system, which we might call internal supervision. Note that this is _not_ a required feature of iterated amplification, which can work with external (i.e. behavioral) supervision, as in [recursive reward modeling](https://medium.com/@deepmindsafetyresearch/scalable-agent-alignment-via-reward-modeling-bf4ab06dfd84) ([AN #34](https://mailchi.mp/f1947668b183/alignment-newsletter-34)). However, we might want to use internal supervision because then we get to control the decision-making process itself, and that is what determines whether the AI system is aligned or not.
Research currently does not use internal supervision because it requires training data on _how_ to solve the problem, whereas a reward function only needs to tell _whether_ the problem is solved. However, for sufficiently general AI systems, we could provide training data on general problem-solving, which could then be applied to many tasks. This could be competitive with the alternative of providing training data or reward functions for each task separately.
How might we make general problem-solving explicit enough that we could train AI systems to replicate it? Factored Cognition hypothesizes that we could do this by providing _decompositions_ of tasks into simpler subtasks. While this is not how humans solve tasks (for example, expert Go players use a lot of intuition), it seems plausible that we could get similar or better performance using decomposition as long as we were willing to wait a long time (for example, by implementing minimax using decomposition to solve Go). Ought wants to test this hypothesis, by studying whether humans are in fact capable of providing decompositions in challenging problem domains, such as math and programming puzzles, textbook problems, fact-checking, interactive dialog, and task prioritization. (There will likely be no ML here, just humans decomposing problems for other humans to then solve.)
The post makes this concrete by considering a particular way in which humans might provide decompositions. They develop a "cognitive workspace" where a human can take "actions" such as editing the text in the workspace, each of which can only involve a small amount of cognitive work. There are a lot of details that I won't get into, but broadly it seems to me like what you would get if you tried to create a functional programming language where the primitive forms are things that a human can do. Note that the examples in the post use task-specific decompositions for clarity but in the long term we would need general decomposition strategies.
We could train an AI system to mimic this explicit reasoning. It seems like this would achieve human performance but no more, since after all we are imitating human decision-making algorithms. However, now we can use the iterated amplification trick. If a human got to use explicit reasoning over a long time, we would expect significantly better decisions. So, we can first distill an agent A that mimics a human using explicit reasoning over a short time period, then amplify it to get H[A], where a human performs a decomposition into subquestions that are answered by A, then distill that into A', etc. The post has a nice visualization of how this allows you to mimic an implicit exponentially large tree of decompositions in polynomial time. As before, distillation could be done using imitation learning, or RL with some good inferred reward.</v>
      </c>
      <c r="K819" t="str">
        <f>IFERROR(__xludf.DUMMYFUNCTION("""COMPUTED_VALUE"""),"It seems a lot easier to generalize well to novel situations if you've learned the right decision-making algorithms. Since it's way easier to learn something if you have direct supervision of it, internal supervision seems particularly interesting as a me"&amp;"thod of generalizing well. For example, in [Making Neural Programming Architectures Generalize via Recursion](https://arxiv.org/abs/1704.06611), the learned programs generalize perfectly, because they learn from execution traces, which show _how_ to solve"&amp;" a task, and the learned algorithm is forced to use a recursive structure. (Typical approaches to neural program induction only use input-output examples, and often fail to generalize to inputs longer than those seen during training.)
I also like the poi"&amp;"nt that iterated amplification allows you to mimic an implicit exponential-time computation. This is a key reason for my optimism: it seems like well-honed human intuition beats short explicit reasoning almost always. In fact, I think it is reasonable to "&amp;"view human intuition as the result of iterated amplification (see [these](https://www.lesswrong.com/posts/XHMCvvhb7zTZcQAgA/argument-intuition-and-recursion) [posts](https://terrytao.wordpress.com/career-advice/theres-more-to-mathematics-than-rigour-and-p"&amp;"roofs/)).")</f>
        <v>It seems a lot easier to generalize well to novel situations if you've learned the right decision-making algorithms. Since it's way easier to learn something if you have direct supervision of it, internal supervision seems particularly interesting as a method of generalizing well. For example, in [Making Neural Programming Architectures Generalize via Recursion](https://arxiv.org/abs/1704.06611), the learned programs generalize perfectly, because they learn from execution traces, which show _how_ to solve a task, and the learned algorithm is forced to use a recursive structure. (Typical approaches to neural program induction only use input-output examples, and often fail to generalize to inputs longer than those seen during training.)
I also like the point that iterated amplification allows you to mimic an implicit exponential-time computation. This is a key reason for my optimism: it seems like well-honed human intuition beats short explicit reasoning almost always. In fact, I think it is reasonable to view human intuition as the result of iterated amplification (see [these](https://www.lesswrong.com/posts/XHMCvvhb7zTZcQAgA/argument-intuition-and-recursion) [posts](https://terrytao.wordpress.com/career-advice/theres-more-to-mathematics-than-rigour-and-proofs/)).</v>
      </c>
    </row>
    <row r="820">
      <c r="A820" t="str">
        <f>IFERROR(__xludf.DUMMYFUNCTION("""COMPUTED_VALUE"""),"Iterated amplification sequence")</f>
        <v>Iterated amplification sequence</v>
      </c>
      <c r="B820" t="str">
        <f>IFERROR(__xludf.DUMMYFUNCTION("""COMPUTED_VALUE"""),"")</f>
        <v/>
      </c>
      <c r="C820" s="3" t="str">
        <f>IFERROR(__xludf.DUMMYFUNCTION("""COMPUTED_VALUE"""),"Benign model-free RL")</f>
        <v>Benign model-free RL</v>
      </c>
      <c r="D820" t="str">
        <f>IFERROR(__xludf.DUMMYFUNCTION("""COMPUTED_VALUE"""),"Paul Christiano")</f>
        <v>Paul Christiano</v>
      </c>
      <c r="E820" t="str">
        <f>IFERROR(__xludf.DUMMYFUNCTION("""COMPUTED_VALUE"""),"Alignment Forum")</f>
        <v>Alignment Forum</v>
      </c>
      <c r="F820">
        <f>IFERROR(__xludf.DUMMYFUNCTION("""COMPUTED_VALUE"""),2018.0)</f>
        <v>2018</v>
      </c>
      <c r="H820" s="3" t="str">
        <f>IFERROR(__xludf.DUMMYFUNCTION("""COMPUTED_VALUE"""),"AN #35")</f>
        <v>AN #35</v>
      </c>
      <c r="I820" t="str">
        <f>IFERROR(__xludf.DUMMYFUNCTION("""COMPUTED_VALUE"""),"Rohin")</f>
        <v>Rohin</v>
      </c>
      <c r="J820" t="str">
        <f>IFERROR(__xludf.DUMMYFUNCTION("""COMPUTED_VALUE"""),"This post is very similar to the previous one, just with different language: distillation is now implemented through reward modeling with robustness. The point of robustness is to ensure that the distilled agent is benign even outside of the training dist"&amp;"ribution (though it can be incompetent). There's also an analysis of the costs of the scheme. One important note is that this approach only works for model-free RL systems -- we'll need something else for eg. model-based RL, if it enables capabilities tha"&amp;"t we can't get with model-free RL.")</f>
        <v>This post is very similar to the previous one, just with different language: distillation is now implemented through reward modeling with robustness. The point of robustness is to ensure that the distilled agent is benign even outside of the training distribution (though it can be incompetent). There's also an analysis of the costs of the scheme. One important note is that this approach only works for model-free RL systems -- we'll need something else for eg. model-based RL, if it enables capabilities that we can't get with model-free RL.</v>
      </c>
    </row>
    <row r="821">
      <c r="A821" t="str">
        <f>IFERROR(__xludf.DUMMYFUNCTION("""COMPUTED_VALUE"""),"Iterated amplification sequence")</f>
        <v>Iterated amplification sequence</v>
      </c>
      <c r="B821" t="str">
        <f>IFERROR(__xludf.DUMMYFUNCTION("""COMPUTED_VALUE"""),"")</f>
        <v/>
      </c>
      <c r="C821" s="3" t="str">
        <f>IFERROR(__xludf.DUMMYFUNCTION("""COMPUTED_VALUE"""),"Corrigibility")</f>
        <v>Corrigibility</v>
      </c>
      <c r="D821" t="str">
        <f>IFERROR(__xludf.DUMMYFUNCTION("""COMPUTED_VALUE"""),"Paul Christiano")</f>
        <v>Paul Christiano</v>
      </c>
      <c r="E821" t="str">
        <f>IFERROR(__xludf.DUMMYFUNCTION("""COMPUTED_VALUE"""),"Alignment Forum")</f>
        <v>Alignment Forum</v>
      </c>
      <c r="F821">
        <f>IFERROR(__xludf.DUMMYFUNCTION("""COMPUTED_VALUE"""),2018.0)</f>
        <v>2018</v>
      </c>
      <c r="H821" s="3" t="str">
        <f>IFERROR(__xludf.DUMMYFUNCTION("""COMPUTED_VALUE"""),"AN #35")</f>
        <v>AN #35</v>
      </c>
      <c r="I821" t="str">
        <f>IFERROR(__xludf.DUMMYFUNCTION("""COMPUTED_VALUE"""),"Rohin")</f>
        <v>Rohin</v>
      </c>
      <c r="J821" t="str">
        <f>IFERROR(__xludf.DUMMYFUNCTION("""COMPUTED_VALUE"""),"A corrigible agent is one which helps its operator, even with tasks that would change the agent itself, such as correcting mistakes in AI design. Consider a good act-based agent, which chooses actions according to our preferences over that action. Since w"&amp;"e have a short-term preference for corrigibility, the act-based agent should be corrigible. For example, if we are trying to turn off the agent, the agent will turn off because that's what we would prefer -- it is easy to infer that the overseer would not"&amp;" prefer that agents stop the overseer from shutting them down. Typically we only believe that the agent would stop us from shutting it down if it makes _long-term plans_, in which case being operational is instrumentally useful, but with act-based agents "&amp;"the agent only optimizes for its overseer's short term preferences. One potential objection is that the notion of corrigibility is not easy to learn, but it seems not that hard to answer the question ""Is the operator being misled"", and in any case we ca"&amp;"n try this with simple systems, and the results should _improve_ with more capable systems, since as you get smarter you are more capable of predicting the overseer.
In addition, even if an agent has a slightly wrong notion of the overseer's values, it s"&amp;"eems like it will _improve_ over time. It is not hard to infer that the overseer wants the agent to make its approximation of the overseer's values more accurate. So, as long as the agent has enough of the overseer's preferences to be corrigible, it will "&amp;"try to learn about the preferences it is wrong about and will become more and more aligned over time. In addition, any slight value drifts caused by eg. amplification will tend to be fixed over time, at least on average.")</f>
        <v>A corrigible agent is one which helps its operator, even with tasks that would change the agent itself, such as correcting mistakes in AI design. Consider a good act-based agent, which chooses actions according to our preferences over that action. Since we have a short-term preference for corrigibility, the act-based agent should be corrigible. For example, if we are trying to turn off the agent, the agent will turn off because that's what we would prefer -- it is easy to infer that the overseer would not prefer that agents stop the overseer from shutting them down. Typically we only believe that the agent would stop us from shutting it down if it makes _long-term plans_, in which case being operational is instrumentally useful, but with act-based agents the agent only optimizes for its overseer's short term preferences. One potential objection is that the notion of corrigibility is not easy to learn, but it seems not that hard to answer the question "Is the operator being misled", and in any case we can try this with simple systems, and the results should _improve_ with more capable systems, since as you get smarter you are more capable of predicting the overseer.
In addition, even if an agent has a slightly wrong notion of the overseer's values, it seems like it will _improve_ over time. It is not hard to infer that the overseer wants the agent to make its approximation of the overseer's values more accurate. So, as long as the agent has enough of the overseer's preferences to be corrigible, it will try to learn about the preferences it is wrong about and will become more and more aligned over time. In addition, any slight value drifts caused by eg. amplification will tend to be fixed over time, at least on average.</v>
      </c>
      <c r="K821" t="str">
        <f>IFERROR(__xludf.DUMMYFUNCTION("""COMPUTED_VALUE"""),"I really like this formulation of corrigibility, which I find quite different from [MIRI's paper](https://intelligence.org/2014/10/18/new-report-corrigibility/). This seems a lot more in line with the kind of reasoning that I want from an AI system, and i"&amp;"t seems like iterated amplification or something like it could plausibly succeed at achieving this sort of corrigible behavior.")</f>
        <v>I really like this formulation of corrigibility, which I find quite different from [MIRI's paper](https://intelligence.org/2014/10/18/new-report-corrigibility/). This seems a lot more in line with the kind of reasoning that I want from an AI system, and it seems like iterated amplification or something like it could plausibly succeed at achieving this sort of corrigible behavior.</v>
      </c>
    </row>
    <row r="822">
      <c r="A822" t="str">
        <f>IFERROR(__xludf.DUMMYFUNCTION("""COMPUTED_VALUE"""),"Iterated amplification sequence")</f>
        <v>Iterated amplification sequence</v>
      </c>
      <c r="B822" t="str">
        <f>IFERROR(__xludf.DUMMYFUNCTION("""COMPUTED_VALUE"""),"")</f>
        <v/>
      </c>
      <c r="C822" s="3" t="str">
        <f>IFERROR(__xludf.DUMMYFUNCTION("""COMPUTED_VALUE"""),"Iterated Distillation and Amplification")</f>
        <v>Iterated Distillation and Amplification</v>
      </c>
      <c r="D822" t="str">
        <f>IFERROR(__xludf.DUMMYFUNCTION("""COMPUTED_VALUE"""),"Ajeya Cotra")</f>
        <v>Ajeya Cotra</v>
      </c>
      <c r="E822" t="str">
        <f>IFERROR(__xludf.DUMMYFUNCTION("""COMPUTED_VALUE"""),"Alignment Forum")</f>
        <v>Alignment Forum</v>
      </c>
      <c r="F822">
        <f>IFERROR(__xludf.DUMMYFUNCTION("""COMPUTED_VALUE"""),2018.0)</f>
        <v>2018</v>
      </c>
      <c r="H822" s="3" t="str">
        <f>IFERROR(__xludf.DUMMYFUNCTION("""COMPUTED_VALUE"""),"AN #35")</f>
        <v>AN #35</v>
      </c>
      <c r="I822" t="str">
        <f>IFERROR(__xludf.DUMMYFUNCTION("""COMPUTED_VALUE"""),"Rohin")</f>
        <v>Rohin</v>
      </c>
      <c r="J822" t="str">
        <f>IFERROR(__xludf.DUMMYFUNCTION("""COMPUTED_VALUE"""),"This is the first in a series of four posts describing the iterated amplification framework in different ways. This post focuses on the repetition of two steps. In amplification, we take a fast aligned agent and turn it into a slow but more capable aligne"&amp;"d agent, by allowing a human to coordinate many copies of the fast agent in order to make better decisions. In distillation, we take a slow aligned agent and turn it a fast aligned agent (perhaps by training a neural net to imitate the judgments of the sl"&amp;"ow agent). This is similar to AlphaGoZero, in which MCTS can be thought of as amplification, while distillation consists of updating the neural net to predict the outputs of the MCTS.
This allows us to get both alignment and powerful capabilities, wherea"&amp;"s usually the two trade off against each other. High capabilities implies a sufficiently broad mandate to search for good behaviors, allowing our AI systems to find novel behaviors that we never would have thought of, which could be bad if the objective w"&amp;"as slightly wrong. On the other hand, high alignment typically requires staying within the realm of human behavior, as in imitation learning, which prevents the AI from finding novel solutions.
In addition to distillation and amplification robustly prese"&amp;"rving alignment, we also need to ensure that given a human as a starting point, iterated distillation and amplification can scale to arbitrary capabilities. We would also want it be about as cost-efficient as alternatives. This seems to be true at test ti"&amp;"me, when we are simply executing a learned model, but it could be that training is much more expensive.")</f>
        <v>This is the first in a series of four posts describing the iterated amplification framework in different ways. This post focuses on the repetition of two steps. In amplification, we take a fast aligned agent and turn it into a slow but more capable aligned agent, by allowing a human to coordinate many copies of the fast agent in order to make better decisions. In distillation, we take a slow aligned agent and turn it a fast aligned agent (perhaps by training a neural net to imitate the judgments of the slow agent). This is similar to AlphaGoZero, in which MCTS can be thought of as amplification, while distillation consists of updating the neural net to predict the outputs of the MCTS.
This allows us to get both alignment and powerful capabilities, whereas usually the two trade off against each other. High capabilities implies a sufficiently broad mandate to search for good behaviors, allowing our AI systems to find novel behaviors that we never would have thought of, which could be bad if the objective was slightly wrong. On the other hand, high alignment typically requires staying within the realm of human behavior, as in imitation learning, which prevents the AI from finding novel solutions.
In addition to distillation and amplification robustly preserving alignment, we also need to ensure that given a human as a starting point, iterated distillation and amplification can scale to arbitrary capabilities. We would also want it be about as cost-efficient as alternatives. This seems to be true at test time, when we are simply executing a learned model, but it could be that training is much more expensive.</v>
      </c>
      <c r="K822" t="str">
        <f>IFERROR(__xludf.DUMMYFUNCTION("""COMPUTED_VALUE"""),"This is a great simple explanation of the scheme. I don't have much to say about the idea since I've talked about iterated amplification so much in this newsletter already.")</f>
        <v>This is a great simple explanation of the scheme. I don't have much to say about the idea since I've talked about iterated amplification so much in this newsletter already.</v>
      </c>
    </row>
    <row r="823">
      <c r="A823" t="str">
        <f>IFERROR(__xludf.DUMMYFUNCTION("""COMPUTED_VALUE"""),"Iterated amplification sequence")</f>
        <v>Iterated amplification sequence</v>
      </c>
      <c r="B823" t="str">
        <f>IFERROR(__xludf.DUMMYFUNCTION("""COMPUTED_VALUE"""),"")</f>
        <v/>
      </c>
      <c r="C823" t="str">
        <f>IFERROR(__xludf.DUMMYFUNCTION("""COMPUTED_VALUE"""),"[Approval-directed agents: overview](https://www.alignmentforum.org/posts/7Hr8t6xwuuxBTqADK/approval-directed-agents-overview) and [Approval-directed agents: details](https://www.alignmentforum.org/posts/njRjnmaBnZquqPfBa/approval-directed-agents-details)")</f>
        <v>[Approval-directed agents: overview](https://www.alignmentforum.org/posts/7Hr8t6xwuuxBTqADK/approval-directed-agents-overview) and [Approval-directed agents: details](https://www.alignmentforum.org/posts/njRjnmaBnZquqPfBa/approval-directed-agents-details)</v>
      </c>
      <c r="D823" t="str">
        <f>IFERROR(__xludf.DUMMYFUNCTION("""COMPUTED_VALUE"""),"Paul Christiano")</f>
        <v>Paul Christiano</v>
      </c>
      <c r="E823" t="str">
        <f>IFERROR(__xludf.DUMMYFUNCTION("""COMPUTED_VALUE"""),"Alignment Forum")</f>
        <v>Alignment Forum</v>
      </c>
      <c r="F823">
        <f>IFERROR(__xludf.DUMMYFUNCTION("""COMPUTED_VALUE"""),2018.0)</f>
        <v>2018</v>
      </c>
      <c r="H823" s="3" t="str">
        <f>IFERROR(__xludf.DUMMYFUNCTION("""COMPUTED_VALUE"""),"AN #34")</f>
        <v>AN #34</v>
      </c>
      <c r="I823" t="str">
        <f>IFERROR(__xludf.DUMMYFUNCTION("""COMPUTED_VALUE"""),"Rohin")</f>
        <v>Rohin</v>
      </c>
      <c r="J823" t="str">
        <f>IFERROR(__xludf.DUMMYFUNCTION("""COMPUTED_VALUE"""),"These two posts introduce the idea of approval-directed agents, which are agents that choose actions that they believe their operator Hugh the human would most approve of, if he reflected on it for a long time. This is in contrast to the traditional appro"&amp;"ach of goal-directed behavior, which are defined by the _outcomes_ of the action.
Since the agent Arthur is no longer reasoning about how to achieve outcomes, it can no longer outperform Hugh at any given task. (If you take the move in chess that Hugh mo"&amp;"st approves of, you probably still lose to Gary Kasparov.) This is still better than Hugh performing every action himself, because Hugh can provide an expensive learning signal which is then distilled into a fast policy that Arthur executes. For example, "&amp;"Hugh could deliberate for a long time whenever he is asked to evaluate an action, or he could evaluate very low-level decisions that Arthur makes billions of times. We can also still achieve superhuman performance by bootstrapping (see the next summary).
"&amp;"
The main advantage of approval-directed agents is that we avoid locking in a particular goal, decision theory, prior, etc. Arthur should be able to change any of these, as long as Hugh approves it. In essence, approval-direction allows us to delegate the"&amp;"se hard decisions to future overseers, who will be more informed and better able to make these decisions. In addition, any misspecifications seem to cause graceful failures -- you end up with a system that is not very good at doing what Hugh wants, rather"&amp;" than one that works at cross purposes to him.
We might worry that _internally_ Arthur still uses goal-directed behavior in order to choose actions, and this internal goal-directed part of Arthur might become unaligned. However, we could even have intern"&amp;"al decision-making about cognition be approval-based. Of course, eventually we reach a point where decisions are simply made -- Arthur doesn't ""choose"" to execute the next line of code. These sorts of things can be thought of as heuristics that have led"&amp;" to choosing good actions in the past, that could be changed if necessary (eg. by rewriting the code).
How might we write code that defines approval? If our agents can understand natural language, we could try defining ""approval"" in natural language. I"&amp;"f they are able to reason about formally specified models, then we could try to define a process of deliberation with a simulated human. Even in the case where Arthur learns from examples, if we train Arthur to predict approval from observations and take "&amp;"the action with the highest approval, it seems possible that Arthur would not manipulate approval judgments (unlike AIXI).
There are also important details on how Hugh should rate -- in particular, we have to be careful to distinguish between Hugh's beli"&amp;"efs/information and Arthur's. For example, if Arthur thinks there's a 1% chance of a bridge collapsing if we drive over it, then Arthur shouldn't drive over it. However, if Hugh always assigns approval 1 to the optimal action and approval 0 to all other a"&amp;"ctions, and Arthur believes that Hugh knows whether the bridge will collapse, then the maximum expected approval action is to drive over the bridge.
The main issues with approval-directed agents is that it's not clear how to define them (especially from "&amp;"examples), whether they can be as useful as goal-directed agents, and whether approval-directed agents will have internal goal-seeking behavior that brings with it all of the problems that approval was meant to solve. It may also be a problem if some othe"&amp;"r Hugh-level intelligence gets control of the data that defines approval.")</f>
        <v>These two posts introduce the idea of approval-directed agents, which are agents that choose actions that they believe their operator Hugh the human would most approve of, if he reflected on it for a long time. This is in contrast to the traditional approach of goal-directed behavior, which are defined by the _outcomes_ of the action.
Since the agent Arthur is no longer reasoning about how to achieve outcomes, it can no longer outperform Hugh at any given task. (If you take the move in chess that Hugh most approves of, you probably still lose to Gary Kasparov.) This is still better than Hugh performing every action himself, because Hugh can provide an expensive learning signal which is then distilled into a fast policy that Arthur executes. For example, Hugh could deliberate for a long time whenever he is asked to evaluate an action, or he could evaluate very low-level decisions that Arthur makes billions of times. We can also still achieve superhuman performance by bootstrapping (see the next summary).
The main advantage of approval-directed agents is that we avoid locking in a particular goal, decision theory, prior, etc. Arthur should be able to change any of these, as long as Hugh approves it. In essence, approval-direction allows us to delegate these hard decisions to future overseers, who will be more informed and better able to make these decisions. In addition, any misspecifications seem to cause graceful failures -- you end up with a system that is not very good at doing what Hugh wants, rather than one that works at cross purposes to him.
We might worry that _internally_ Arthur still uses goal-directed behavior in order to choose actions, and this internal goal-directed part of Arthur might become unaligned. However, we could even have internal decision-making about cognition be approval-based. Of course, eventually we reach a point where decisions are simply made -- Arthur doesn't "choose" to execute the next line of code. These sorts of things can be thought of as heuristics that have led to choosing good actions in the past, that could be changed if necessary (eg. by rewriting the code).
How might we write code that defines approval? If our agents can understand natural language, we could try defining "approval" in natural language. If they are able to reason about formally specified models, then we could try to define a process of deliberation with a simulated human. Even in the case where Arthur learns from examples, if we train Arthur to predict approval from observations and take the action with the highest approval, it seems possible that Arthur would not manipulate approval judgments (unlike AIXI).
There are also important details on how Hugh should rate -- in particular, we have to be careful to distinguish between Hugh's beliefs/information and Arthur's. For example, if Arthur thinks there's a 1% chance of a bridge collapsing if we drive over it, then Arthur shouldn't drive over it. However, if Hugh always assigns approval 1 to the optimal action and approval 0 to all other actions, and Arthur believes that Hugh knows whether the bridge will collapse, then the maximum expected approval action is to drive over the bridge.
The main issues with approval-directed agents is that it's not clear how to define them (especially from examples), whether they can be as useful as goal-directed agents, and whether approval-directed agents will have internal goal-seeking behavior that brings with it all of the problems that approval was meant to solve. It may also be a problem if some other Hugh-level intelligence gets control of the data that defines approval.</v>
      </c>
      <c r="K823" t="str">
        <f>IFERROR(__xludf.DUMMYFUNCTION("""COMPUTED_VALUE"""),"Goal-directed behavior requires an extremely intelligent overseer in order to ensure that the agent is pointed at the correct goal (as opposed to one the overseer thinks is correct but is actually slightly wrong). I think of approval-directed agents as pr"&amp;"oviding the intuition that we may only require an overseer that is slightly smarter than the agent in order to be aligned. This is because the overseer can simply ""tell"" the agent what actions to take, and if the agent makes a mistake, or tries to optim"&amp;"ize a heuristic too hard, the overseer can notice and correct it interactively. (This is assuming that we solve the [informed oversight problem](https://ai-alignment.com/the-informed-oversight-problem-1b51b4f66b35) so that the agent doesn't have informati"&amp;"on that is hidden from the overseer, so ""intelligence"" is the main thing that matters.) Only needing a slightly smarter overseer opens up a new space of solutions where we start with a human overseer and subhuman AI system, and scale both the overseer a"&amp;"nd the AI at the same time while preserving alignment at each step.")</f>
        <v>Goal-directed behavior requires an extremely intelligent overseer in order to ensure that the agent is pointed at the correct goal (as opposed to one the overseer thinks is correct but is actually slightly wrong). I think of approval-directed agents as providing the intuition that we may only require an overseer that is slightly smarter than the agent in order to be aligned. This is because the overseer can simply "tell" the agent what actions to take, and if the agent makes a mistake, or tries to optimize a heuristic too hard, the overseer can notice and correct it interactively. (This is assuming that we solve the [informed oversight problem](https://ai-alignment.com/the-informed-oversight-problem-1b51b4f66b35) so that the agent doesn't have information that is hidden from the overseer, so "intelligence" is the main thing that matters.) Only needing a slightly smarter overseer opens up a new space of solutions where we start with a human overseer and subhuman AI system, and scale both the overseer and the AI at the same time while preserving alignment at each step.</v>
      </c>
    </row>
    <row r="824">
      <c r="A824" t="str">
        <f>IFERROR(__xludf.DUMMYFUNCTION("""COMPUTED_VALUE"""),"Iterated amplification sequence")</f>
        <v>Iterated amplification sequence</v>
      </c>
      <c r="B824" t="str">
        <f>IFERROR(__xludf.DUMMYFUNCTION("""COMPUTED_VALUE"""),"")</f>
        <v/>
      </c>
      <c r="C824" s="3" t="str">
        <f>IFERROR(__xludf.DUMMYFUNCTION("""COMPUTED_VALUE"""),"Approval-directed bootstrapping")</f>
        <v>Approval-directed bootstrapping</v>
      </c>
      <c r="D824" t="str">
        <f>IFERROR(__xludf.DUMMYFUNCTION("""COMPUTED_VALUE"""),"Paul Christiano")</f>
        <v>Paul Christiano</v>
      </c>
      <c r="E824" t="str">
        <f>IFERROR(__xludf.DUMMYFUNCTION("""COMPUTED_VALUE"""),"Alignment Forum")</f>
        <v>Alignment Forum</v>
      </c>
      <c r="F824">
        <f>IFERROR(__xludf.DUMMYFUNCTION("""COMPUTED_VALUE"""),2018.0)</f>
        <v>2018</v>
      </c>
      <c r="H824" s="3" t="str">
        <f>IFERROR(__xludf.DUMMYFUNCTION("""COMPUTED_VALUE"""),"AN #34")</f>
        <v>AN #34</v>
      </c>
      <c r="I824" t="str">
        <f>IFERROR(__xludf.DUMMYFUNCTION("""COMPUTED_VALUE"""),"Rohin")</f>
        <v>Rohin</v>
      </c>
      <c r="J824" t="str">
        <f>IFERROR(__xludf.DUMMYFUNCTION("""COMPUTED_VALUE"""),"To get a very smart overseer, we can use the idea of bootstrapping. Given a weak agent, we can define a stronger agent that happens from letting the weak agent think for a long time. This strong agent can be used to oversee a slightly weaker agent that is"&amp;" still stronger than the original weak agent. Iterating this process allows us to reach very intelligent agents. In approval-directed agents, we can simply have Arthur ask Hugh to evaluate approval for actions, and _in the process of evaluation_ Hugh can "&amp;"consult Arthur. Here, the weak agent Hugh is being amplified into a stronger agent by giving him the ability to consult Arthur -- and this becomes stronger over time as Arthur becomes more capable.")</f>
        <v>To get a very smart overseer, we can use the idea of bootstrapping. Given a weak agent, we can define a stronger agent that happens from letting the weak agent think for a long time. This strong agent can be used to oversee a slightly weaker agent that is still stronger than the original weak agent. Iterating this process allows us to reach very intelligent agents. In approval-directed agents, we can simply have Arthur ask Hugh to evaluate approval for actions, and _in the process of evaluation_ Hugh can consult Arthur. Here, the weak agent Hugh is being amplified into a stronger agent by giving him the ability to consult Arthur -- and this becomes stronger over time as Arthur becomes more capable.</v>
      </c>
      <c r="K824" t="str">
        <f>IFERROR(__xludf.DUMMYFUNCTION("""COMPUTED_VALUE"""),"This complements the idea of approval from the previous posts nicely: while approval tells us how to build an aligned agent from a slightly smarter overseer, bootstrapping tells us how to improve the capabilities of the overseer and the agent.")</f>
        <v>This complements the idea of approval from the previous posts nicely: while approval tells us how to build an aligned agent from a slightly smarter overseer, bootstrapping tells us how to improve the capabilities of the overseer and the agent.</v>
      </c>
    </row>
    <row r="825">
      <c r="A825" t="str">
        <f>IFERROR(__xludf.DUMMYFUNCTION("""COMPUTED_VALUE"""),"Iterated amplification sequence")</f>
        <v>Iterated amplification sequence</v>
      </c>
      <c r="B825" t="str">
        <f>IFERROR(__xludf.DUMMYFUNCTION("""COMPUTED_VALUE"""),"")</f>
        <v/>
      </c>
      <c r="C825" s="3" t="str">
        <f>IFERROR(__xludf.DUMMYFUNCTION("""COMPUTED_VALUE"""),"Humans Consulting HCH")</f>
        <v>Humans Consulting HCH</v>
      </c>
      <c r="D825" t="str">
        <f>IFERROR(__xludf.DUMMYFUNCTION("""COMPUTED_VALUE"""),"Paul Christiano")</f>
        <v>Paul Christiano</v>
      </c>
      <c r="E825" t="str">
        <f>IFERROR(__xludf.DUMMYFUNCTION("""COMPUTED_VALUE"""),"Alignment Forum")</f>
        <v>Alignment Forum</v>
      </c>
      <c r="F825">
        <f>IFERROR(__xludf.DUMMYFUNCTION("""COMPUTED_VALUE"""),2018.0)</f>
        <v>2018</v>
      </c>
      <c r="H825" s="3" t="str">
        <f>IFERROR(__xludf.DUMMYFUNCTION("""COMPUTED_VALUE"""),"AN #34")</f>
        <v>AN #34</v>
      </c>
      <c r="I825" t="str">
        <f>IFERROR(__xludf.DUMMYFUNCTION("""COMPUTED_VALUE"""),"Rohin")</f>
        <v>Rohin</v>
      </c>
      <c r="J825" t="str">
        <f>IFERROR(__xludf.DUMMYFUNCTION("""COMPUTED_VALUE"""),"Suppose we unroll the recursion in the previous bootstrapping post: in that case, we see that Hugh's evaluation of an answer can depend on a question that he asked Arthur whose answer depends on how Hugh evaluated an answer that depended on a question tha"&amp;"t he asked Arthur etc. Inspired by this structure, we can define HCH (humans consulting HCH) to be a process that answers question Q by perfectly imitating how Hugh would answer question Q, _if Hugh had access to the question-answering process_. This mean"&amp;"s Hugh is able to consult a copy of Hugh, who is able to consult a copy of Hugh, who is able to consult a copy of Hugh, ad infinitum. This is one proposal for how to formally define a human's enlightened judgment.
You could also combine this with particu"&amp;"lar ML algorithms in an attempt to define versions of those algorithms aligned with Hugh's enlightened judgment. For example, for RL algorithm A, we could define max-HCH_A to be A's chosen action when maximizing Hugh's approval after consulting max-HCH_A.")</f>
        <v>Suppose we unroll the recursion in the previous bootstrapping post: in that case, we see that Hugh's evaluation of an answer can depend on a question that he asked Arthur whose answer depends on how Hugh evaluated an answer that depended on a question that he asked Arthur etc. Inspired by this structure, we can define HCH (humans consulting HCH) to be a process that answers question Q by perfectly imitating how Hugh would answer question Q, _if Hugh had access to the question-answering process_. This means Hugh is able to consult a copy of Hugh, who is able to consult a copy of Hugh, who is able to consult a copy of Hugh, ad infinitum. This is one proposal for how to formally define a human's enlightened judgment.
You could also combine this with particular ML algorithms in an attempt to define versions of those algorithms aligned with Hugh's enlightened judgment. For example, for RL algorithm A, we could define max-HCH_A to be A's chosen action when maximizing Hugh's approval after consulting max-HCH_A.</v>
      </c>
      <c r="K825" t="str">
        <f>IFERROR(__xludf.DUMMYFUNCTION("""COMPUTED_VALUE"""),"This has the same nice recursive structure of bootstrapping, but without the presence of the agent. This probably makes it more amenable to formal analysis, but I think that the interactive nature of bootstrapping (and iterated amplification more generall"&amp;"y) is quite important for ensuring good outcomes: it seems way easier to control an AI system if you can provide input constantly with feedback.")</f>
        <v>This has the same nice recursive structure of bootstrapping, but without the presence of the agent. This probably makes it more amenable to formal analysis, but I think that the interactive nature of bootstrapping (and iterated amplification more generally) is quite important for ensuring good outcomes: it seems way easier to control an AI system if you can provide input constantly with feedback.</v>
      </c>
    </row>
    <row r="826">
      <c r="A826" t="str">
        <f>IFERROR(__xludf.DUMMYFUNCTION("""COMPUTED_VALUE"""),"Iterated amplification sequence")</f>
        <v>Iterated amplification sequence</v>
      </c>
      <c r="B826" t="str">
        <f>IFERROR(__xludf.DUMMYFUNCTION("""COMPUTED_VALUE"""),"")</f>
        <v/>
      </c>
      <c r="C826" s="3" t="str">
        <f>IFERROR(__xludf.DUMMYFUNCTION("""COMPUTED_VALUE"""),"Prosaic AI alignment")</f>
        <v>Prosaic AI alignment</v>
      </c>
      <c r="D826" t="str">
        <f>IFERROR(__xludf.DUMMYFUNCTION("""COMPUTED_VALUE"""),"Paul Christiano")</f>
        <v>Paul Christiano</v>
      </c>
      <c r="E826" t="str">
        <f>IFERROR(__xludf.DUMMYFUNCTION("""COMPUTED_VALUE"""),"Alignment Forum")</f>
        <v>Alignment Forum</v>
      </c>
      <c r="F826">
        <f>IFERROR(__xludf.DUMMYFUNCTION("""COMPUTED_VALUE"""),2018.0)</f>
        <v>2018</v>
      </c>
      <c r="H826" s="3" t="str">
        <f>IFERROR(__xludf.DUMMYFUNCTION("""COMPUTED_VALUE"""),"AN #34")</f>
        <v>AN #34</v>
      </c>
      <c r="I826" t="str">
        <f>IFERROR(__xludf.DUMMYFUNCTION("""COMPUTED_VALUE"""),"Rohin")</f>
        <v>Rohin</v>
      </c>
      <c r="J826" t="str">
        <f>IFERROR(__xludf.DUMMYFUNCTION("""COMPUTED_VALUE"""),"It is plausible that we can build ""prosaic"" AGI soon, that is, we are able to build generally intelligent systems that can outcompete humans without qualitatively new ideas about intelligence. It seems likely that this would use some variant of RL to tr"&amp;"ain a neural net architecture (other approaches don't have a clear way to scale beyond human level). We could write the code for such an approach right now (see [An unaligned benchmark](https://www.alignmentforum.org/posts/ZHXutm7KpoWEj9G2s/an-unaligned-b"&amp;"enchmark) from [AN #33](https://mailchi.mp/b6dc636f6a1b/alignment-newsletter-33)), and it's at least plausible that with enough compute and tuning this could lead to AGI. However, this is likely to be bad if implemented as stated due to the standard issue"&amp;"s of reward gaming and Goodhart's Law. We do have some approaches to alignment such as IRL and executing natural language instructions, but neither of these are at the point where we can write down code that would plausibly lead to an aligned AI. This sug"&amp;"gests that we should focus on figuring out how to align prosaic AI.
There are several reasons to focus on prosaic AI. First, since we know the general shape of the AI system under consideration, it is easier to think about how to align it (while ignoring"&amp;" details like architecture, variance reduction tricks, etc. which don't seem very relevant currently). Second, it's important, both because we may actually build prosaic AGI, and because even if we don't the insights gained will likely transfer. In additi"&amp;"on, worlds with short AGI timelines are higher leverage, and in those worlds prosaic AI seems much more likely. The main counterargument is that aligning prosaic AGI is probably infeasible, since we need a deep understanding of intelligence to build align"&amp;"ed AI. However, it seems unreasonable to be confident in this, and even if it is infeasible, it is worth getting strong evidence of this fact in order change priorities around AI development, and coordinate on not building an AGI that is too powerful.")</f>
        <v>It is plausible that we can build "prosaic" AGI soon, that is, we are able to build generally intelligent systems that can outcompete humans without qualitatively new ideas about intelligence. It seems likely that this would use some variant of RL to train a neural net architecture (other approaches don't have a clear way to scale beyond human level). We could write the code for such an approach right now (see [An unaligned benchmark](https://www.alignmentforum.org/posts/ZHXutm7KpoWEj9G2s/an-unaligned-benchmark) from [AN #33](https://mailchi.mp/b6dc636f6a1b/alignment-newsletter-33)), and it's at least plausible that with enough compute and tuning this could lead to AGI. However, this is likely to be bad if implemented as stated due to the standard issues of reward gaming and Goodhart's Law. We do have some approaches to alignment such as IRL and executing natural language instructions, but neither of these are at the point where we can write down code that would plausibly lead to an aligned AI. This suggests that we should focus on figuring out how to align prosaic AI.
There are several reasons to focus on prosaic AI. First, since we know the general shape of the AI system under consideration, it is easier to think about how to align it (while ignoring details like architecture, variance reduction tricks, etc. which don't seem very relevant currently). Second, it's important, both because we may actually build prosaic AGI, and because even if we don't the insights gained will likely transfer. In addition, worlds with short AGI timelines are higher leverage, and in those worlds prosaic AI seems much more likely. The main counterargument is that aligning prosaic AGI is probably infeasible, since we need a deep understanding of intelligence to build aligned AI. However, it seems unreasonable to be confident in this, and even if it is infeasible, it is worth getting strong evidence of this fact in order change priorities around AI development, and coordinate on not building an AGI that is too powerful.</v>
      </c>
      <c r="K826" t="str">
        <f>IFERROR(__xludf.DUMMYFUNCTION("""COMPUTED_VALUE"""),"I don't really have much to say here, except that I agree with this post quite strongly.")</f>
        <v>I don't really have much to say here, except that I agree with this post quite strongly.</v>
      </c>
    </row>
    <row r="827">
      <c r="A827" t="str">
        <f>IFERROR(__xludf.DUMMYFUNCTION("""COMPUTED_VALUE"""),"Iterated amplification sequence")</f>
        <v>Iterated amplification sequence</v>
      </c>
      <c r="B827" t="str">
        <f>IFERROR(__xludf.DUMMYFUNCTION("""COMPUTED_VALUE"""),"")</f>
        <v/>
      </c>
      <c r="C827" s="3" t="str">
        <f>IFERROR(__xludf.DUMMYFUNCTION("""COMPUTED_VALUE"""),"An unaligned benchmark")</f>
        <v>An unaligned benchmark</v>
      </c>
      <c r="D827" t="str">
        <f>IFERROR(__xludf.DUMMYFUNCTION("""COMPUTED_VALUE"""),"Paul Christiano")</f>
        <v>Paul Christiano</v>
      </c>
      <c r="E827" t="str">
        <f>IFERROR(__xludf.DUMMYFUNCTION("""COMPUTED_VALUE"""),"Alignment Forum")</f>
        <v>Alignment Forum</v>
      </c>
      <c r="F827">
        <f>IFERROR(__xludf.DUMMYFUNCTION("""COMPUTED_VALUE"""),2018.0)</f>
        <v>2018</v>
      </c>
      <c r="H827" s="3" t="str">
        <f>IFERROR(__xludf.DUMMYFUNCTION("""COMPUTED_VALUE"""),"AN #33")</f>
        <v>AN #33</v>
      </c>
      <c r="I827" t="str">
        <f>IFERROR(__xludf.DUMMYFUNCTION("""COMPUTED_VALUE"""),"Rohin")</f>
        <v>Rohin</v>
      </c>
      <c r="J827" t="str">
        <f>IFERROR(__xludf.DUMMYFUNCTION("""COMPUTED_VALUE"""),"I previously summarized this in [Recon #5](https://mailchi.mp/33af21f908b5/reconnaissance-5), but I'll consider it in more detail now. The post argues that we could get a very powerful AI system using model-based RL with MCTS. Specifically, we learn a gen"&amp;"erative model of dynamics (sample a sequence of observations given actions), a reward model, and a policy. The policy is trained using MCTS, which uses the dynamics model and reward model to create and score rollouts. The dynamics model is trained using t"&amp;"he actual observations and actions from the environment. The reward is trained using preferences or rankings (think something like [Deep RL from Human Preferences](https://arxiv.org/abs/1706.03741)). This is a system we could program now, and with suffici"&amp;"ently powerful neural nets, it could outperform humans.
However, this system would not be aligned. There could be specification failures: the AI system would be optimizing for making humans think that good outcomes are happening, which may or may not hap"&amp;"pen by actually having good outcomes. (There are a few arguments suggesting that this is likely to happen.) There could also be robustness failures: as the AI exerts more control over the environment, there is a distributional shift. This may lead to the "&amp;"MCTS finding previously unexplored states where the reward model accidentally assigns high reward, even though it would be a bad outcome, causing a failure. This may push the environment even more out of distribution, triggering other AI systems to fail a"&amp;"s well.
Paul uses this and other potential AI algorithms as _benchmarks_ to beat -- we need to build aligned AI algorithms that achieve similar results as these benchmarks. The further we are from hitting the same metrics, the larger the incentive to use"&amp;" the unaligned AI algorithm.
Iterated amplification could potentially solve the issues with this algorithm. The key idea is to always be able to cash out the learned dynamics and reward models as the result of (a large number of) human decisions. In addi"&amp;"tion, the models need to be made robust to worst case inputs, possibly by using [these techniques](https://ai-alignment.com/techniques-for-optimizing-worst-case-performance-39eafec74b99). In order to make this work, we need to make progress on robustness,"&amp;" amplification, and an understanding of what bad behavior is (so that we can argue that it is easy to avoid, and iterated amplification does avoid it).")</f>
        <v>I previously summarized this in [Recon #5](https://mailchi.mp/33af21f908b5/reconnaissance-5), but I'll consider it in more detail now. The post argues that we could get a very powerful AI system using model-based RL with MCTS. Specifically, we learn a generative model of dynamics (sample a sequence of observations given actions), a reward model, and a policy. The policy is trained using MCTS, which uses the dynamics model and reward model to create and score rollouts. The dynamics model is trained using the actual observations and actions from the environment. The reward is trained using preferences or rankings (think something like [Deep RL from Human Preferences](https://arxiv.org/abs/1706.03741)). This is a system we could program now, and with sufficiently powerful neural nets, it could outperform humans.
However, this system would not be aligned. There could be specification failures: the AI system would be optimizing for making humans think that good outcomes are happening, which may or may not happen by actually having good outcomes. (There are a few arguments suggesting that this is likely to happen.) There could also be robustness failures: as the AI exerts more control over the environment, there is a distributional shift. This may lead to the MCTS finding previously unexplored states where the reward model accidentally assigns high reward, even though it would be a bad outcome, causing a failure. This may push the environment even more out of distribution, triggering other AI systems to fail as well.
Paul uses this and other potential AI algorithms as _benchmarks_ to beat -- we need to build aligned AI algorithms that achieve similar results as these benchmarks. The further we are from hitting the same metrics, the larger the incentive to use the unaligned AI algorithm.
Iterated amplification could potentially solve the issues with this algorithm. The key idea is to always be able to cash out the learned dynamics and reward models as the result of (a large number of) human decisions. In addition, the models need to be made robust to worst case inputs, possibly by using [these techniques](https://ai-alignment.com/techniques-for-optimizing-worst-case-performance-39eafec74b99). In order to make this work, we need to make progress on robustness, amplification, and an understanding of what bad behavior is (so that we can argue that it is easy to avoid, and iterated amplification does avoid it).</v>
      </c>
      <c r="K827" t="str">
        <f>IFERROR(__xludf.DUMMYFUNCTION("""COMPUTED_VALUE"""),"I often think that the hard part of AI alignment is actually the _strategic_ side of it -- even if we figure out how to build an aligned AI system, it doesn't help us unless the actors who actually build powerful AI systems use our proposal. From that per"&amp;"spective, it's very important for any aligned systems we build to be competitive with unaligned ones, and so keeping these sorts of benchmarks in mind seems like a really good idea. This particular benchmark seems good -- it's essentially the AlphaGo algo"&amp;"rithm, except with learned dynamics (since we don't know the dynamics of the real world) and rewards (since we want to be able to specify arbitrary tasks), which seems like a good contender for ""powerful AI system"".")</f>
        <v>I often think that the hard part of AI alignment is actually the _strategic_ side of it -- even if we figure out how to build an aligned AI system, it doesn't help us unless the actors who actually build powerful AI systems use our proposal. From that perspective, it's very important for any aligned systems we build to be competitive with unaligned ones, and so keeping these sorts of benchmarks in mind seems like a really good idea. This particular benchmark seems good -- it's essentially the AlphaGo algorithm, except with learned dynamics (since we don't know the dynamics of the real world) and rewards (since we want to be able to specify arbitrary tasks), which seems like a good contender for "powerful AI system".</v>
      </c>
    </row>
    <row r="828">
      <c r="A828" t="str">
        <f>IFERROR(__xludf.DUMMYFUNCTION("""COMPUTED_VALUE"""),"Iterated amplification sequence")</f>
        <v>Iterated amplification sequence</v>
      </c>
      <c r="B828" t="str">
        <f>IFERROR(__xludf.DUMMYFUNCTION("""COMPUTED_VALUE"""),"")</f>
        <v/>
      </c>
      <c r="C828" s="3" t="str">
        <f>IFERROR(__xludf.DUMMYFUNCTION("""COMPUTED_VALUE"""),"Clarifying ""AI Alignment""")</f>
        <v>Clarifying "AI Alignment"</v>
      </c>
      <c r="D828" t="str">
        <f>IFERROR(__xludf.DUMMYFUNCTION("""COMPUTED_VALUE"""),"Paul Christiano")</f>
        <v>Paul Christiano</v>
      </c>
      <c r="E828" t="str">
        <f>IFERROR(__xludf.DUMMYFUNCTION("""COMPUTED_VALUE"""),"Alignment Forum")</f>
        <v>Alignment Forum</v>
      </c>
      <c r="F828">
        <f>IFERROR(__xludf.DUMMYFUNCTION("""COMPUTED_VALUE"""),2018.0)</f>
        <v>2018</v>
      </c>
      <c r="H828" s="3" t="str">
        <f>IFERROR(__xludf.DUMMYFUNCTION("""COMPUTED_VALUE"""),"AN #33")</f>
        <v>AN #33</v>
      </c>
      <c r="I828" t="str">
        <f>IFERROR(__xludf.DUMMYFUNCTION("""COMPUTED_VALUE"""),"Rohin")</f>
        <v>Rohin</v>
      </c>
      <c r="J828" t="str">
        <f>IFERROR(__xludf.DUMMYFUNCTION("""COMPUTED_VALUE"""),"I previously summarized this in [AN #2](https://mailchi.mp/14782876a85d/alignment-newsletter-2), but I'll consider it in more detail now. As Paul uses the term, ""AI alignment"" refers only to the problem of figuring out how to build an AI that is _trying"&amp;"_ to do what humans want. In particular, an AI can be aligned but still make mistakes because of incompetence. This is not a formal definition, since we don't have a good way of talking about the ""motivation"" of an AI system, or about ""what humans want"&amp;""", but Paul expects that it will correspond to some precise notion after we make more progress.")</f>
        <v>I previously summarized this in [AN #2](https://mailchi.mp/14782876a85d/alignment-newsletter-2), but I'll consider it in more detail now. As Paul uses the term, "AI alignment" refers only to the problem of figuring out how to build an AI that is _trying_ to do what humans want. In particular, an AI can be aligned but still make mistakes because of incompetence. This is not a formal definition, since we don't have a good way of talking about the "motivation" of an AI system, or about "what humans want", but Paul expects that it will correspond to some precise notion after we make more progress.</v>
      </c>
      <c r="K828" t="str">
        <f>IFERROR(__xludf.DUMMYFUNCTION("""COMPUTED_VALUE"""),"Ultimately, our goal is to build AI systems that reliably do what we want them to do. One way of decomposing this is first to _define_ the behavior that we want from an AI system, and then to figure out how to obtain that behavior, which we might call the"&amp;" definition-optimization decomposition. [Ambitious value learning](https://www.alignmentforum.org/posts/5eX8ko7GCxwR5N9mN/what-is-ambitious-value-learning) aims to solve the definition subproblem. I interpret this post as proposing a _different decomposit"&amp;"ion_ of the overall problem. One subproblem is how to build an AI system that is _trying_ to do what we want, and the second subproblem is how to make the AI competent enough that it _actually_ does what we want. I like this motivation-competence decompos"&amp;"ition for a few reasons, which I've written a [long comment](https://www.alignmentforum.org/posts/ZeE7EKHTFMBs8eMxn/clarifying-ai-alignment#3ECKoYzFNW2ZqS6km) about that I strongly encourage you to read. The summary of that comment is: motivation-competen"&amp;"ce isolates the urgent part in a single subproblem (motivation), humans are an existence proof that the motivation subproblem can be solved, it is possible to apply the motivation framework to systems without lower capabilities, the safety guarantees degr"&amp;"ade slowly and smoothly, the definition-optimization decomposition as exemplified by expected utility maximizers has generated primarily negative results, and motivation-competence allows for interaction between the AI system and humans. The major con is "&amp;"that the motivation-competence decomposition is informal, imprecise, and may be intractable to work on.")</f>
        <v>Ultimately, our goal is to build AI systems that reliably do what we want them to do. One way of decomposing this is first to _define_ the behavior that we want from an AI system, and then to figure out how to obtain that behavior, which we might call the definition-optimization decomposition. [Ambitious value learning](https://www.alignmentforum.org/posts/5eX8ko7GCxwR5N9mN/what-is-ambitious-value-learning) aims to solve the definition subproblem. I interpret this post as proposing a _different decomposition_ of the overall problem. One subproblem is how to build an AI system that is _trying_ to do what we want, and the second subproblem is how to make the AI competent enough that it _actually_ does what we want. I like this motivation-competence decomposition for a few reasons, which I've written a [long comment](https://www.alignmentforum.org/posts/ZeE7EKHTFMBs8eMxn/clarifying-ai-alignment#3ECKoYzFNW2ZqS6km) about that I strongly encourage you to read. The summary of that comment is: motivation-competence isolates the urgent part in a single subproblem (motivation), humans are an existence proof that the motivation subproblem can be solved, it is possible to apply the motivation framework to systems without lower capabilities, the safety guarantees degrade slowly and smoothly, the definition-optimization decomposition as exemplified by expected utility maximizers has generated primarily negative results, and motivation-competence allows for interaction between the AI system and humans. The major con is that the motivation-competence decomposition is informal, imprecise, and may be intractable to work on.</v>
      </c>
    </row>
    <row r="829">
      <c r="A829" t="str">
        <f>IFERROR(__xludf.DUMMYFUNCTION("""COMPUTED_VALUE"""),"Iterated amplification sequence")</f>
        <v>Iterated amplification sequence</v>
      </c>
      <c r="B829" t="str">
        <f>IFERROR(__xludf.DUMMYFUNCTION("""COMPUTED_VALUE"""),"")</f>
        <v/>
      </c>
      <c r="C829" s="3" t="str">
        <f>IFERROR(__xludf.DUMMYFUNCTION("""COMPUTED_VALUE"""),"The Steering Problem")</f>
        <v>The Steering Problem</v>
      </c>
      <c r="D829" t="str">
        <f>IFERROR(__xludf.DUMMYFUNCTION("""COMPUTED_VALUE"""),"Paul Christiano")</f>
        <v>Paul Christiano</v>
      </c>
      <c r="E829" t="str">
        <f>IFERROR(__xludf.DUMMYFUNCTION("""COMPUTED_VALUE"""),"Alignment Forum")</f>
        <v>Alignment Forum</v>
      </c>
      <c r="F829">
        <f>IFERROR(__xludf.DUMMYFUNCTION("""COMPUTED_VALUE"""),2018.0)</f>
        <v>2018</v>
      </c>
      <c r="H829" s="3" t="str">
        <f>IFERROR(__xludf.DUMMYFUNCTION("""COMPUTED_VALUE"""),"AN #33")</f>
        <v>AN #33</v>
      </c>
      <c r="I829" t="str">
        <f>IFERROR(__xludf.DUMMYFUNCTION("""COMPUTED_VALUE"""),"Rohin")</f>
        <v>Rohin</v>
      </c>
      <c r="J829" t="str">
        <f>IFERROR(__xludf.DUMMYFUNCTION("""COMPUTED_VALUE"""),"The steering problem refers to the problem of writing a program that uses black-box human-level cognitive abilities to be as useful as a well-motivated human Hugh (that is, a human who is ""trying"" to be helpful). This is a conceptual problem -- we don't"&amp;" have black-box access to human-level cognitive abilities yet. However, we can build suitable formalizations and solve the steering problem within those formalizations, from which we can learn generalizable insights that we can apply to the problem we wil"&amp;"l actually face once we have strong AI capabilities. For example, we could formalize ""human-level cognitive abilities"" as Hugh-level performance on question-answering (yes-no questions in natural language), online learning (given a sequence of labeled d"&amp;"ata points, predict the label of the next data point), or embodied reinforcement learning. A program P is more useful than Hugh for X if, for every project using a simulation of Hugh to accomplish X, we can efficiently transform it into a new project whic"&amp;"h uses P to accomplish X.")</f>
        <v>The steering problem refers to the problem of writing a program that uses black-box human-level cognitive abilities to be as useful as a well-motivated human Hugh (that is, a human who is "trying" to be helpful). This is a conceptual problem -- we don't have black-box access to human-level cognitive abilities yet. However, we can build suitable formalizations and solve the steering problem within those formalizations, from which we can learn generalizable insights that we can apply to the problem we will actually face once we have strong AI capabilities. For example, we could formalize "human-level cognitive abilities" as Hugh-level performance on question-answering (yes-no questions in natural language), online learning (given a sequence of labeled data points, predict the label of the next data point), or embodied reinforcement learning. A program P is more useful than Hugh for X if, for every project using a simulation of Hugh to accomplish X, we can efficiently transform it into a new project which uses P to accomplish X.</v>
      </c>
      <c r="K829" t="str">
        <f>IFERROR(__xludf.DUMMYFUNCTION("""COMPUTED_VALUE"""),"This is an interesting perspective on the AI safety problem. I really like the ethos of this post, where there isn't a huge opposition between AI capabilities and AI safety, but instead we are simply trying to figure out how to use the (helpful!) capabili"&amp;"ties developed by AI researchers to do useful things.
If I think about this from the perspective of reducing existential risk, it seems like you also need to make the argument that AI systems are unlikely to pose an existential threat before they are hum"&amp;"an-level (a claim I mostly agree with), or that the solutions will generalize to sub-human-level AI systems.")</f>
        <v>This is an interesting perspective on the AI safety problem. I really like the ethos of this post, where there isn't a huge opposition between AI capabilities and AI safety, but instead we are simply trying to figure out how to use the (helpful!) capabilities developed by AI researchers to do useful things.
If I think about this from the perspective of reducing existential risk, it seems like you also need to make the argument that AI systems are unlikely to pose an existential threat before they are human-level (a claim I mostly agree with), or that the solutions will generalize to sub-human-level AI systems.</v>
      </c>
    </row>
    <row r="830">
      <c r="A830" t="str">
        <f>IFERROR(__xludf.DUMMYFUNCTION("""COMPUTED_VALUE"""),"Iterated amplification sequence")</f>
        <v>Iterated amplification sequence</v>
      </c>
      <c r="B830" t="str">
        <f>IFERROR(__xludf.DUMMYFUNCTION("""COMPUTED_VALUE"""),"")</f>
        <v/>
      </c>
      <c r="C830" s="3" t="str">
        <f>IFERROR(__xludf.DUMMYFUNCTION("""COMPUTED_VALUE"""),"Preface to the sequence on iterated amplification")</f>
        <v>Preface to the sequence on iterated amplification</v>
      </c>
      <c r="D830" t="str">
        <f>IFERROR(__xludf.DUMMYFUNCTION("""COMPUTED_VALUE"""),"Paul Christiano")</f>
        <v>Paul Christiano</v>
      </c>
      <c r="E830" t="str">
        <f>IFERROR(__xludf.DUMMYFUNCTION("""COMPUTED_VALUE"""),"Alignment Forum")</f>
        <v>Alignment Forum</v>
      </c>
      <c r="F830">
        <f>IFERROR(__xludf.DUMMYFUNCTION("""COMPUTED_VALUE"""),2018.0)</f>
        <v>2018</v>
      </c>
      <c r="H830" s="3" t="str">
        <f>IFERROR(__xludf.DUMMYFUNCTION("""COMPUTED_VALUE"""),"AN #32")</f>
        <v>AN #32</v>
      </c>
      <c r="I830" t="str">
        <f>IFERROR(__xludf.DUMMYFUNCTION("""COMPUTED_VALUE"""),"Rohin")</f>
        <v>Rohin</v>
      </c>
      <c r="J830" t="str">
        <f>IFERROR(__xludf.DUMMYFUNCTION("""COMPUTED_VALUE"""),"This is a preface, read it if you're going to read the full posts, but not if you're only going to read these summaries.")</f>
        <v>This is a preface, read it if you're going to read the full posts, but not if you're only going to read these summaries.</v>
      </c>
    </row>
    <row r="831">
      <c r="A831" t="str">
        <f>IFERROR(__xludf.DUMMYFUNCTION("""COMPUTED_VALUE"""),"Learning human intent")</f>
        <v>Learning human intent</v>
      </c>
      <c r="B831" t="str">
        <f>IFERROR(__xludf.DUMMYFUNCTION("""COMPUTED_VALUE"""),"Highlight")</f>
        <v>Highlight</v>
      </c>
      <c r="C831" s="3" t="str">
        <f>IFERROR(__xludf.DUMMYFUNCTION("""COMPUTED_VALUE"""),"Reward-rational (implicit) choice: A unifying formalism for reward learning")</f>
        <v>Reward-rational (implicit) choice: A unifying formalism for reward learning</v>
      </c>
      <c r="D831" t="str">
        <f>IFERROR(__xludf.DUMMYFUNCTION("""COMPUTED_VALUE"""),"Hong Jun Jeon*, Smitha Milli*, Anca D. Dragan")</f>
        <v>Hong Jun Jeon*, Smitha Milli*, Anca D. Dragan</v>
      </c>
      <c r="E831" t="str">
        <f>IFERROR(__xludf.DUMMYFUNCTION("""COMPUTED_VALUE"""),"arXiv")</f>
        <v>arXiv</v>
      </c>
      <c r="F831">
        <f>IFERROR(__xludf.DUMMYFUNCTION("""COMPUTED_VALUE"""),2020.0)</f>
        <v>2020</v>
      </c>
      <c r="H831" s="3" t="str">
        <f>IFERROR(__xludf.DUMMYFUNCTION("""COMPUTED_VALUE"""),"AN #89")</f>
        <v>AN #89</v>
      </c>
      <c r="I831" t="str">
        <f>IFERROR(__xludf.DUMMYFUNCTION("""COMPUTED_VALUE"""),"Rohin")</f>
        <v>Rohin</v>
      </c>
      <c r="J831" t="str">
        <f>IFERROR(__xludf.DUMMYFUNCTION("""COMPUTED_VALUE"""),"We've got algorithms for learning preferences from &lt;@demonstrations@&gt;(@Modeling Interaction via the Principle of Maximum Causal Entropy@) (possibly &lt;@ranked@&gt;(@Ranking-Based Reward Extrapolation without Rankings@)), &lt;@comparisons@&gt;(@Fine-Tuning GPT-2 from"&amp;" Human Preferences@), &lt;@proxy rewards@&gt;(@Inverse Reward Design@), and even the &lt;@observed state@&gt;(@Learning Preferences by Looking at the World@). The insight of this paper is that these are all instances of a simple underlying formalism.
Specifically, t"&amp;"hese forms of preference learning can be described by two properties: (1) the set of choices that the human picks from and (2) how each choice corresponds to a distribution over agent trajectories. Given these properties, we assume that the human makes th"&amp;"eir choice according to a Boltzmann-rational model (where the human is more likely to choose an option if it leads to higher expected reward). We have now specified a likelihood over the choice given the reward, and we can use Bayes rule to infer a distri"&amp;"bution over the reward given the human's choice.
Consider more exotic types of feedback, such as the human's decision to &lt;@turn the agent off@&gt;(@The Off-Switch Game@). Here, the human has two options: turning the agent off (corresponding to the agent sta"&amp;"ying still forever), or letting it continue (corresponding to the agent taking the trajectory that maximizes its current expected reward). If the agent has the right reward function, then the Boltzmann rational human would let it continue; as a result, if"&amp;" the human instead tries to turn the agent off, Bayes Rule allows the agent to infer that its belief about the reward must be wrong. Thus, even this decision of whether to turn the agent off can be captured in this framework.
The paper then shows two exa"&amp;"mples of new feedback types that can be generated from this framework: first, credit assignment, in which the human identifies a subset of the trajectory that had maximal reward, and second, meta-choice, where the choice of which _type_ of feedback to giv"&amp;"e can itself give information about the reward function.")</f>
        <v>We've got algorithms for learning preferences from &lt;@demonstrations@&gt;(@Modeling Interaction via the Principle of Maximum Causal Entropy@) (possibly &lt;@ranked@&gt;(@Ranking-Based Reward Extrapolation without Rankings@)), &lt;@comparisons@&gt;(@Fine-Tuning GPT-2 from Human Preferences@), &lt;@proxy rewards@&gt;(@Inverse Reward Design@), and even the &lt;@observed state@&gt;(@Learning Preferences by Looking at the World@). The insight of this paper is that these are all instances of a simple underlying formalism.
Specifically, these forms of preference learning can be described by two properties: (1) the set of choices that the human picks from and (2) how each choice corresponds to a distribution over agent trajectories. Given these properties, we assume that the human makes their choice according to a Boltzmann-rational model (where the human is more likely to choose an option if it leads to higher expected reward). We have now specified a likelihood over the choice given the reward, and we can use Bayes rule to infer a distribution over the reward given the human's choice.
Consider more exotic types of feedback, such as the human's decision to &lt;@turn the agent off@&gt;(@The Off-Switch Game@). Here, the human has two options: turning the agent off (corresponding to the agent staying still forever), or letting it continue (corresponding to the agent taking the trajectory that maximizes its current expected reward). If the agent has the right reward function, then the Boltzmann rational human would let it continue; as a result, if the human instead tries to turn the agent off, Bayes Rule allows the agent to infer that its belief about the reward must be wrong. Thus, even this decision of whether to turn the agent off can be captured in this framework.
The paper then shows two examples of new feedback types that can be generated from this framework: first, credit assignment, in which the human identifies a subset of the trajectory that had maximal reward, and second, meta-choice, where the choice of which _type_ of feedback to give can itself give information about the reward function.</v>
      </c>
      <c r="K831" t="str">
        <f>IFERROR(__xludf.DUMMYFUNCTION("""COMPUTED_VALUE"""),"I like this paper; it's a very clear explanation of a ""recipe"" used to develop preference learning algorithms (especially at CHAI and Interact, two of the labs I'm a part of). It is particularly applicable to the case where there's a separate training p"&amp;"hase where the human gives feedback on the reward function, and a deployment phase where the agent optimizes the reward function. Things get murkier once you move to a more online setting in which the human and agent are acting simultaneously, as in &lt;@ass"&amp;"istance games / CIRL games@&gt;(@Cooperative Inverse Reinforcement Learning@), where the agent can learn from pragmatic actions (see also &lt;@the deep RL version@&gt;(@Learning to Interactively Learn and Assist@)). In particular, while previously we could separat"&amp;"e out the grounding of choices to trajectories, and the interpretation of those trajectories (the Boltzmann rational model), this can no longer be done in an assistance game, since the way that the agent interprets the trajectories changes what the agent "&amp;"does which changes the choices available to the human in the next timestep. I'd be excited for more work on understanding this setting.")</f>
        <v>I like this paper; it's a very clear explanation of a "recipe" used to develop preference learning algorithms (especially at CHAI and Interact, two of the labs I'm a part of). It is particularly applicable to the case where there's a separate training phase where the human gives feedback on the reward function, and a deployment phase where the agent optimizes the reward function. Things get murkier once you move to a more online setting in which the human and agent are acting simultaneously, as in &lt;@assistance games / CIRL games@&gt;(@Cooperative Inverse Reinforcement Learning@), where the agent can learn from pragmatic actions (see also &lt;@the deep RL version@&gt;(@Learning to Interactively Learn and Assist@)). In particular, while previously we could separate out the grounding of choices to trajectories, and the interpretation of those trajectories (the Boltzmann rational model), this can no longer be done in an assistance game, since the way that the agent interprets the trajectories changes what the agent does which changes the choices available to the human in the next timestep. I'd be excited for more work on understanding this setting.</v>
      </c>
    </row>
    <row r="832">
      <c r="A832" t="str">
        <f>IFERROR(__xludf.DUMMYFUNCTION("""COMPUTED_VALUE"""),"Learning human intent")</f>
        <v>Learning human intent</v>
      </c>
      <c r="B832" t="str">
        <f>IFERROR(__xludf.DUMMYFUNCTION("""COMPUTED_VALUE"""),"Highlight")</f>
        <v>Highlight</v>
      </c>
      <c r="C832" s="3" t="str">
        <f>IFERROR(__xludf.DUMMYFUNCTION("""COMPUTED_VALUE"""),"Where Do You Think You're Going?: Inferring Beliefs about Dynamics from Behavior")</f>
        <v>Where Do You Think You're Going?: Inferring Beliefs about Dynamics from Behavior</v>
      </c>
      <c r="D832" t="str">
        <f>IFERROR(__xludf.DUMMYFUNCTION("""COMPUTED_VALUE"""),"Siddharth Reddy, Anca D. Dragan, Sergey Levine")</f>
        <v>Siddharth Reddy, Anca D. Dragan, Sergey Levine</v>
      </c>
      <c r="E832" t="str">
        <f>IFERROR(__xludf.DUMMYFUNCTION("""COMPUTED_VALUE"""),"arXiv")</f>
        <v>arXiv</v>
      </c>
      <c r="F832">
        <f>IFERROR(__xludf.DUMMYFUNCTION("""COMPUTED_VALUE"""),2018.0)</f>
        <v>2018</v>
      </c>
      <c r="H832" s="3" t="str">
        <f>IFERROR(__xludf.DUMMYFUNCTION("""COMPUTED_VALUE"""),"AN #8")</f>
        <v>AN #8</v>
      </c>
      <c r="I832" t="str">
        <f>IFERROR(__xludf.DUMMYFUNCTION("""COMPUTED_VALUE"""),"Rohin")</f>
        <v>Rohin</v>
      </c>
      <c r="J832" t="str">
        <f>IFERROR(__xludf.DUMMYFUNCTION("""COMPUTED_VALUE"""),"Inverse reinforcement learning algorithms typically assume that the demonstrations come from an expert who is approximately optimal. However, this is often not the case, at least when the experts are fallible humans. This paper considers the case where th"&amp;"e expert has an incorrect model of the dynamics (transition function) of the environment, and proposes learning the expert's model of the dynamics to improve reward function inference. However, this leads to severe unidentifiability problems, where many m"&amp;"odels of the dynamics are compatible with the observed behavior. To overcome this, they assume that they have multiple tasks with known reward functions, which they use to infer the expert's dynamics. This is then used to infer the reward function in a ne"&amp;"w task using an adaptation of max causal entropy IRL. The dynamics can be an arbitrary neural net while the reward function is a weighted linear combination of features. They evaluate the inference of the dynamics model with real humans on Lunar Lander. G"&amp;"iven transcripts of humans playing Lunar Lander, they infer the underlying (incorrect) dynamics model. Then, when the human takes an action, they predict which next state the human wanted to achieve, and replace the human's action with the action that wou"&amp;"ld actually get close to the state the human wanted.")</f>
        <v>Inverse reinforcement learning algorithms typically assume that the demonstrations come from an expert who is approximately optimal. However, this is often not the case, at least when the experts are fallible humans. This paper considers the case where the expert has an incorrect model of the dynamics (transition function) of the environment, and proposes learning the expert's model of the dynamics to improve reward function inference. However, this leads to severe unidentifiability problems, where many models of the dynamics are compatible with the observed behavior. To overcome this, they assume that they have multiple tasks with known reward functions, which they use to infer the expert's dynamics. This is then used to infer the reward function in a new task using an adaptation of max causal entropy IRL. The dynamics can be an arbitrary neural net while the reward function is a weighted linear combination of features. They evaluate the inference of the dynamics model with real humans on Lunar Lander. Given transcripts of humans playing Lunar Lander, they infer the underlying (incorrect) dynamics model. Then, when the human takes an action, they predict which next state the human wanted to achieve, and replace the human's action with the action that would actually get close to the state the human wanted.</v>
      </c>
      <c r="K832" t="str">
        <f>IFERROR(__xludf.DUMMYFUNCTION("""COMPUTED_VALUE"""),"I really like that this paper has experiments with real humans. It's definitely a problem that IRL assumes that the expert is (approximately) optimal -- this means that you can't learn where the expert is likely to be wrong, and so it is hard to exceed th"&amp;"e expert's performance. It's very difficult to figure out how to deal with the possbility of a biased expert, and I'm happy to see work that takes a shot at it.")</f>
        <v>I really like that this paper has experiments with real humans. It's definitely a problem that IRL assumes that the expert is (approximately) optimal -- this means that you can't learn where the expert is likely to be wrong, and so it is hard to exceed the expert's performance. It's very difficult to figure out how to deal with the possbility of a biased expert, and I'm happy to see work that takes a shot at it.</v>
      </c>
    </row>
    <row r="833">
      <c r="A833" t="str">
        <f>IFERROR(__xludf.DUMMYFUNCTION("""COMPUTED_VALUE"""),"Learning human intent")</f>
        <v>Learning human intent</v>
      </c>
      <c r="B833" t="str">
        <f>IFERROR(__xludf.DUMMYFUNCTION("""COMPUTED_VALUE"""),"Highlight")</f>
        <v>Highlight</v>
      </c>
      <c r="C833" s="3" t="str">
        <f>IFERROR(__xludf.DUMMYFUNCTION("""COMPUTED_VALUE"""),"The Assistive Multi-Armed Bandit")</f>
        <v>The Assistive Multi-Armed Bandit</v>
      </c>
      <c r="D833" t="str">
        <f>IFERROR(__xludf.DUMMYFUNCTION("""COMPUTED_VALUE"""),"Lawrence Chan, Dylan Hadfield-Menell, Siddhartha Srinivasa, Anca Dragan")</f>
        <v>Lawrence Chan, Dylan Hadfield-Menell, Siddhartha Srinivasa, Anca Dragan</v>
      </c>
      <c r="E833" t="str">
        <f>IFERROR(__xludf.DUMMYFUNCTION("""COMPUTED_VALUE"""),"HRI 2019")</f>
        <v>HRI 2019</v>
      </c>
      <c r="F833">
        <f>IFERROR(__xludf.DUMMYFUNCTION("""COMPUTED_VALUE"""),2019.0)</f>
        <v>2019</v>
      </c>
      <c r="H833" s="3" t="str">
        <f>IFERROR(__xludf.DUMMYFUNCTION("""COMPUTED_VALUE"""),"AN #70")</f>
        <v>AN #70</v>
      </c>
      <c r="I833" t="str">
        <f>IFERROR(__xludf.DUMMYFUNCTION("""COMPUTED_VALUE"""),"Asya")</f>
        <v>Asya</v>
      </c>
      <c r="J833" t="str">
        <f>IFERROR(__xludf.DUMMYFUNCTION("""COMPUTED_VALUE"""),"Standard approaches for inverse reinforcement learning assume that humans are acting optimally according to their preferences, rather than learning about their preferences as time goes on. This paper tries to model the latter by introducing the _assistive"&amp;" multi-armed bandit_ problem. 
In the standard _multi-armed bandit_ problem, a player repeatedly chooses one of several “arms” to pull, where each arm provides reward according to some unknown distribution. Imagine getting 1000 free plays on your choice "&amp;"of 10 different, unknown slot machines. This is a hard problem since the player must trade off between exploration (learning about some arm) and exploitation (pulling the best arm so far). In _assistive multi-armed bandit_, a robot is given the opportunit"&amp;"y to intercept the player every round and pull an arm of its choice. If it does not intercept, it can see the arm pulled by the player but not the reward the player receives. This formalizes the notion of an AI with only partial information trying to help"&amp;" a learning agent optimize their reward.
The paper does some theoretical analysis of this problem as well as an experimental set-up involving a neural network and players acting according to a variety of different policies. It makes several observations "&amp;"about the problem:
- A player better at learning does not necessarily lead to the player-robot team performing better-- the robot can help a suboptimal player do better in accordance with how much information the player's arm pulls convey about the reward"&amp;" of the arm. 
- A robot is best at assisting when it has the right model for how the player is learning.
- A robot that models the player as learning generally does better than a robot that does not, even if the robot has the wrong model for the player's "&amp;"learning.
- The problem is very sensitive to which learning model the player uses and which learning model the robot assumes. Some player learning models can only be effectively assisted when they are correctly modeled. Some robot-assumed learning models "&amp;"effectively assist for a variety of actual player learning models.")</f>
        <v>Standard approaches for inverse reinforcement learning assume that humans are acting optimally according to their preferences, rather than learning about their preferences as time goes on. This paper tries to model the latter by introducing the _assistive multi-armed bandit_ problem. 
In the standard _multi-armed bandit_ problem, a player repeatedly chooses one of several “arms” to pull, where each arm provides reward according to some unknown distribution. Imagine getting 1000 free plays on your choice of 10 different, unknown slot machines. This is a hard problem since the player must trade off between exploration (learning about some arm) and exploitation (pulling the best arm so far). In _assistive multi-armed bandit_, a robot is given the opportunity to intercept the player every round and pull an arm of its choice. If it does not intercept, it can see the arm pulled by the player but not the reward the player receives. This formalizes the notion of an AI with only partial information trying to help a learning agent optimize their reward.
The paper does some theoretical analysis of this problem as well as an experimental set-up involving a neural network and players acting according to a variety of different policies. It makes several observations about the problem:
- A player better at learning does not necessarily lead to the player-robot team performing better-- the robot can help a suboptimal player do better in accordance with how much information the player's arm pulls convey about the reward of the arm. 
- A robot is best at assisting when it has the right model for how the player is learning.
- A robot that models the player as learning generally does better than a robot that does not, even if the robot has the wrong model for the player's learning.
- The problem is very sensitive to which learning model the player uses and which learning model the robot assumes. Some player learning models can only be effectively assisted when they are correctly modeled. Some robot-assumed learning models effectively assist for a variety of actual player learning models.</v>
      </c>
      <c r="K833" t="str">
        <f>IFERROR(__xludf.DUMMYFUNCTION("""COMPUTED_VALUE"""),"The standard inverse reinforcement learning assumption about humans acting optimally seems unrealistic; I think this paper provides an insightful initial step in not having that assumption and models the non-optimal version of the problem in a clean and c"&amp;"ompelling way. I think it's a noteworthy observation that this problem is very sensitive to the player's learning model, and I agree with the paper that this suggests that we should put effort into researching actual human learning strategies. I am unsure"&amp;" how to think about the insights here generalizing to other inverse reinforcement learning cases.")</f>
        <v>The standard inverse reinforcement learning assumption about humans acting optimally seems unrealistic; I think this paper provides an insightful initial step in not having that assumption and models the non-optimal version of the problem in a clean and compelling way. I think it's a noteworthy observation that this problem is very sensitive to the player's learning model, and I agree with the paper that this suggests that we should put effort into researching actual human learning strategies. I am unsure how to think about the insights here generalizing to other inverse reinforcement learning cases.</v>
      </c>
    </row>
    <row r="834">
      <c r="A834" t="str">
        <f>IFERROR(__xludf.DUMMYFUNCTION("""COMPUTED_VALUE"""),"Learning human intent")</f>
        <v>Learning human intent</v>
      </c>
      <c r="B834" t="str">
        <f>IFERROR(__xludf.DUMMYFUNCTION("""COMPUTED_VALUE"""),"Highlight")</f>
        <v>Highlight</v>
      </c>
      <c r="C834" s="3" t="str">
        <f>IFERROR(__xludf.DUMMYFUNCTION("""COMPUTED_VALUE"""),"Cooperative Inverse Reinforcement Learning")</f>
        <v>Cooperative Inverse Reinforcement Learning</v>
      </c>
      <c r="D834" t="str">
        <f>IFERROR(__xludf.DUMMYFUNCTION("""COMPUTED_VALUE"""),"Dylan Hadfield-Menell, Anca Dragan, Pieter Abbeel, Stuart Russell")</f>
        <v>Dylan Hadfield-Menell, Anca Dragan, Pieter Abbeel, Stuart Russell</v>
      </c>
      <c r="E834" t="str">
        <f>IFERROR(__xludf.DUMMYFUNCTION("""COMPUTED_VALUE"""),"NeurIPS 2016")</f>
        <v>NeurIPS 2016</v>
      </c>
      <c r="F834">
        <f>IFERROR(__xludf.DUMMYFUNCTION("""COMPUTED_VALUE"""),2016.0)</f>
        <v>2016</v>
      </c>
      <c r="H834" s="3" t="str">
        <f>IFERROR(__xludf.DUMMYFUNCTION("""COMPUTED_VALUE"""),"AN #69")</f>
        <v>AN #69</v>
      </c>
      <c r="I834" t="str">
        <f>IFERROR(__xludf.DUMMYFUNCTION("""COMPUTED_VALUE"""),"Rohin")</f>
        <v>Rohin</v>
      </c>
      <c r="J834" t="str">
        <f>IFERROR(__xludf.DUMMYFUNCTION("""COMPUTED_VALUE"""),"This paper provides a formalization of the three principles from the book, in the case where there is a single human H and a single robot R. H and R are trying to optimize the same reward function. Since both H and R are represented in the environment, it"&amp;" can be the _human's_ reward: that is, it is possible to reward the state where the human drinks coffee, without also rewarding the state where the robot drinks coffee. This corresponds to the first principle: that machines should optimize _our_ objective"&amp;"s. The second principle, that machines should initially be uncertain about our objectives, is incorporated by assuming that _only H knows the reward_, requiring R to maintain a belief over the reward. Finally, for the third principle, R needs to get infor"&amp;"mation about the reward from H's behavior, and so R assumes that H will choose actions that best optimize the reward (taking into account the fact that R doesn't know the reward).
This defines a two-player game, originally called a CIRL game but now call"&amp;"ed an _assistance game_. We can compute optimal joint strategies for H and R. Since this is an _interactive_ process, H can do better than just acting optimally as if R did not exist (the assumption typically made in IRL): H can _teach_ R what the reward "&amp;"is. In addition, R does not simply passively listen and then act, but interleaves learning and acting, and so must manage the explore-exploit tradeoff.
See also &lt;@Learning to Interactively Learn and Assist@&gt;, which is inspired by this paper and does a si"&amp;"milar thing with deep RL.")</f>
        <v>This paper provides a formalization of the three principles from the book, in the case where there is a single human H and a single robot R. H and R are trying to optimize the same reward function. Since both H and R are represented in the environment, it can be the _human's_ reward: that is, it is possible to reward the state where the human drinks coffee, without also rewarding the state where the robot drinks coffee. This corresponds to the first principle: that machines should optimize _our_ objectives. The second principle, that machines should initially be uncertain about our objectives, is incorporated by assuming that _only H knows the reward_, requiring R to maintain a belief over the reward. Finally, for the third principle, R needs to get information about the reward from H's behavior, and so R assumes that H will choose actions that best optimize the reward (taking into account the fact that R doesn't know the reward).
This defines a two-player game, originally called a CIRL game but now called an _assistance game_. We can compute optimal joint strategies for H and R. Since this is an _interactive_ process, H can do better than just acting optimally as if R did not exist (the assumption typically made in IRL): H can _teach_ R what the reward is. In addition, R does not simply passively listen and then act, but interleaves learning and acting, and so must manage the explore-exploit tradeoff.
See also &lt;@Learning to Interactively Learn and Assist@&gt;, which is inspired by this paper and does a similar thing with deep RL.</v>
      </c>
      <c r="M834" s="3" t="str">
        <f>IFERROR(__xludf.DUMMYFUNCTION("""COMPUTED_VALUE"""),"BAIR blog post: Cooperatively Learning Human Values")</f>
        <v>BAIR blog post: Cooperatively Learning Human Values</v>
      </c>
    </row>
    <row r="835">
      <c r="A835" t="str">
        <f>IFERROR(__xludf.DUMMYFUNCTION("""COMPUTED_VALUE"""),"Learning human intent")</f>
        <v>Learning human intent</v>
      </c>
      <c r="B835" t="str">
        <f>IFERROR(__xludf.DUMMYFUNCTION("""COMPUTED_VALUE"""),"Highlight")</f>
        <v>Highlight</v>
      </c>
      <c r="C835" s="3" t="str">
        <f>IFERROR(__xludf.DUMMYFUNCTION("""COMPUTED_VALUE"""),"The Off-Switch Game")</f>
        <v>The Off-Switch Game</v>
      </c>
      <c r="D835" t="str">
        <f>IFERROR(__xludf.DUMMYFUNCTION("""COMPUTED_VALUE"""),"Dylan Hadfield-Menell, Anca Dragan, Pieter Abbeel, Stuart Russell")</f>
        <v>Dylan Hadfield-Menell, Anca Dragan, Pieter Abbeel, Stuart Russell</v>
      </c>
      <c r="E835" t="str">
        <f>IFERROR(__xludf.DUMMYFUNCTION("""COMPUTED_VALUE"""),"IJCAI 2017")</f>
        <v>IJCAI 2017</v>
      </c>
      <c r="F835">
        <f>IFERROR(__xludf.DUMMYFUNCTION("""COMPUTED_VALUE"""),2017.0)</f>
        <v>2017</v>
      </c>
      <c r="H835" s="3" t="str">
        <f>IFERROR(__xludf.DUMMYFUNCTION("""COMPUTED_VALUE"""),"AN #69")</f>
        <v>AN #69</v>
      </c>
      <c r="I835" t="str">
        <f>IFERROR(__xludf.DUMMYFUNCTION("""COMPUTED_VALUE"""),"Rohin")</f>
        <v>Rohin</v>
      </c>
      <c r="J835" t="str">
        <f>IFERROR(__xludf.DUMMYFUNCTION("""COMPUTED_VALUE"""),"This paper studies theoretically the impact of uncertainty over the reward on R's incentives around potential off switches. It proposes the simplest model that the authors expect to lead to generalizable results. R and H are in an assistance game, in whic"&amp;"h R goes first. R may either take an action a, getting utility u, or shut itself down, getting utility 0. In either case, the game ends immediately. Alternatively, R can choose to wait, in which case H can either shut down R, getting utility 0, or allow R"&amp;" to go ahead with action a, getting utility u.
If H is perfectly rational, then waiting is always an optimal action for R, since H will ensure that the team gets max(u, 0) utility. There can be other optimal actions: if R is sure that u &gt;= 0, then taking"&amp;" action a is also optimal, and similarly if R is sure that u &lt;= 0, then shutting down is also optimal. However, if H is not rational, and sometimes fails to take the utility-maximizing action (in a way R can't predict), then things get murkier. If R is su"&amp;"re about the value of u, then it is never optimal to wait, better to just take the action a (if u &gt;= 0) or shut down (if u &lt; 0) rather than let H screw it up. If R is pretty confident that u is positive, it may still decide to take action a, rather than r"&amp;"isk that H makes the wrong decision. However, if R is very uncertain about the sign of u, then waiting becomes optimal again. In general, more uncertainty over the reward leads to more deferential behavior (allowing H to shut it off), but at a cost: R is "&amp;"much less able to help H when it is very uncertain about the reward.")</f>
        <v>This paper studies theoretically the impact of uncertainty over the reward on R's incentives around potential off switches. It proposes the simplest model that the authors expect to lead to generalizable results. R and H are in an assistance game, in which R goes first. R may either take an action a, getting utility u, or shut itself down, getting utility 0. In either case, the game ends immediately. Alternatively, R can choose to wait, in which case H can either shut down R, getting utility 0, or allow R to go ahead with action a, getting utility u.
If H is perfectly rational, then waiting is always an optimal action for R, since H will ensure that the team gets max(u, 0) utility. There can be other optimal actions: if R is sure that u &gt;= 0, then taking action a is also optimal, and similarly if R is sure that u &lt;= 0, then shutting down is also optimal. However, if H is not rational, and sometimes fails to take the utility-maximizing action (in a way R can't predict), then things get murkier. If R is sure about the value of u, then it is never optimal to wait, better to just take the action a (if u &gt;= 0) or shut down (if u &lt; 0) rather than let H screw it up. If R is pretty confident that u is positive, it may still decide to take action a, rather than risk that H makes the wrong decision. However, if R is very uncertain about the sign of u, then waiting becomes optimal again. In general, more uncertainty over the reward leads to more deferential behavior (allowing H to shut it off), but at a cost: R is much less able to help H when it is very uncertain about the reward.</v>
      </c>
      <c r="K835" t="str">
        <f>IFERROR(__xludf.DUMMYFUNCTION("""COMPUTED_VALUE"""),"While I agree with the broad thrust of this paper, I do have one nitpick: the game ends immediately after H chooses whether or not to shut off R. In reality, if R isn't shut off, the assistance game will continue, which changes the incentives. If R can be"&amp;" relatively confident in the utility of _some_ action (e.g. doing nothing), then it may be a better plan for it to disable the shutdown button, and then take that action and observe H in the mean time to learn the reward. Then, after it has learned more a"&amp;"bout the reward and figured out why H wanted to shut it down, it can act well and get utility (rather than being stuck with the zero utility from being shut down). While this doesn't seem great, it's not _obviously_ bad: R ends up doing nothing until it c"&amp;"an figure out how to actually be useful, hardly a catastrophic outcome. Really bad outcomes only come if R ends up becoming confident in the wrong reward due to some kind of misspecification, as suggested in [Incorrigibility in the CIRL Framework](http://"&amp;"arxiv.org/abs/1709.06275), summarized next.")</f>
        <v>While I agree with the broad thrust of this paper, I do have one nitpick: the game ends immediately after H chooses whether or not to shut off R. In reality, if R isn't shut off, the assistance game will continue, which changes the incentives. If R can be relatively confident in the utility of _some_ action (e.g. doing nothing), then it may be a better plan for it to disable the shutdown button, and then take that action and observe H in the mean time to learn the reward. Then, after it has learned more about the reward and figured out why H wanted to shut it down, it can act well and get utility (rather than being stuck with the zero utility from being shut down). While this doesn't seem great, it's not _obviously_ bad: R ends up doing nothing until it can figure out how to actually be useful, hardly a catastrophic outcome. Really bad outcomes only come if R ends up becoming confident in the wrong reward due to some kind of misspecification, as suggested in [Incorrigibility in the CIRL Framework](http://arxiv.org/abs/1709.06275), summarized next.</v>
      </c>
    </row>
    <row r="836">
      <c r="A836" t="str">
        <f>IFERROR(__xludf.DUMMYFUNCTION("""COMPUTED_VALUE"""),"Learning human intent")</f>
        <v>Learning human intent</v>
      </c>
      <c r="B836" t="str">
        <f>IFERROR(__xludf.DUMMYFUNCTION("""COMPUTED_VALUE"""),"Highlight")</f>
        <v>Highlight</v>
      </c>
      <c r="C836" s="3" t="str">
        <f>IFERROR(__xludf.DUMMYFUNCTION("""COMPUTED_VALUE"""),"Inverse Reward Design")</f>
        <v>Inverse Reward Design</v>
      </c>
      <c r="D836" t="str">
        <f>IFERROR(__xludf.DUMMYFUNCTION("""COMPUTED_VALUE"""),"Dylan Hadfield-Menell, Smitha Milli, Pieter Abbeel, Stuart Russell, Anca Dragan")</f>
        <v>Dylan Hadfield-Menell, Smitha Milli, Pieter Abbeel, Stuart Russell, Anca Dragan</v>
      </c>
      <c r="E836" t="str">
        <f>IFERROR(__xludf.DUMMYFUNCTION("""COMPUTED_VALUE"""),"NeurIPS 2017")</f>
        <v>NeurIPS 2017</v>
      </c>
      <c r="F836">
        <f>IFERROR(__xludf.DUMMYFUNCTION("""COMPUTED_VALUE"""),2017.0)</f>
        <v>2017</v>
      </c>
      <c r="H836" s="3" t="str">
        <f>IFERROR(__xludf.DUMMYFUNCTION("""COMPUTED_VALUE"""),"AN #69")</f>
        <v>AN #69</v>
      </c>
      <c r="I836" t="str">
        <f>IFERROR(__xludf.DUMMYFUNCTION("""COMPUTED_VALUE"""),"Rohin")</f>
        <v>Rohin</v>
      </c>
      <c r="J836" t="str">
        <f>IFERROR(__xludf.DUMMYFUNCTION("""COMPUTED_VALUE"""),"Usually, in RL, the reward function is treated as the _definition_ of optimal behavior, but this conflicts with the third principle, which says that human behavior is the ultimate source of information about human preferences. Nonetheless, reward function"&amp;"s clearly have some information about our preferences: how do we make it compatible with the third principle? We need to connect the reward function to human behavior somehow.
This paper proposes a simple answer: since reward designers usually make rewar"&amp;"d functions through a process of trial-and-error where they test their reward functions and see what they incentivize, the reward function _tells us about optimal behavior in the **training** environment(s)_. The authors formalize this using a Boltzmann r"&amp;"ationality model, where the reward designer is more likely to pick a _proxy reward_ when it gives higher _true reward_ in the _training environment_ (but it doesn't matter if the proxy reward becomes decoupled from the true reward in some test environment"&amp;"). With this assumption connecting the human behavior (i.e. the proxy reward function) to the human preferences (i.e. the true reward function), they can then perform Bayesian inference to get a posterior distribution over the _true_ reward function.
The"&amp;"y demonstrate that by using risk-averse planning with respect to this posterior distribution, the agent can avoid negative side effects that it has never seen before and has no information about. For example, if the agent was trained to collect gold in an"&amp;" environment with dirt and grass, and then it is tested in an environment with lava, the agent will know that even though the specified reward was indifferent about lava, this doesn't mean much, since _any_ weight on lava would have led to the same behavi"&amp;"or in the training environment. Due to risk aversion, it conservatively assumes that the lava is bad, and so successfully avoids it.
See also &lt;@Active Inverse Reward Design@&gt;, which builds on this work.")</f>
        <v>Usually, in RL, the reward function is treated as the _definition_ of optimal behavior, but this conflicts with the third principle, which says that human behavior is the ultimate source of information about human preferences. Nonetheless, reward functions clearly have some information about our preferences: how do we make it compatible with the third principle? We need to connect the reward function to human behavior somehow.
This paper proposes a simple answer: since reward designers usually make reward functions through a process of trial-and-error where they test their reward functions and see what they incentivize, the reward function _tells us about optimal behavior in the **training** environment(s)_. The authors formalize this using a Boltzmann rationality model, where the reward designer is more likely to pick a _proxy reward_ when it gives higher _true reward_ in the _training environment_ (but it doesn't matter if the proxy reward becomes decoupled from the true reward in some test environment). With this assumption connecting the human behavior (i.e. the proxy reward function) to the human preferences (i.e. the true reward function), they can then perform Bayesian inference to get a posterior distribution over the _true_ reward function.
They demonstrate that by using risk-averse planning with respect to this posterior distribution, the agent can avoid negative side effects that it has never seen before and has no information about. For example, if the agent was trained to collect gold in an environment with dirt and grass, and then it is tested in an environment with lava, the agent will know that even though the specified reward was indifferent about lava, this doesn't mean much, since _any_ weight on lava would have led to the same behavior in the training environment. Due to risk aversion, it conservatively assumes that the lava is bad, and so successfully avoids it.
See also &lt;@Active Inverse Reward Design@&gt;, which builds on this work.</v>
      </c>
      <c r="K836" t="str">
        <f>IFERROR(__xludf.DUMMYFUNCTION("""COMPUTED_VALUE"""),"I really like this paper as an example of how to apply the third principle. This was the paper that caused me to start thinking about how we should be thinking about the assumed vs. actual information content in things (here, the key insight is that RL ty"&amp;"pically assumes that the reward function conveys much more information than it actually does). That probably influenced the development of &lt;@Preferences Implicit in the State of the World@&gt;(@Learning Preferences by Looking at the World@), which is also an"&amp;" example of the third principle and this information-based viewpoint, as it argues that the state of the world is caused by human behavior and so contains information about human preferences.
It's worth noting that in this paper the lava avoidance is bot"&amp;"h due to the belief over the true reward, _and the risk aversion_. The agent would also avoid pots of gold in the test environment if it never saw it in the training environment. IRD only gives you the correct uncertainty over the true reward; it doesn't "&amp;"tell you how to use that uncertainty. You would still need safe exploration, or some other source of information, if you want to reduce the uncertainty.")</f>
        <v>I really like this paper as an example of how to apply the third principle. This was the paper that caused me to start thinking about how we should be thinking about the assumed vs. actual information content in things (here, the key insight is that RL typically assumes that the reward function conveys much more information than it actually does). That probably influenced the development of &lt;@Preferences Implicit in the State of the World@&gt;(@Learning Preferences by Looking at the World@), which is also an example of the third principle and this information-based viewpoint, as it argues that the state of the world is caused by human behavior and so contains information about human preferences.
It's worth noting that in this paper the lava avoidance is both due to the belief over the true reward, _and the risk aversion_. The agent would also avoid pots of gold in the test environment if it never saw it in the training environment. IRD only gives you the correct uncertainty over the true reward; it doesn't tell you how to use that uncertainty. You would still need safe exploration, or some other source of information, if you want to reduce the uncertainty.</v>
      </c>
    </row>
    <row r="837">
      <c r="A837" t="str">
        <f>IFERROR(__xludf.DUMMYFUNCTION("""COMPUTED_VALUE"""),"Learning human intent")</f>
        <v>Learning human intent</v>
      </c>
      <c r="B837" t="str">
        <f>IFERROR(__xludf.DUMMYFUNCTION("""COMPUTED_VALUE"""),"Highlight")</f>
        <v>Highlight</v>
      </c>
      <c r="C837" s="3" t="str">
        <f>IFERROR(__xludf.DUMMYFUNCTION("""COMPUTED_VALUE"""),"Learning to Interactively Learn and Assist")</f>
        <v>Learning to Interactively Learn and Assist</v>
      </c>
      <c r="D837" t="str">
        <f>IFERROR(__xludf.DUMMYFUNCTION("""COMPUTED_VALUE"""),"Mark Woodward, Chelsea Finn, Karol Hausman")</f>
        <v>Mark Woodward, Chelsea Finn, Karol Hausman</v>
      </c>
      <c r="E837" t="str">
        <f>IFERROR(__xludf.DUMMYFUNCTION("""COMPUTED_VALUE"""),"arXiv")</f>
        <v>arXiv</v>
      </c>
      <c r="F837">
        <f>IFERROR(__xludf.DUMMYFUNCTION("""COMPUTED_VALUE"""),2019.0)</f>
        <v>2019</v>
      </c>
      <c r="H837" s="3" t="str">
        <f>IFERROR(__xludf.DUMMYFUNCTION("""COMPUTED_VALUE"""),"AN #64")</f>
        <v>AN #64</v>
      </c>
      <c r="I837" t="str">
        <f>IFERROR(__xludf.DUMMYFUNCTION("""COMPUTED_VALUE"""),"Zachary Robertson")</f>
        <v>Zachary Robertson</v>
      </c>
      <c r="J837" t="str">
        <f>IFERROR(__xludf.DUMMYFUNCTION("""COMPUTED_VALUE"""),"[Cooperative Inverse Reinforcement Learning](https://arxiv.org/abs/1606.03137) proposed a model in which an AI assistant would help a human principal, where only the principal knows the task reward. This paper explores this idea in the context of deep rei"&amp;"nforcement learning. In their grid-world environment, two agents move around and pick up lemons or plums. The principal is penalized for moving, but is the only one who knows whether plums or lemons should be picked up. The authors hypothesize that simply"&amp;" by jointly training the two agents to maximize rewards, they will automatically learn to interact in order for the assistant to learn the task, rather than requiring an explicit mechanism like comparisons or demonstrations.
Recurrent Q-networks are used"&amp;" for the agents, which are then trained via deep Q-learning. The authors run several experiments that show emergent interaction. In the first experiment, when the principal is penalized for moving it learns to demonstrate the task to the assistant, and th"&amp;"en let the assistant finish the job. In the second experiment, when the assistant has a restricted field of view, it learns to follow the principal until it can infer whether the principal wants plums or lemons. In the third, they tell the assistant the t"&amp;"ask 50% of the time, and so the principal is initially unsure whether the agent needs any direction (and due to the motion cost, the principal would rather not do anything). When the agent knows the task, it performs it. When the agent doesn't know the ta"&amp;"sk, it moves closer to the principal, in effect ""asking"" what the reward is, and the principal moves until it can see the object, and then ""answers"" by either moving towards the object (if it should be collected) or doing nothing (if not). Finally, th"&amp;"e authors run an experiment using pixels as input. While they had to switch to dueling DQNs instead of vanilla DQNs, they show that the joint reward is competitive with the grid approach. They also run an experiment with human principals and show that the"&amp;" human/assistant pair outperforms the solo-human setup.")</f>
        <v>[Cooperative Inverse Reinforcement Learning](https://arxiv.org/abs/1606.03137) proposed a model in which an AI assistant would help a human principal, where only the principal knows the task reward. This paper explores this idea in the context of deep reinforcement learning. In their grid-world environment, two agents move around and pick up lemons or plums. The principal is penalized for moving, but is the only one who knows whether plums or lemons should be picked up. The authors hypothesize that simply by jointly training the two agents to maximize rewards, they will automatically learn to interact in order for the assistant to learn the task, rather than requiring an explicit mechanism like comparisons or demonstrations.
Recurrent Q-networks are used for the agents, which are then trained via deep Q-learning. The authors run several experiments that show emergent interaction. In the first experiment, when the principal is penalized for moving it learns to demonstrate the task to the assistant, and then let the assistant finish the job. In the second experiment, when the assistant has a restricted field of view, it learns to follow the principal until it can infer whether the principal wants plums or lemons. In the third, they tell the assistant the task 50% of the time, and so the principal is initially unsure whether the agent needs any direction (and due to the motion cost, the principal would rather not do anything). When the agent knows the task, it performs it. When the agent doesn't know the task, it moves closer to the principal, in effect "asking" what the reward is, and the principal moves until it can see the object, and then "answers" by either moving towards the object (if it should be collected) or doing nothing (if not). Finally, the authors run an experiment using pixels as input. While they had to switch to dueling DQNs instead of vanilla DQNs, they show that the joint reward is competitive with the grid approach. They also run an experiment with human principals and show that the human/assistant pair outperforms the solo-human setup.</v>
      </c>
      <c r="K837" t="str">
        <f>IFERROR(__xludf.DUMMYFUNCTION("""COMPUTED_VALUE"""),"Overall, I found the idea expressed in this paper to be well-articulated. While I think that the grid-world environment is a bit simplistic, their results are interesting. Being able to learn intent in an online manner is an important problem to solve if "&amp;"we’re interested in robust collaboration between humans and autonomous agents. However, the authors point out that training on pixel input fails in the majority of cases, 64% of the time, which raises concerns about how well the method would generalize to"&amp;" non-trivial environments.
**Rohin's opinion:** I'm excited that the ideas from [CIRL](https://arxiv.org/abs/1606.03137) are making their way to deep RL. Ultimately I expect we'll want an agent that takes all of its sensory data as evidence about ""what "&amp;"the human wants"", rather than relying on a special reward channel, or a special type of data called ""comparisons"" or ""demonstrations"", and this work takes that sort of approach.
For these simple environments, an agent trained to perform well with an"&amp;"other artificial agent will generalize reasonably well to real humans, because there's only a few reasonable strategies for the principal to take. However, with more complex environments, when there are many ways to interact, we can't expect such generali"&amp;"zation. (I'll have a paper and blog post coming out soon about this phenomenon.) ")</f>
        <v>Overall, I found the idea expressed in this paper to be well-articulated. While I think that the grid-world environment is a bit simplistic, their results are interesting. Being able to learn intent in an online manner is an important problem to solve if we’re interested in robust collaboration between humans and autonomous agents. However, the authors point out that training on pixel input fails in the majority of cases, 64% of the time, which raises concerns about how well the method would generalize to non-trivial environments.
**Rohin's opinion:** I'm excited that the ideas from [CIRL](https://arxiv.org/abs/1606.03137) are making their way to deep RL. Ultimately I expect we'll want an agent that takes all of its sensory data as evidence about "what the human wants", rather than relying on a special reward channel, or a special type of data called "comparisons" or "demonstrations", and this work takes that sort of approach.
For these simple environments, an agent trained to perform well with another artificial agent will generalize reasonably well to real humans, because there's only a few reasonable strategies for the principal to take. However, with more complex environments, when there are many ways to interact, we can't expect such generalization. (I'll have a paper and blog post coming out soon about this phenomenon.) </v>
      </c>
    </row>
    <row r="838">
      <c r="A838" t="str">
        <f>IFERROR(__xludf.DUMMYFUNCTION("""COMPUTED_VALUE"""),"Learning human intent")</f>
        <v>Learning human intent</v>
      </c>
      <c r="B838" t="str">
        <f>IFERROR(__xludf.DUMMYFUNCTION("""COMPUTED_VALUE"""),"Highlight")</f>
        <v>Highlight</v>
      </c>
      <c r="C838" s="3" t="str">
        <f>IFERROR(__xludf.DUMMYFUNCTION("""COMPUTED_VALUE"""),"Why Build an Assistant in Minecraft?")</f>
        <v>Why Build an Assistant in Minecraft?</v>
      </c>
      <c r="D838" t="str">
        <f>IFERROR(__xludf.DUMMYFUNCTION("""COMPUTED_VALUE"""),"Arthur Szlam, Jonathan Gray, Kavya Srinet, Yacine Jernite, Armand Joulin, Gabriel Synnaeve, Douwe Kiela, Haonan Yu, Zhuoyuan Chen, Siddharth Goyal, Demi Guo, Danielle Rothermel, C. Lawrence Zitnick, Jason Weston")</f>
        <v>Arthur Szlam, Jonathan Gray, Kavya Srinet, Yacine Jernite, Armand Joulin, Gabriel Synnaeve, Douwe Kiela, Haonan Yu, Zhuoyuan Chen, Siddharth Goyal, Demi Guo, Danielle Rothermel, C. Lawrence Zitnick, Jason Weston</v>
      </c>
      <c r="E838" t="str">
        <f>IFERROR(__xludf.DUMMYFUNCTION("""COMPUTED_VALUE"""),"FAIR Website")</f>
        <v>FAIR Website</v>
      </c>
      <c r="F838">
        <f>IFERROR(__xludf.DUMMYFUNCTION("""COMPUTED_VALUE"""),2019.0)</f>
        <v>2019</v>
      </c>
      <c r="H838" s="3" t="str">
        <f>IFERROR(__xludf.DUMMYFUNCTION("""COMPUTED_VALUE"""),"AN #60")</f>
        <v>AN #60</v>
      </c>
      <c r="I838" t="str">
        <f>IFERROR(__xludf.DUMMYFUNCTION("""COMPUTED_VALUE"""),"Rohin")</f>
        <v>Rohin</v>
      </c>
      <c r="J838" t="str">
        <f>IFERROR(__xludf.DUMMYFUNCTION("""COMPUTED_VALUE"""),"This position paper proposes a new challenge for AI research: building a bot that can provide assistance in [Minecraft](https://www.minecraft.net/en-us/) (creative mode). A [companion paper](https://research.fb.com/wp-content/uploads/2019/07/CraftAssist-A"&amp;"-Framework-for-Dialogue-enabled-Interactive-Agents-v3.pdf) presents an initial setup for such an agent.
The main goal here is to advance natural language understanding, intent inference and instruction following. As a result, there is no formal specifica"&amp;"tion like a reward function -- in their own words, ""the ultimate goal of the bot is to be a useful and fun assistant in a wide variety of tasks specified and evaluated by human players"". They chose Minecraft in particular partly because it has a very ri"&amp;"ch space of _tasks_, even though the _execution_ of any given task is relatively straightforward. They script many low level policies to automate this execution in order to make learning easier (for example, they have policies to navigate to a location or"&amp;" to build specified structures) and focus the learning challenge on figuring out what the user wants.
The current version of the bot takes dialogue from the user and uses a neural model to parse it into an _action dictionary_ that unambiguously specifies"&amp;" what the agent should do -- I think this neural model is the main thing to be learned. There are a bunch of details on how the rest of the modules work as well. They have also released three datasets: a semantic parsing dataset that associates instructio"&amp;"ns with action dictionaries, a house dataset that has trajectories where a human builds a house, and a semantic segmentation dataset that labels various parts of houses.")</f>
        <v>This position paper proposes a new challenge for AI research: building a bot that can provide assistance in [Minecraft](https://www.minecraft.net/en-us/) (creative mode). A [companion paper](https://research.fb.com/wp-content/uploads/2019/07/CraftAssist-A-Framework-for-Dialogue-enabled-Interactive-Agents-v3.pdf) presents an initial setup for such an agent.
The main goal here is to advance natural language understanding, intent inference and instruction following. As a result, there is no formal specification like a reward function -- in their own words, "the ultimate goal of the bot is to be a useful and fun assistant in a wide variety of tasks specified and evaluated by human players". They chose Minecraft in particular partly because it has a very rich space of _tasks_, even though the _execution_ of any given task is relatively straightforward. They script many low level policies to automate this execution in order to make learning easier (for example, they have policies to navigate to a location or to build specified structures) and focus the learning challenge on figuring out what the user wants.
The current version of the bot takes dialogue from the user and uses a neural model to parse it into an _action dictionary_ that unambiguously specifies what the agent should do -- I think this neural model is the main thing to be learned. There are a bunch of details on how the rest of the modules work as well. They have also released three datasets: a semantic parsing dataset that associates instructions with action dictionaries, a house dataset that has trajectories where a human builds a house, and a semantic segmentation dataset that labels various parts of houses.</v>
      </c>
      <c r="K838" t="str">
        <f>IFERROR(__xludf.DUMMYFUNCTION("""COMPUTED_VALUE"""),"I'm really excited to see a project that is very directly aimed at inferring end user intent in a complex environment. This seems like a great direction for the field to move towards. I think Minecraft would also be great as a test bed for the setting in "&amp;"which _researchers or engineers_ (as opposed to end users) are trying to get an agent to do something: we can assume more expertise and knowledge here. Ideally, this would allow us to solve more complex tasks than can be accomplished with natural language"&amp;" from end users. I personally plan to do work with Minecraft along these lines.
While this project does need to infer intent, it probably won't require the sort of pragmatic understanding shown by e.g. [Cooperative IRL](https://arxiv.org/abs/1606.03137)."&amp;" Even understanding what the human is literally asking for in Minecraft is currently beyond our capabilities.")</f>
        <v>I'm really excited to see a project that is very directly aimed at inferring end user intent in a complex environment. This seems like a great direction for the field to move towards. I think Minecraft would also be great as a test bed for the setting in which _researchers or engineers_ (as opposed to end users) are trying to get an agent to do something: we can assume more expertise and knowledge here. Ideally, this would allow us to solve more complex tasks than can be accomplished with natural language from end users. I personally plan to do work with Minecraft along these lines.
While this project does need to infer intent, it probably won't require the sort of pragmatic understanding shown by e.g. [Cooperative IRL](https://arxiv.org/abs/1606.03137). Even understanding what the human is literally asking for in Minecraft is currently beyond our capabilities.</v>
      </c>
      <c r="M838" s="3" t="str">
        <f>IFERROR(__xludf.DUMMYFUNCTION("""COMPUTED_VALUE"""),"CraftAssist: A Framework for Dialogue-enabled Interactive Agents")</f>
        <v>CraftAssist: A Framework for Dialogue-enabled Interactive Agents</v>
      </c>
    </row>
    <row r="839">
      <c r="A839" t="str">
        <f>IFERROR(__xludf.DUMMYFUNCTION("""COMPUTED_VALUE"""),"Learning human intent")</f>
        <v>Learning human intent</v>
      </c>
      <c r="B839" t="str">
        <f>IFERROR(__xludf.DUMMYFUNCTION("""COMPUTED_VALUE"""),"Highlight")</f>
        <v>Highlight</v>
      </c>
      <c r="C839" s="3" t="str">
        <f>IFERROR(__xludf.DUMMYFUNCTION("""COMPUTED_VALUE"""),"Thoughts on Human Models")</f>
        <v>Thoughts on Human Models</v>
      </c>
      <c r="D839" t="str">
        <f>IFERROR(__xludf.DUMMYFUNCTION("""COMPUTED_VALUE"""),"Ramana Kumar and Scott Garrabrant")</f>
        <v>Ramana Kumar and Scott Garrabrant</v>
      </c>
      <c r="E839" t="str">
        <f>IFERROR(__xludf.DUMMYFUNCTION("""COMPUTED_VALUE"""),"Alignment Forum")</f>
        <v>Alignment Forum</v>
      </c>
      <c r="F839">
        <f>IFERROR(__xludf.DUMMYFUNCTION("""COMPUTED_VALUE"""),2019.0)</f>
        <v>2019</v>
      </c>
      <c r="H839" s="3" t="str">
        <f>IFERROR(__xludf.DUMMYFUNCTION("""COMPUTED_VALUE"""),"AN #52")</f>
        <v>AN #52</v>
      </c>
      <c r="I839" t="str">
        <f>IFERROR(__xludf.DUMMYFUNCTION("""COMPUTED_VALUE"""),"Rohin")</f>
        <v>Rohin</v>
      </c>
      <c r="J839" t="str">
        <f>IFERROR(__xludf.DUMMYFUNCTION("""COMPUTED_VALUE"""),"Many approaches to AI safety involve modeling humans in some way, for example in order to correctly interpret their feedback. However, there are significant disadvantages to human modeling. First and most importantly, if we have AI systems do useful thing"&amp;"s _without_ modeling humans, then we can use human approval as a ""test set"": we can check whether the AI's behavior is something we approve of, and this is an _independent_ evaluation of the AI system. However, if the AI system had a human model, then i"&amp;"t may have optimized its behavior for human approval, and so we cannot use approval as a ""test set"". Second, if our AI system has a catastrophic bug, it seems better if it doesn't have any human models. An AI system without human models will at worst op"&amp;"timize for some unrelated goal like paperclips, which at worst leads to it treating humans as obstacles and causing extinction. However, an AI system with human models with a catastrophic bug might optimize for human suffering, or having humans respond to"&amp;" email all day, etc. Thirdly, an AI system with human models might be simulating conscious beings that can suffer. Fourthly, since humans are agent-like, an AI system that models humans is likely to produce a subsystem that is agent-like and so dangerous."&amp;"
The authors then discuss why it might be hard to avoid human models. Most notably, it is hard to see how to use a powerful AI system that avoids human models to produce a better future. In particular, human models could be particularly useful for interp"&amp;"reting specifications (in order to do what humans mean, as opposed to what we literally say) and for achieving performance given a specification (e.g. if we want to replicate aspects of human cognition). Another issue is that it is hard to avoid human mod"&amp;"eling, since even ""independent"" tasks have some amount of information about human motivations in selecting that task.
Nevertheless, the authors would like to see more work on engineering-focused approaches to AI safety without human models, especially "&amp;"since this area is neglected, with very little such work currently. While MIRI does work on AI safety without human models, this is from a very theoretical perspective. In addition to technical work, we could also promote certain types of AI research that"&amp;" is less likely to develop human models ""by default"" (e.g. training AI systems in procedurally generated simulations, rather than on human-generated text and images).")</f>
        <v>Many approaches to AI safety involve modeling humans in some way, for example in order to correctly interpret their feedback. However, there are significant disadvantages to human modeling. First and most importantly, if we have AI systems do useful things _without_ modeling humans, then we can use human approval as a "test set": we can check whether the AI's behavior is something we approve of, and this is an _independent_ evaluation of the AI system. However, if the AI system had a human model, then it may have optimized its behavior for human approval, and so we cannot use approval as a "test set". Second, if our AI system has a catastrophic bug, it seems better if it doesn't have any human models. An AI system without human models will at worst optimize for some unrelated goal like paperclips, which at worst leads to it treating humans as obstacles and causing extinction. However, an AI system with human models with a catastrophic bug might optimize for human suffering, or having humans respond to email all day, etc. Thirdly, an AI system with human models might be simulating conscious beings that can suffer. Fourthly, since humans are agent-like, an AI system that models humans is likely to produce a subsystem that is agent-like and so dangerous.
The authors then discuss why it might be hard to avoid human models. Most notably, it is hard to see how to use a powerful AI system that avoids human models to produce a better future. In particular, human models could be particularly useful for interpreting specifications (in order to do what humans mean, as opposed to what we literally say) and for achieving performance given a specification (e.g. if we want to replicate aspects of human cognition). Another issue is that it is hard to avoid human modeling, since even "independent" tasks have some amount of information about human motivations in selecting that task.
Nevertheless, the authors would like to see more work on engineering-focused approaches to AI safety without human models, especially since this area is neglected, with very little such work currently. While MIRI does work on AI safety without human models, this is from a very theoretical perspective. In addition to technical work, we could also promote certain types of AI research that is less likely to develop human models "by default" (e.g. training AI systems in procedurally generated simulations, rather than on human-generated text and images).</v>
      </c>
      <c r="K839" t="str">
        <f>IFERROR(__xludf.DUMMYFUNCTION("""COMPUTED_VALUE"""),"While I don't disagree with the reasoning, I disagree with the main thrust of this post. I wrote a long [comment](https://www.alignmentforum.org/posts/BKjJJH2cRpJcAnP7T/thoughts-on-human-models#8BAMtuZfBNqyF7Jng) about it; the TL;DR is that since humans w"&amp;"ant very specific behavior out of AI systems, the AI system needs to get a lot of information from humans about what it should do, and if it understands all that information then it necessarily has a (maybe implicit) human model. In other words, if you re"&amp;"quire your AI system not to have human models, it will not be very useful, and people will use other techniques.")</f>
        <v>While I don't disagree with the reasoning, I disagree with the main thrust of this post. I wrote a long [comment](https://www.alignmentforum.org/posts/BKjJJH2cRpJcAnP7T/thoughts-on-human-models#8BAMtuZfBNqyF7Jng) about it; the TL;DR is that since humans want very specific behavior out of AI systems, the AI system needs to get a lot of information from humans about what it should do, and if it understands all that information then it necessarily has a (maybe implicit) human model. In other words, if you require your AI system not to have human models, it will not be very useful, and people will use other techniques.</v>
      </c>
    </row>
    <row r="840">
      <c r="A840" t="str">
        <f>IFERROR(__xludf.DUMMYFUNCTION("""COMPUTED_VALUE"""),"Learning human intent")</f>
        <v>Learning human intent</v>
      </c>
      <c r="B840" t="str">
        <f>IFERROR(__xludf.DUMMYFUNCTION("""COMPUTED_VALUE"""),"Highlight")</f>
        <v>Highlight</v>
      </c>
      <c r="C840" s="3" t="str">
        <f>IFERROR(__xludf.DUMMYFUNCTION("""COMPUTED_VALUE"""),"No Metrics Are Perfect: Adversarial Reward Learning for Visual Storytelling")</f>
        <v>No Metrics Are Perfect: Adversarial Reward Learning for Visual Storytelling</v>
      </c>
      <c r="D840" t="str">
        <f>IFERROR(__xludf.DUMMYFUNCTION("""COMPUTED_VALUE"""),"Xin Wang, Wenhu Chen, Yuan-Fang Wang, William Yang Wang")</f>
        <v>Xin Wang, Wenhu Chen, Yuan-Fang Wang, William Yang Wang</v>
      </c>
      <c r="E840" t="str">
        <f>IFERROR(__xludf.DUMMYFUNCTION("""COMPUTED_VALUE"""),"arXiv")</f>
        <v>arXiv</v>
      </c>
      <c r="F840">
        <f>IFERROR(__xludf.DUMMYFUNCTION("""COMPUTED_VALUE"""),2018.0)</f>
        <v>2018</v>
      </c>
      <c r="H840" s="3" t="str">
        <f>IFERROR(__xludf.DUMMYFUNCTION("""COMPUTED_VALUE"""),"AN #5")</f>
        <v>AN #5</v>
      </c>
      <c r="I840" t="str">
        <f>IFERROR(__xludf.DUMMYFUNCTION("""COMPUTED_VALUE"""),"Rohin")</f>
        <v>Rohin</v>
      </c>
      <c r="J840" t="str">
        <f>IFERROR(__xludf.DUMMYFUNCTION("""COMPUTED_VALUE"""),"This paper tackles visual story-telling, the task of generating a story that matches a sequence of photos. It proposes learning a reward function from the labeled dataset that can then be optimized with reinforcement learning, with the hope that the rewar"&amp;"d function is a good compression of what we want and so leads to more generalizable behavior. They show that the standard automated techniques for evaluating visual stories are not very good, and so they perform a Mechanical Turk study that shows very goo"&amp;"d results compared to prior work. MTurk workers are often unable to tell whether the stories were generated by their algorithm or a human!
How does it work? Their architecture has a policy network that creates the stories and a reward network that provid"&amp;"es the supervision, which are trained adversarially. We can think of the reward function as inducing a probability distribution over stories, where stories with higher reward are more probable. Then, the reward network acts as a discriminator, trying to m"&amp;"ake its implied probability distribution similar to the empirical data distribution and dissimilar to the policy network distribution, while the policy network acts as a generator, creating a policy that tries to match the implied probability distribution"&amp;" of the reward network. (This is equivalent to maximizing the expected reward from the reward network.)")</f>
        <v>This paper tackles visual story-telling, the task of generating a story that matches a sequence of photos. It proposes learning a reward function from the labeled dataset that can then be optimized with reinforcement learning, with the hope that the reward function is a good compression of what we want and so leads to more generalizable behavior. They show that the standard automated techniques for evaluating visual stories are not very good, and so they perform a Mechanical Turk study that shows very good results compared to prior work. MTurk workers are often unable to tell whether the stories were generated by their algorithm or a human!
How does it work? Their architecture has a policy network that creates the stories and a reward network that provides the supervision, which are trained adversarially. We can think of the reward function as inducing a probability distribution over stories, where stories with higher reward are more probable. Then, the reward network acts as a discriminator, trying to make its implied probability distribution similar to the empirical data distribution and dissimilar to the policy network distribution, while the policy network acts as a generator, creating a policy that tries to match the implied probability distribution of the reward network. (This is equivalent to maximizing the expected reward from the reward network.)</v>
      </c>
      <c r="K840" t="str">
        <f>IFERROR(__xludf.DUMMYFUNCTION("""COMPUTED_VALUE"""),"It's exciting to see reward learning applied to a concrete problem that researchers are working on, and having it lead to an actually better system. This work uses reward learning in a context where we are trying to mimic human actions (sentence generatio"&amp;"n in this case) -- eventually we will want to be able to deal with different action spaces than humans (as in robotics) and aiming to reach superhuman performance.")</f>
        <v>It's exciting to see reward learning applied to a concrete problem that researchers are working on, and having it lead to an actually better system. This work uses reward learning in a context where we are trying to mimic human actions (sentence generation in this case) -- eventually we will want to be able to deal with different action spaces than humans (as in robotics) and aiming to reach superhuman performance.</v>
      </c>
    </row>
    <row r="841">
      <c r="A841" t="str">
        <f>IFERROR(__xludf.DUMMYFUNCTION("""COMPUTED_VALUE"""),"Learning human intent")</f>
        <v>Learning human intent</v>
      </c>
      <c r="B841" t="str">
        <f>IFERROR(__xludf.DUMMYFUNCTION("""COMPUTED_VALUE"""),"Highlight")</f>
        <v>Highlight</v>
      </c>
      <c r="C841" s="3" t="str">
        <f>IFERROR(__xludf.DUMMYFUNCTION("""COMPUTED_VALUE"""),"Learning Preferences by Looking at the World")</f>
        <v>Learning Preferences by Looking at the World</v>
      </c>
      <c r="D841" t="str">
        <f>IFERROR(__xludf.DUMMYFUNCTION("""COMPUTED_VALUE"""),"Rohin Shah and Dmitrii Krasheninnikov")</f>
        <v>Rohin Shah and Dmitrii Krasheninnikov</v>
      </c>
      <c r="E841" t="str">
        <f>IFERROR(__xludf.DUMMYFUNCTION("""COMPUTED_VALUE"""),"BAIR Blog")</f>
        <v>BAIR Blog</v>
      </c>
      <c r="F841">
        <f>IFERROR(__xludf.DUMMYFUNCTION("""COMPUTED_VALUE"""),2019.0)</f>
        <v>2019</v>
      </c>
      <c r="H841" s="3" t="str">
        <f>IFERROR(__xludf.DUMMYFUNCTION("""COMPUTED_VALUE"""),"AN #45")</f>
        <v>AN #45</v>
      </c>
      <c r="I841" t="str">
        <f>IFERROR(__xludf.DUMMYFUNCTION("""COMPUTED_VALUE"""),"Rohin")</f>
        <v>Rohin</v>
      </c>
      <c r="J841" t="str">
        <f>IFERROR(__xludf.DUMMYFUNCTION("""COMPUTED_VALUE"""),"The key idea with this project of mine is that the state of the world is already optimized for our preferences, and so simply by looking at the world we can infer these preferences. Consider the case where there is a vase standing upright on the table. Th"&amp;"is is an unstable equilibrium -- it's very easy to knock over the vase so it is lying sideways, or is completely broken. The fact that this hasn't happened yet suggests that we care about vases being upright and intact; otherwise at some point we probably"&amp;" would have let it fall.
Since we have optimized the world for our preferences, the natural approach is to model this process, and then invert it to get the preferences. You could imagine that we could consider all possible reward functions, and put prob"&amp;"ability mass on them in proportion to how likely they make the current world state if a human optimized them. Basically, we are simulating the past in order to figure out what must have happened and why. With the vase example, we would notice that in any "&amp;"reward function where humans wanted to break vases, or were indifferent to broken vases, we would expect the current state to contain broken vases. Since we don't observe that, it must be the case that we care about keeping vases intact.
Our algorithm, R"&amp;"eward Learning by Simulating the Past (RLSP), takes this intuition and applies it in the framework of [Maximum Causal Entropy IRL](http://www.cs.cmu.edu/~bziebart/publications/maximum-causal-entropy.pdf) ([AN #12](https://mailchi.mp/bcb2c6f1d507/alignment"&amp;"-newsletter-12)), where you assume that the human was acting over T timesteps to produce the state that you observe. We then show a few gridworld environments in which applying RLSP can fix a misspecified reward function.")</f>
        <v>The key idea with this project of mine is that the state of the world is already optimized for our preferences, and so simply by looking at the world we can infer these preferences. Consider the case where there is a vase standing upright on the table. This is an unstable equilibrium -- it's very easy to knock over the vase so it is lying sideways, or is completely broken. The fact that this hasn't happened yet suggests that we care about vases being upright and intact; otherwise at some point we probably would have let it fall.
Since we have optimized the world for our preferences, the natural approach is to model this process, and then invert it to get the preferences. You could imagine that we could consider all possible reward functions, and put probability mass on them in proportion to how likely they make the current world state if a human optimized them. Basically, we are simulating the past in order to figure out what must have happened and why. With the vase example, we would notice that in any reward function where humans wanted to break vases, or were indifferent to broken vases, we would expect the current state to contain broken vases. Since we don't observe that, it must be the case that we care about keeping vases intact.
Our algorithm, Reward Learning by Simulating the Past (RLSP), takes this intuition and applies it in the framework of [Maximum Causal Entropy IRL](http://www.cs.cmu.edu/~bziebart/publications/maximum-causal-entropy.pdf) ([AN #12](https://mailchi.mp/bcb2c6f1d507/alignment-newsletter-12)), where you assume that the human was acting over T timesteps to produce the state that you observe. We then show a few gridworld environments in which applying RLSP can fix a misspecified reward function.</v>
      </c>
      <c r="K841" t="str">
        <f>IFERROR(__xludf.DUMMYFUNCTION("""COMPUTED_VALUE"""),"In addition to this blog post and the [paper](https://openreview.net/forum?id=rkevMnRqYQ), I also wrote a [post](https://www.alignmentforum.org/posts/7f6DNZhracD7RvxMr/learning-preferences-by-looking-at-the-world) on the Alignment Forum expressing opinion"&amp;"s about the work. There are too many disparate opinions to put in here, so I'd recommend reading the post itself. I guess one thing I'll mention is that to infer preferences with a single state, you definitely need a good dynamics model, and a good set of"&amp;" features. While this may seem difficult to get, it's worth noting that dynamics are empirical facts about the world, and features might be, and there is already lots of work on learning both dynamics and features.")</f>
        <v>In addition to this blog post and the [paper](https://openreview.net/forum?id=rkevMnRqYQ), I also wrote a [post](https://www.alignmentforum.org/posts/7f6DNZhracD7RvxMr/learning-preferences-by-looking-at-the-world) on the Alignment Forum expressing opinions about the work. There are too many disparate opinions to put in here, so I'd recommend reading the post itself. I guess one thing I'll mention is that to infer preferences with a single state, you definitely need a good dynamics model, and a good set of features. While this may seem difficult to get, it's worth noting that dynamics are empirical facts about the world, and features might be, and there is already lots of work on learning both dynamics and features.</v>
      </c>
      <c r="M841" s="3" t="str">
        <f>IFERROR(__xludf.DUMMYFUNCTION("""COMPUTED_VALUE"""),"Paper: Preferences Implicit in the State of the World")</f>
        <v>Paper: Preferences Implicit in the State of the World</v>
      </c>
    </row>
    <row r="842">
      <c r="A842" t="str">
        <f>IFERROR(__xludf.DUMMYFUNCTION("""COMPUTED_VALUE"""),"Learning human intent")</f>
        <v>Learning human intent</v>
      </c>
      <c r="B842" t="str">
        <f>IFERROR(__xludf.DUMMYFUNCTION("""COMPUTED_VALUE"""),"Highlight")</f>
        <v>Highlight</v>
      </c>
      <c r="C842" s="3" t="str">
        <f>IFERROR(__xludf.DUMMYFUNCTION("""COMPUTED_VALUE"""),"On the Utility of Model Learning in HRI")</f>
        <v>On the Utility of Model Learning in HRI</v>
      </c>
      <c r="D842" t="str">
        <f>IFERROR(__xludf.DUMMYFUNCTION("""COMPUTED_VALUE"""),"Rohan Choudhury, Gokul Swamy, Dylan Hadfield-Menell, Anca Dragan")</f>
        <v>Rohan Choudhury, Gokul Swamy, Dylan Hadfield-Menell, Anca Dragan</v>
      </c>
      <c r="E842" t="str">
        <f>IFERROR(__xludf.DUMMYFUNCTION("""COMPUTED_VALUE"""),"arXiv")</f>
        <v>arXiv</v>
      </c>
      <c r="F842">
        <f>IFERROR(__xludf.DUMMYFUNCTION("""COMPUTED_VALUE"""),2019.0)</f>
        <v>2019</v>
      </c>
      <c r="H842" s="3" t="str">
        <f>IFERROR(__xludf.DUMMYFUNCTION("""COMPUTED_VALUE"""),"AN #42")</f>
        <v>AN #42</v>
      </c>
      <c r="I842" t="str">
        <f>IFERROR(__xludf.DUMMYFUNCTION("""COMPUTED_VALUE"""),"Rohin")</f>
        <v>Rohin</v>
      </c>
      <c r="J842" t="str">
        <f>IFERROR(__xludf.DUMMYFUNCTION("""COMPUTED_VALUE"""),"In human-robot interaction (HRI), we often require a model of the human that we can plan against. Should we use a specific model of the human (a so-called ""theory of mind"", where the human is approximately optimizing some unknown reward), or should we s"&amp;"imply learn a model of the human from data? This paper presents empirical evidence comparing three algorithms in an autonomous driving domain, where a robot must drive alongside a human.
The first algorithm, called Theory of Mind based learning, models t"&amp;"he human using a theory of mind, infers a human reward function, and uses that to predict what the human will do, and plans around those actions. The second algorithm, called Black box model-based learning, trains a neural network to directly predict the "&amp;"actions the human will take, and plans around those actions. The third algorithm, model-free learning, simply applies Proximal Policy Optimization (PPO), a deep RL algorithm, to directly predict what action the robot should take, given the current state.
"&amp;"
Quoting from the abstract, they ""find that there is a significant sample complexity advantage to theory of mind methods and that they are more robust to covariate shift, but that when enough interaction data is available, black box approaches eventually"&amp;" dominate"". They also find that when the ToM assumptions are significantly violated, then the black-box model-based algorithm will vastly surpass ToM. The model-free learning algorithm did not work at all, probably because it cannot take advantage of kno"&amp;"wledge of the dynamics of the system and so the learning problem is much harder.")</f>
        <v>In human-robot interaction (HRI), we often require a model of the human that we can plan against. Should we use a specific model of the human (a so-called "theory of mind", where the human is approximately optimizing some unknown reward), or should we simply learn a model of the human from data? This paper presents empirical evidence comparing three algorithms in an autonomous driving domain, where a robot must drive alongside a human.
The first algorithm, called Theory of Mind based learning, models the human using a theory of mind, infers a human reward function, and uses that to predict what the human will do, and plans around those actions. The second algorithm, called Black box model-based learning, trains a neural network to directly predict the actions the human will take, and plans around those actions. The third algorithm, model-free learning, simply applies Proximal Policy Optimization (PPO), a deep RL algorithm, to directly predict what action the robot should take, given the current state.
Quoting from the abstract, they "find that there is a significant sample complexity advantage to theory of mind methods and that they are more robust to covariate shift, but that when enough interaction data is available, black box approaches eventually dominate". They also find that when the ToM assumptions are significantly violated, then the black-box model-based algorithm will vastly surpass ToM. The model-free learning algorithm did not work at all, probably because it cannot take advantage of knowledge of the dynamics of the system and so the learning problem is much harder.</v>
      </c>
      <c r="K842" t="str">
        <f>IFERROR(__xludf.DUMMYFUNCTION("""COMPUTED_VALUE"""),"I'm always happy to see an experimental paper that tests how algorithms perform, I think we need more of these.
You might be tempted to think of this as evidence that in deep RL, a model-based method should outperform a model-free one. This isn't exactly"&amp;" right. The first ToM and black box model-based algorithms use an exact model of the dynamics of the environment modulo the human, that is, they can exactly predict the next state given the current state, the robot action, and the human action. The model-"&amp;"free algorithm must learn this from scratch, so it isn't an apples-to-apples comparison. (Typically in deep RL, both model-based and model-free algorithms have to learn the environment dynamics.) However, you _can_ think of the ToM as a model-based method"&amp;" and the Black-box model-based algorithm as a model-free algorithm, where both algorithms have to learn the _human model_ instead of the more traditional environment dynamics. With that analogy, you would conclude that model-based algorithms will be more "&amp;"sample efficient and more performant in low-data regimes, but will be outperformed by model-free algorithms with sufficient data, which agrees with my intuitions.
This kind of effect is a major reason for my position that the first powerful AI systems wi"&amp;"ll be modular (analogous to model-based systems), but that they will eventually be replaced by more integrated, end-to-end systems (analogous to model-free systems). Initially, we will be in a (relatively speaking) low-data regime, where modular systems e"&amp;"xcel, but over time there will be more data and compute and we will transition to regimes where end-to-end systems will solve the same tasks better (though we may then have modular systems for more difficult tasks).")</f>
        <v>I'm always happy to see an experimental paper that tests how algorithms perform, I think we need more of these.
You might be tempted to think of this as evidence that in deep RL, a model-based method should outperform a model-free one. This isn't exactly right. The first ToM and black box model-based algorithms use an exact model of the dynamics of the environment modulo the human, that is, they can exactly predict the next state given the current state, the robot action, and the human action. The model-free algorithm must learn this from scratch, so it isn't an apples-to-apples comparison. (Typically in deep RL, both model-based and model-free algorithms have to learn the environment dynamics.) However, you _can_ think of the ToM as a model-based method and the Black-box model-based algorithm as a model-free algorithm, where both algorithms have to learn the _human model_ instead of the more traditional environment dynamics. With that analogy, you would conclude that model-based algorithms will be more sample efficient and more performant in low-data regimes, but will be outperformed by model-free algorithms with sufficient data, which agrees with my intuitions.
This kind of effect is a major reason for my position that the first powerful AI systems will be modular (analogous to model-based systems), but that they will eventually be replaced by more integrated, end-to-end systems (analogous to model-free systems). Initially, we will be in a (relatively speaking) low-data regime, where modular systems excel, but over time there will be more data and compute and we will transition to regimes where end-to-end systems will solve the same tasks better (though we may then have modular systems for more difficult tasks).</v>
      </c>
    </row>
    <row r="843">
      <c r="A843" t="str">
        <f>IFERROR(__xludf.DUMMYFUNCTION("""COMPUTED_VALUE"""),"Learning human intent")</f>
        <v>Learning human intent</v>
      </c>
      <c r="B843" t="str">
        <f>IFERROR(__xludf.DUMMYFUNCTION("""COMPUTED_VALUE"""),"Highlight")</f>
        <v>Highlight</v>
      </c>
      <c r="C843" s="3" t="str">
        <f>IFERROR(__xludf.DUMMYFUNCTION("""COMPUTED_VALUE"""),"AI Alignment Podcast: Cooperative Inverse Reinforcement Learning")</f>
        <v>AI Alignment Podcast: Cooperative Inverse Reinforcement Learning</v>
      </c>
      <c r="D843" t="str">
        <f>IFERROR(__xludf.DUMMYFUNCTION("""COMPUTED_VALUE"""),"Lucas Perry and Dylan Hadfield-Menell")</f>
        <v>Lucas Perry and Dylan Hadfield-Menell</v>
      </c>
      <c r="E843" t="str">
        <f>IFERROR(__xludf.DUMMYFUNCTION("""COMPUTED_VALUE"""),"FLI Website")</f>
        <v>FLI Website</v>
      </c>
      <c r="F843">
        <f>IFERROR(__xludf.DUMMYFUNCTION("""COMPUTED_VALUE"""),2019.0)</f>
        <v>2019</v>
      </c>
      <c r="H843" s="3" t="str">
        <f>IFERROR(__xludf.DUMMYFUNCTION("""COMPUTED_VALUE"""),"AN #42")</f>
        <v>AN #42</v>
      </c>
      <c r="I843" t="str">
        <f>IFERROR(__xludf.DUMMYFUNCTION("""COMPUTED_VALUE"""),"Richard")</f>
        <v>Richard</v>
      </c>
      <c r="J843" t="str">
        <f>IFERROR(__xludf.DUMMYFUNCTION("""COMPUTED_VALUE"""),"Dylan puts forward his conception of Cooperative Inverse Reinforcement Learning as a definition of what it means for a human-AI system to be rational, given the information bottleneck between a human's preferences and an AI's observations. He notes that t"&amp;"here are some clear mismatches between this problem and reality, such as the CIRL assumption that humans have static preferences, and how fuzzy the abstraction of ""rational agents with utility functions"" becomes in the context of agents with bounded rat"&amp;"ionality. Nevertheless, he claims that this is a useful unifying framework for thinking about AI safety.
Dylan argues that the process by which a robot learns to accomplish tasks is best described not just as maximising an objective function but instead "&amp;"in a way which includes the system designer who selects and modifies the optimisation algorithms, hyperparameters, etc. In fact, he claims, it doesn't make sense to talk about how well a system is doing without talking about the way in which it was instru"&amp;"cted and the type of information it got. In CIRL, this is modeled via the combination of a ""teaching strategy"" and a ""learning strategy"". The former can take many forms: providing rankings of options, or demonstrations, or binary comparisons, etc. Dyl"&amp;"an also mentions an extension of this in which the teacher needs to learn their own values over time. This is useful for us because we don't yet understand the normative processes by which human societies come to moral judgements, or how to integrate mach"&amp;"ines into that process.")</f>
        <v>Dylan puts forward his conception of Cooperative Inverse Reinforcement Learning as a definition of what it means for a human-AI system to be rational, given the information bottleneck between a human's preferences and an AI's observations. He notes that there are some clear mismatches between this problem and reality, such as the CIRL assumption that humans have static preferences, and how fuzzy the abstraction of "rational agents with utility functions" becomes in the context of agents with bounded rationality. Nevertheless, he claims that this is a useful unifying framework for thinking about AI safety.
Dylan argues that the process by which a robot learns to accomplish tasks is best described not just as maximising an objective function but instead in a way which includes the system designer who selects and modifies the optimisation algorithms, hyperparameters, etc. In fact, he claims, it doesn't make sense to talk about how well a system is doing without talking about the way in which it was instructed and the type of information it got. In CIRL, this is modeled via the combination of a "teaching strategy" and a "learning strategy". The former can take many forms: providing rankings of options, or demonstrations, or binary comparisons, etc. Dylan also mentions an extension of this in which the teacher needs to learn their own values over time. This is useful for us because we don't yet understand the normative processes by which human societies come to moral judgements, or how to integrate machines into that process.</v>
      </c>
    </row>
    <row r="844">
      <c r="A844" t="str">
        <f>IFERROR(__xludf.DUMMYFUNCTION("""COMPUTED_VALUE"""),"Learning human intent")</f>
        <v>Learning human intent</v>
      </c>
      <c r="B844" t="str">
        <f>IFERROR(__xludf.DUMMYFUNCTION("""COMPUTED_VALUE"""),"Highlight")</f>
        <v>Highlight</v>
      </c>
      <c r="C844" s="3" t="str">
        <f>IFERROR(__xludf.DUMMYFUNCTION("""COMPUTED_VALUE"""),"Non-Consequentialist Cooperation?")</f>
        <v>Non-Consequentialist Cooperation?</v>
      </c>
      <c r="D844" t="str">
        <f>IFERROR(__xludf.DUMMYFUNCTION("""COMPUTED_VALUE"""),"Abram Demski")</f>
        <v>Abram Demski</v>
      </c>
      <c r="E844" t="str">
        <f>IFERROR(__xludf.DUMMYFUNCTION("""COMPUTED_VALUE"""),"Alignment Forum")</f>
        <v>Alignment Forum</v>
      </c>
      <c r="F844">
        <f>IFERROR(__xludf.DUMMYFUNCTION("""COMPUTED_VALUE"""),2019.0)</f>
        <v>2019</v>
      </c>
      <c r="H844" s="3" t="str">
        <f>IFERROR(__xludf.DUMMYFUNCTION("""COMPUTED_VALUE"""),"AN #41")</f>
        <v>AN #41</v>
      </c>
      <c r="I844" t="str">
        <f>IFERROR(__xludf.DUMMYFUNCTION("""COMPUTED_VALUE"""),"Rohin")</f>
        <v>Rohin</v>
      </c>
      <c r="J844" t="str">
        <f>IFERROR(__xludf.DUMMYFUNCTION("""COMPUTED_VALUE"""),"One possible way to build useful AI systems is to have them [try to help us](https://www.alignmentforum.org/posts/ZeE7EKHTFMBs8eMxn/clarifying-ai-alignment). Taking more of a libertarian stance, a robot could help us in an autonomy-centric way, which woul"&amp;"d only take actions if we give it our informed consent. We can't ask for explicit consent for every action, since there's no clear way to break down actions, and it would certainly be too onerous to give informed consent to every possible motor command. A"&amp;"s a result, our robots will need to infer when we have given consent. This increases the chances of misunderstanding, but we could try to have a high threshold, so that the robot asks us if it is even a little unsure about whether we have given consent.
"&amp;"If we want to precisely define consent, we'll need to solve some of the same problems that impact measures have to contend with. In particular, we would need to get consent for outcomes that the robot knows will happen as a result of its actions, but not "&amp;"ones that happen as a side effect. It's fine to give informed consent to the robot to buy bananas from a grocery store, even if that could cause a hurricane, as long as the robot doesn't _know_ that it would cause a hurricane. Another issue is that inferr"&amp;"ing consent requires you to confront the issue that humans can be irrational. A third issue is that we might prevent the robot from taking actions that would help us that we can't understand would help us -- consider trying to ask a dog for its informed c"&amp;"onsent to take it to the vet.")</f>
        <v>One possible way to build useful AI systems is to have them [try to help us](https://www.alignmentforum.org/posts/ZeE7EKHTFMBs8eMxn/clarifying-ai-alignment). Taking more of a libertarian stance, a robot could help us in an autonomy-centric way, which would only take actions if we give it our informed consent. We can't ask for explicit consent for every action, since there's no clear way to break down actions, and it would certainly be too onerous to give informed consent to every possible motor command. As a result, our robots will need to infer when we have given consent. This increases the chances of misunderstanding, but we could try to have a high threshold, so that the robot asks us if it is even a little unsure about whether we have given consent.
If we want to precisely define consent, we'll need to solve some of the same problems that impact measures have to contend with. In particular, we would need to get consent for outcomes that the robot knows will happen as a result of its actions, but not ones that happen as a side effect. It's fine to give informed consent to the robot to buy bananas from a grocery store, even if that could cause a hurricane, as long as the robot doesn't _know_ that it would cause a hurricane. Another issue is that inferring consent requires you to confront the issue that humans can be irrational. A third issue is that we might prevent the robot from taking actions that would help us that we can't understand would help us -- consider trying to ask a dog for its informed consent to take it to the vet.</v>
      </c>
      <c r="K844" t="str">
        <f>IFERROR(__xludf.DUMMYFUNCTION("""COMPUTED_VALUE"""),"This seems like an interesting idea for how to build an AI system in practice, along the same lines as corrigibility. We notice that value learning is not very robust: if you aren't very good at value learning, then you can get very bad behavior, and huma"&amp;"n values are sufficiently complex that you do need to be very capable in order to be sufficiently good at value learning. With (a particular kind of) [corrigibility](https://ai-alignment.com/corrigibility-3039e668638), we instead set the goal to be to mak"&amp;"e an AI system that is trying to help us, which seems more achievable even when the AI system is not very capable. Similarly, if we formalize or learn informed consent reasonably well (which seems easier to do since it is not as complex as ""human values"&amp;"""), then our AI systems will likely have good behavior (though they will probably not have the best possible behavior, since they are limited by having to respect informed consent).
However, this also feels different from corrigibility, in that it feels"&amp;" more like a limitation put on the AI system, while corrigibility seems more like a property of the AI's ""motivational system"". This might be fine, since the AI might just not be goal-directed. One other benefit of corrigibility is that if you are ""som"&amp;"ewhat"" corrigible, then you would like to become more corrigible, since that is what the human would prefer; informed-consent-AI doesn't seem to have an analogous benefit.")</f>
        <v>This seems like an interesting idea for how to build an AI system in practice, along the same lines as corrigibility. We notice that value learning is not very robust: if you aren't very good at value learning, then you can get very bad behavior, and human values are sufficiently complex that you do need to be very capable in order to be sufficiently good at value learning. With (a particular kind of) [corrigibility](https://ai-alignment.com/corrigibility-3039e668638), we instead set the goal to be to make an AI system that is trying to help us, which seems more achievable even when the AI system is not very capable. Similarly, if we formalize or learn informed consent reasonably well (which seems easier to do since it is not as complex as "human values"), then our AI systems will likely have good behavior (though they will probably not have the best possible behavior, since they are limited by having to respect informed consent).
However, this also feels different from corrigibility, in that it feels more like a limitation put on the AI system, while corrigibility seems more like a property of the AI's "motivational system". This might be fine, since the AI might just not be goal-directed. One other benefit of corrigibility is that if you are "somewhat" corrigible, then you would like to become more corrigible, since that is what the human would prefer; informed-consent-AI doesn't seem to have an analogous benefit.</v>
      </c>
    </row>
    <row r="845">
      <c r="A845" t="str">
        <f>IFERROR(__xludf.DUMMYFUNCTION("""COMPUTED_VALUE"""),"Learning human intent")</f>
        <v>Learning human intent</v>
      </c>
      <c r="B845" t="str">
        <f>IFERROR(__xludf.DUMMYFUNCTION("""COMPUTED_VALUE"""),"Highlight")</f>
        <v>Highlight</v>
      </c>
      <c r="C845" s="3" t="str">
        <f>IFERROR(__xludf.DUMMYFUNCTION("""COMPUTED_VALUE"""),"Why we need a *theory* of human values")</f>
        <v>Why we need a *theory* of human values</v>
      </c>
      <c r="D845" t="str">
        <f>IFERROR(__xludf.DUMMYFUNCTION("""COMPUTED_VALUE"""),"Stuart Armstrong")</f>
        <v>Stuart Armstrong</v>
      </c>
      <c r="E845" t="str">
        <f>IFERROR(__xludf.DUMMYFUNCTION("""COMPUTED_VALUE"""),"Alignment Forum")</f>
        <v>Alignment Forum</v>
      </c>
      <c r="F845">
        <f>IFERROR(__xludf.DUMMYFUNCTION("""COMPUTED_VALUE"""),2018.0)</f>
        <v>2018</v>
      </c>
      <c r="H845" s="3" t="str">
        <f>IFERROR(__xludf.DUMMYFUNCTION("""COMPUTED_VALUE"""),"AN #36")</f>
        <v>AN #36</v>
      </c>
      <c r="I845" t="str">
        <f>IFERROR(__xludf.DUMMYFUNCTION("""COMPUTED_VALUE"""),"Rohin")</f>
        <v>Rohin</v>
      </c>
      <c r="J845" t="str">
        <f>IFERROR(__xludf.DUMMYFUNCTION("""COMPUTED_VALUE"""),"There are many different sources of information for human values, such as behavior, speech, facial expressions/emotions, and extrapolations of what a human would do. These have all been honed to produce similar preferences in our current environment. Howe"&amp;"ver, the environment will change a lot due to the AI's actions, inducing a distributional shift, after which we should no longer expect the values inferred from these different methods to agree with each other. In addition, we also have the problem that e"&amp;"ach method only applies in some circumstances -- for example, people are likely to misrepresent their values if asked in a courtroom. We could try to patch these problems by having a meta-method that chooses from the various methods of value learning, as "&amp;"well as predicting human judgments about when each method applies. However, then we'd likely have similar issues with the meta-method and predictions, which are also likely to be specific to the current environment. Instead, we should have a _theory_ of h"&amp;"uman values, from which we can get principled approaches to resolve these problems.")</f>
        <v>There are many different sources of information for human values, such as behavior, speech, facial expressions/emotions, and extrapolations of what a human would do. These have all been honed to produce similar preferences in our current environment. However, the environment will change a lot due to the AI's actions, inducing a distributional shift, after which we should no longer expect the values inferred from these different methods to agree with each other. In addition, we also have the problem that each method only applies in some circumstances -- for example, people are likely to misrepresent their values if asked in a courtroom. We could try to patch these problems by having a meta-method that chooses from the various methods of value learning, as well as predicting human judgments about when each method applies. However, then we'd likely have similar issues with the meta-method and predictions, which are also likely to be specific to the current environment. Instead, we should have a _theory_ of human values, from which we can get principled approaches to resolve these problems.</v>
      </c>
      <c r="K845" t="str">
        <f>IFERROR(__xludf.DUMMYFUNCTION("""COMPUTED_VALUE"""),"I strongly agree that due to the problems mentioned in this post, we shouldn't be trying to mix and match value learning methods to infer a static notion of human preferences that is then optimized over the long term. I don't personally work on building a"&amp;" theory of human values because it seems like I could apply the same critiques to the result: the theory is specialized to our current situation and won't capture changes in the future. But of course this is hard to predict without knowing the theory. My "&amp;"preferred solution is not to build a system that is optimizing a goal-directed utility function over the long term, and to find other ways of making an AI system that are still just as useful.")</f>
        <v>I strongly agree that due to the problems mentioned in this post, we shouldn't be trying to mix and match value learning methods to infer a static notion of human preferences that is then optimized over the long term. I don't personally work on building a theory of human values because it seems like I could apply the same critiques to the result: the theory is specialized to our current situation and won't capture changes in the future. But of course this is hard to predict without knowing the theory. My preferred solution is not to build a system that is optimizing a goal-directed utility function over the long term, and to find other ways of making an AI system that are still just as useful.</v>
      </c>
    </row>
    <row r="846">
      <c r="A846" t="str">
        <f>IFERROR(__xludf.DUMMYFUNCTION("""COMPUTED_VALUE"""),"Learning human intent")</f>
        <v>Learning human intent</v>
      </c>
      <c r="B846" t="str">
        <f>IFERROR(__xludf.DUMMYFUNCTION("""COMPUTED_VALUE"""),"Highlight")</f>
        <v>Highlight</v>
      </c>
      <c r="C846" s="3" t="str">
        <f>IFERROR(__xludf.DUMMYFUNCTION("""COMPUTED_VALUE"""),"Scalable agent alignment via reward modeling")</f>
        <v>Scalable agent alignment via reward modeling</v>
      </c>
      <c r="D846" t="str">
        <f>IFERROR(__xludf.DUMMYFUNCTION("""COMPUTED_VALUE"""),"Jan Leike")</f>
        <v>Jan Leike</v>
      </c>
      <c r="E846" t="str">
        <f>IFERROR(__xludf.DUMMYFUNCTION("""COMPUTED_VALUE"""),"DeepMind Safety Blog")</f>
        <v>DeepMind Safety Blog</v>
      </c>
      <c r="F846">
        <f>IFERROR(__xludf.DUMMYFUNCTION("""COMPUTED_VALUE"""),2018.0)</f>
        <v>2018</v>
      </c>
      <c r="H846" s="3" t="str">
        <f>IFERROR(__xludf.DUMMYFUNCTION("""COMPUTED_VALUE"""),"AN #34")</f>
        <v>AN #34</v>
      </c>
      <c r="I846" t="str">
        <f>IFERROR(__xludf.DUMMYFUNCTION("""COMPUTED_VALUE"""),"Rohin")</f>
        <v>Rohin</v>
      </c>
      <c r="J846" t="str">
        <f>IFERROR(__xludf.DUMMYFUNCTION("""COMPUTED_VALUE"""),"This blog post and the [associated paper](https://arxiv.org/abs/1811.07871) outline a research direction that DeepMind's AGI safety team is pursuing. The key idea is to learn behavior by learning a reward and a policy simultaneously, from human evaluation"&amp;"s of outcomes, which can scale to superhuman performance in tasks where evaluation is easier than demonstration. However, in many cases it is hard for humans to evaluate outcomes: in this case, we can train simpler agents using reward modeling that can as"&amp;"sist the human in evaluating outcomes for the harder task, a technique the authors call recursive reward modeling. For example, if you want to train an agent to write a fantasy novel, it would be quite expensive to have a human evaluate outcomes, i.e. rat"&amp;"e how good the produced fantasy novels are. We could instead use reward modeling to train agents that can produce plot summaries, assess prose quality and character development, etc. which allows a human to assess the fantasy novels. There are several res"&amp;"earch challenges, such as what kind of feedback to get, making it sufficiently sample efficient, preventing reward hacking and unacceptable outcomes, and closing the reward-result gap. They outline several promising approaches to solving these problems.")</f>
        <v>This blog post and the [associated paper](https://arxiv.org/abs/1811.07871) outline a research direction that DeepMind's AGI safety team is pursuing. The key idea is to learn behavior by learning a reward and a policy simultaneously, from human evaluations of outcomes, which can scale to superhuman performance in tasks where evaluation is easier than demonstration. However, in many cases it is hard for humans to evaluate outcomes: in this case, we can train simpler agents using reward modeling that can assist the human in evaluating outcomes for the harder task, a technique the authors call recursive reward modeling. For example, if you want to train an agent to write a fantasy novel, it would be quite expensive to have a human evaluate outcomes, i.e. rate how good the produced fantasy novels are. We could instead use reward modeling to train agents that can produce plot summaries, assess prose quality and character development, etc. which allows a human to assess the fantasy novels. There are several research challenges, such as what kind of feedback to get, making it sufficiently sample efficient, preventing reward hacking and unacceptable outcomes, and closing the reward-result gap. They outline several promising approaches to solving these problems.</v>
      </c>
      <c r="K846" t="str">
        <f>IFERROR(__xludf.DUMMYFUNCTION("""COMPUTED_VALUE"""),"The proposal sounds to me like a specific flavor of narrow value learning, where you learn reward functions to accomplish particular tasks, rather than trying to figure out the ""true human utility function"". The recursive aspect is similar to [iterated "&amp;"amplification](https://blog.openai.com/amplifying-ai-training/) and [debate](https://blog.openai.com/debate/). Iterated amplification and debate can be thought of as operating on a tree of arguments, where each node is the result of considering many child"&amp;" nodes (the considerations that go into the argument). Importantly, the child nodes are themselves arguments that can be decomposed into smaller considerations. Iterated amplification works by learning how to compose and decompose nodes from children, whi"&amp;"le debate works by having humans evaluate a particular path in the argument tree. Recursive reward modeling instead uses reward modeling to train agents that can help _evaluate outcomes_ on the task of interest. This seems less recursive to me, since the "&amp;"subagents are used to evaluate outcomes, which would typically be a different-in-kind task than the task of interest. This also still requires the tasks to be fast -- it is not clear how to use recursive reward modeling to eg. train an agent that can teac"&amp;"h math to children, since it takes days or months of real time to even produce outcomes to evaluate. These considerations make me a bit less optimistic about recursive reward modeling, but I look forward to seeing future work that proves me wrong.
The po"&amp;"st also talks about how reward modeling allows us to separate what to do (reward) from how to do it (policy). I think it is an open question whether this is desirable. [Past work](https://arxiv.org/abs/1806.01946) found that the reward generalized somewha"&amp;"t (whereas policies typically don't generalize at all), but this seems relatively minor. For example, rewards inferred using deep variants of inverse reinforcement learning often don't generalize. Another possibility is that the particular structure of """&amp;"policy that optimizes a reward"" provides a useful inductive bias that makes things easier to learn. It would probably also be easier to inspect a specification of ""what to do"" than to inspect learned behavior. However, these advantages are fairly specu"&amp;"lative and it remains to be seen whether they pan out. There are also practical advantages: any advances in deep RL can immediately be leveraged, and reward functions can often be learned much more sample efficiently than behavior, reducing requirements o"&amp;"n human labor. On the other hand, this design ""locks in"" that the specification of behavior must be a reward function. I'm not a fan of reward functions because they're so unintuitive for humans to work with -- if we could have agents that work with nat"&amp;"ural language, I suspect I do not want the natural language to be translated into a reward function that is then optimized.")</f>
        <v>The proposal sounds to me like a specific flavor of narrow value learning, where you learn reward functions to accomplish particular tasks, rather than trying to figure out the "true human utility function". The recursive aspect is similar to [iterated amplification](https://blog.openai.com/amplifying-ai-training/) and [debate](https://blog.openai.com/debate/). Iterated amplification and debate can be thought of as operating on a tree of arguments, where each node is the result of considering many child nodes (the considerations that go into the argument). Importantly, the child nodes are themselves arguments that can be decomposed into smaller considerations. Iterated amplification works by learning how to compose and decompose nodes from children, while debate works by having humans evaluate a particular path in the argument tree. Recursive reward modeling instead uses reward modeling to train agents that can help _evaluate outcomes_ on the task of interest. This seems less recursive to me, since the subagents are used to evaluate outcomes, which would typically be a different-in-kind task than the task of interest. This also still requires the tasks to be fast -- it is not clear how to use recursive reward modeling to eg. train an agent that can teach math to children, since it takes days or months of real time to even produce outcomes to evaluate. These considerations make me a bit less optimistic about recursive reward modeling, but I look forward to seeing future work that proves me wrong.
The post also talks about how reward modeling allows us to separate what to do (reward) from how to do it (policy). I think it is an open question whether this is desirable. [Past work](https://arxiv.org/abs/1806.01946) found that the reward generalized somewhat (whereas policies typically don't generalize at all), but this seems relatively minor. For example, rewards inferred using deep variants of inverse reinforcement learning often don't generalize. Another possibility is that the particular structure of "policy that optimizes a reward" provides a useful inductive bias that makes things easier to learn. It would probably also be easier to inspect a specification of "what to do" than to inspect learned behavior. However, these advantages are fairly speculative and it remains to be seen whether they pan out. There are also practical advantages: any advances in deep RL can immediately be leveraged, and reward functions can often be learned much more sample efficiently than behavior, reducing requirements on human labor. On the other hand, this design "locks in" that the specification of behavior must be a reward function. I'm not a fan of reward functions because they're so unintuitive for humans to work with -- if we could have agents that work with natural language, I suspect I do not want the natural language to be translated into a reward function that is then optimized.</v>
      </c>
    </row>
    <row r="847">
      <c r="A847" t="str">
        <f>IFERROR(__xludf.DUMMYFUNCTION("""COMPUTED_VALUE"""),"Learning human intent")</f>
        <v>Learning human intent</v>
      </c>
      <c r="B847" t="str">
        <f>IFERROR(__xludf.DUMMYFUNCTION("""COMPUTED_VALUE"""),"Highlight")</f>
        <v>Highlight</v>
      </c>
      <c r="C847" s="3" t="str">
        <f>IFERROR(__xludf.DUMMYFUNCTION("""COMPUTED_VALUE"""),"Reward learning from human preferences and demonstrations in Atari")</f>
        <v>Reward learning from human preferences and demonstrations in Atari</v>
      </c>
      <c r="D847" t="str">
        <f>IFERROR(__xludf.DUMMYFUNCTION("""COMPUTED_VALUE"""),"Borja Ibarz, Jan Leike, Tobias Pohlen, Geoffrey Irving, Shane Legg, Dario Amodei")</f>
        <v>Borja Ibarz, Jan Leike, Tobias Pohlen, Geoffrey Irving, Shane Legg, Dario Amodei</v>
      </c>
      <c r="E847" t="str">
        <f>IFERROR(__xludf.DUMMYFUNCTION("""COMPUTED_VALUE"""),"NIPS 2018")</f>
        <v>NIPS 2018</v>
      </c>
      <c r="F847">
        <f>IFERROR(__xludf.DUMMYFUNCTION("""COMPUTED_VALUE"""),2018.0)</f>
        <v>2018</v>
      </c>
      <c r="H847" s="3" t="str">
        <f>IFERROR(__xludf.DUMMYFUNCTION("""COMPUTED_VALUE"""),"AN #33")</f>
        <v>AN #33</v>
      </c>
      <c r="I847" t="str">
        <f>IFERROR(__xludf.DUMMYFUNCTION("""COMPUTED_VALUE"""),"Rohin")</f>
        <v>Rohin</v>
      </c>
      <c r="J847" t="str">
        <f>IFERROR(__xludf.DUMMYFUNCTION("""COMPUTED_VALUE"""),"We have had lots of work on learning from preferences, demonstrations, proxy rewards, natural language, rankings etc. However, most such work focuses on one of these modes of learning, sometimes combined with an explicit reward function. This work learns "&amp;"to play Atari games using both preference and demonstration information. They start out with a set of expert demonstrations which are used to initialize a policy using behavioral cloning. They also use the demonstrations to train a reward model using the "&amp;"DQfD algorithm. They then continue training the reward and policy simultaneously, where the policy is trained on rewards from the reward model, while the reward model is trained using preference information (collected and used in the same way as Deep RL f"&amp;"rom Human Preferences) and the expert demonstrations. They then present a _lot_ of experimental results. The main thing I got out of the experiments is that when demonstrations are good (near optimal), they convey a lot of information about how to perform"&amp;" the task, leading to high reward, but when they are not good, they will actively hurt performance, since the algorithm assumes that the demonstrations are high quality and the demonstrations ""override"" the more accurate information collected via prefer"&amp;"ences. They also show results on efficiency, the quality of the reward model, and the reward hacking that can occur if you don't continue training the reward model alongside the policy.")</f>
        <v>We have had lots of work on learning from preferences, demonstrations, proxy rewards, natural language, rankings etc. However, most such work focuses on one of these modes of learning, sometimes combined with an explicit reward function. This work learns to play Atari games using both preference and demonstration information. They start out with a set of expert demonstrations which are used to initialize a policy using behavioral cloning. They also use the demonstrations to train a reward model using the DQfD algorithm. They then continue training the reward and policy simultaneously, where the policy is trained on rewards from the reward model, while the reward model is trained using preference information (collected and used in the same way as Deep RL from Human Preferences) and the expert demonstrations. They then present a _lot_ of experimental results. The main thing I got out of the experiments is that when demonstrations are good (near optimal), they convey a lot of information about how to perform the task, leading to high reward, but when they are not good, they will actively hurt performance, since the algorithm assumes that the demonstrations are high quality and the demonstrations "override" the more accurate information collected via preferences. They also show results on efficiency, the quality of the reward model, and the reward hacking that can occur if you don't continue training the reward model alongside the policy.</v>
      </c>
      <c r="K847" t="str">
        <f>IFERROR(__xludf.DUMMYFUNCTION("""COMPUTED_VALUE"""),"I'm excited to see work that combines information from multiple sources! In general with multiple sources you have the problem of figuring out what to do when the sources of information conflict, and this is no exception. Their approach tends to prioritiz"&amp;"e demonstrations over preferences when the two conflict, and so in cases where the preferences are better (as in Enduro) their approach performs poorly. I'm somewhat surprised that they prioritize demos over preferences, since it seems humans would be mor"&amp;"e reliable at providing preferences than demos, but perhaps they needed to give demos more influence over the policy in order to have the policy learn reasonably quickly. I'd be interested in seeing work that tries to use the demos as much as possible, bu"&amp;"t detect when conflicts happen and prioritize the preferences in that situation -- my guess is that this would let you get good performance across most Atari games.")</f>
        <v>I'm excited to see work that combines information from multiple sources! In general with multiple sources you have the problem of figuring out what to do when the sources of information conflict, and this is no exception. Their approach tends to prioritize demonstrations over preferences when the two conflict, and so in cases where the preferences are better (as in Enduro) their approach performs poorly. I'm somewhat surprised that they prioritize demos over preferences, since it seems humans would be more reliable at providing preferences than demos, but perhaps they needed to give demos more influence over the policy in order to have the policy learn reasonably quickly. I'd be interested in seeing work that tries to use the demos as much as possible, but detect when conflicts happen and prioritize the preferences in that situation -- my guess is that this would let you get good performance across most Atari games.</v>
      </c>
    </row>
    <row r="848">
      <c r="A848" t="str">
        <f>IFERROR(__xludf.DUMMYFUNCTION("""COMPUTED_VALUE"""),"Learning human intent")</f>
        <v>Learning human intent</v>
      </c>
      <c r="B848" t="str">
        <f>IFERROR(__xludf.DUMMYFUNCTION("""COMPUTED_VALUE"""),"Highlight")</f>
        <v>Highlight</v>
      </c>
      <c r="C848" s="3" t="str">
        <f>IFERROR(__xludf.DUMMYFUNCTION("""COMPUTED_VALUE"""),"Deep Imitative Models for Flexible Inference, Planning, and Control")</f>
        <v>Deep Imitative Models for Flexible Inference, Planning, and Control</v>
      </c>
      <c r="D848" t="str">
        <f>IFERROR(__xludf.DUMMYFUNCTION("""COMPUTED_VALUE"""),"Nicholas Rhinehart, Rowan McAllister, Sergey Levine")</f>
        <v>Nicholas Rhinehart, Rowan McAllister, Sergey Levine</v>
      </c>
      <c r="E848" t="str">
        <f>IFERROR(__xludf.DUMMYFUNCTION("""COMPUTED_VALUE"""),"arXiv")</f>
        <v>arXiv</v>
      </c>
      <c r="F848">
        <f>IFERROR(__xludf.DUMMYFUNCTION("""COMPUTED_VALUE"""),2018.0)</f>
        <v>2018</v>
      </c>
      <c r="H848" s="3" t="str">
        <f>IFERROR(__xludf.DUMMYFUNCTION("""COMPUTED_VALUE"""),"AN #29")</f>
        <v>AN #29</v>
      </c>
      <c r="I848" t="str">
        <f>IFERROR(__xludf.DUMMYFUNCTION("""COMPUTED_VALUE"""),"Rohin")</f>
        <v>Rohin</v>
      </c>
      <c r="J848" t="str">
        <f>IFERROR(__xludf.DUMMYFUNCTION("""COMPUTED_VALUE"""),"It's hard to apply deep RL techniques to autonomous driving, because we can't simply collect a large amount of experience with collisions in order to learn. However, imitation learning is also hard, because as soon as your car deviates from the expert tra"&amp;"jectories that you are imitating, you are out of distribution, and you could make more mistakes, leading to accumulating errors until you crash. Instead, we can model the expert's behavior, so that we can tell when we are moving out of distribution, and t"&amp;"ake corrective action.
They split up the problem into three different stages. First, they generate a set of _waypoints_ along the path to be followed, which are about 20m away from each other, by using A* search on a map. Next, they use model-based plann"&amp;"ing using an imitative model to generate a plan (sequence of states) that would take the car to the next waypoint. Finally, they use a simple PID controller to choose low-level actions that keep the car on target towards the next state in the plan.
The k"&amp;"ey technical contribution is with the imitative model, which is a probabilistic model P(s_{1:T}, G, φ), where φ is the current observation (eg. LIDAR), s_{1:T} is the planned trajectory, and G is a goal. We can learn P(s_{1:T} | φ) from expert demonstrati"&amp;"ons. The goal G can be anything for which you can write down a specification P(G | s_{1:T}, φ). For example, if you simply want to reach a waypoint, you can use the normal distribution on the distance between the final state s_T and the waypoint. You can "&amp;"also incorporate a hand-designed cost on each state.
They evaluate in simulation on a static world (so no pedestrians, for example). They show decent transfer from one map to a second map, and also that they can avoid artificially introduced potholes at "&amp;"test time (despite not seeing them at training time), simply by adding a cost on states over a pothole (which they can take into account because they are performing model-based planning).")</f>
        <v>It's hard to apply deep RL techniques to autonomous driving, because we can't simply collect a large amount of experience with collisions in order to learn. However, imitation learning is also hard, because as soon as your car deviates from the expert trajectories that you are imitating, you are out of distribution, and you could make more mistakes, leading to accumulating errors until you crash. Instead, we can model the expert's behavior, so that we can tell when we are moving out of distribution, and take corrective action.
They split up the problem into three different stages. First, they generate a set of _waypoints_ along the path to be followed, which are about 20m away from each other, by using A* search on a map. Next, they use model-based planning using an imitative model to generate a plan (sequence of states) that would take the car to the next waypoint. Finally, they use a simple PID controller to choose low-level actions that keep the car on target towards the next state in the plan.
The key technical contribution is with the imitative model, which is a probabilistic model P(s_{1:T}, G, φ), where φ is the current observation (eg. LIDAR), s_{1:T} is the planned trajectory, and G is a goal. We can learn P(s_{1:T} | φ) from expert demonstrations. The goal G can be anything for which you can write down a specification P(G | s_{1:T}, φ). For example, if you simply want to reach a waypoint, you can use the normal distribution on the distance between the final state s_T and the waypoint. You can also incorporate a hand-designed cost on each state.
They evaluate in simulation on a static world (so no pedestrians, for example). They show decent transfer from one map to a second map, and also that they can avoid artificially introduced potholes at test time (despite not seeing them at training time), simply by adding a cost on states over a pothole (which they can take into account because they are performing model-based planning).</v>
      </c>
      <c r="K848" t="str">
        <f>IFERROR(__xludf.DUMMYFUNCTION("""COMPUTED_VALUE"""),"I really like this paper, it showcases the benefits of both model-based planning and imitation learning. Since the problem has been decomposed into a predictive model, a goal G, and a planner, we can edit G directly to get new behavior at test time withou"&amp;"t any retraining (as they demonstrate with the pothole experiment). At the same time, they can get away with not specifying a full reward function, as many features of good driving, like passenger comfort and staying in the correct lane, are learned simpl"&amp;"y by imitating an expert.
That said, they initially state that one of their goals is to learn from offline data, even though offline data typically has no examples of crashes, and ""A model ignorant to the possibility of a crash cannot know how to preven"&amp;"t it"". I think the idea is that you never get into a situation where you could get in a crash, because you never deviate from expert behavior since that would have low P(s_{1:T} | φ). This is better than model-based planning on offline data, which would "&amp;"consider actions that lead to a crash and have no idea what would happen, outputting garbage. However, it still seems that situations could arise where a crash is imminent, which don't arise much (if at all) in the training data, and the car fails to swer"&amp;"ve or brake hard, because it hasn't seen enough data.")</f>
        <v>I really like this paper, it showcases the benefits of both model-based planning and imitation learning. Since the problem has been decomposed into a predictive model, a goal G, and a planner, we can edit G directly to get new behavior at test time without any retraining (as they demonstrate with the pothole experiment). At the same time, they can get away with not specifying a full reward function, as many features of good driving, like passenger comfort and staying in the correct lane, are learned simply by imitating an expert.
That said, they initially state that one of their goals is to learn from offline data, even though offline data typically has no examples of crashes, and "A model ignorant to the possibility of a crash cannot know how to prevent it". I think the idea is that you never get into a situation where you could get in a crash, because you never deviate from expert behavior since that would have low P(s_{1:T} | φ). This is better than model-based planning on offline data, which would consider actions that lead to a crash and have no idea what would happen, outputting garbage. However, it still seems that situations could arise where a crash is imminent, which don't arise much (if at all) in the training data, and the car fails to swerve or brake hard, because it hasn't seen enough data.</v>
      </c>
    </row>
    <row r="849">
      <c r="A849" t="str">
        <f>IFERROR(__xludf.DUMMYFUNCTION("""COMPUTED_VALUE"""),"Learning human intent")</f>
        <v>Learning human intent</v>
      </c>
      <c r="B849" t="str">
        <f>IFERROR(__xludf.DUMMYFUNCTION("""COMPUTED_VALUE"""),"Highlight")</f>
        <v>Highlight</v>
      </c>
      <c r="C849" s="3" t="str">
        <f>IFERROR(__xludf.DUMMYFUNCTION("""COMPUTED_VALUE"""),"Learning Generalizable Robotic Reward Functions from ""In-The-Wild"" Human Videos")</f>
        <v>Learning Generalizable Robotic Reward Functions from "In-The-Wild" Human Videos</v>
      </c>
      <c r="D849" t="str">
        <f>IFERROR(__xludf.DUMMYFUNCTION("""COMPUTED_VALUE"""),"Annie S. Chen, Suraj Nair, Chelsea Finn")</f>
        <v>Annie S. Chen, Suraj Nair, Chelsea Finn</v>
      </c>
      <c r="E849" t="str">
        <f>IFERROR(__xludf.DUMMYFUNCTION("""COMPUTED_VALUE"""),"RSS 2021")</f>
        <v>RSS 2021</v>
      </c>
      <c r="F849">
        <f>IFERROR(__xludf.DUMMYFUNCTION("""COMPUTED_VALUE"""),2021.0)</f>
        <v>2021</v>
      </c>
      <c r="H849" s="3" t="str">
        <f>IFERROR(__xludf.DUMMYFUNCTION("""COMPUTED_VALUE"""),"AN #161")</f>
        <v>AN #161</v>
      </c>
      <c r="I849" t="str">
        <f>IFERROR(__xludf.DUMMYFUNCTION("""COMPUTED_VALUE"""),"Sudhanshu")</f>
        <v>Sudhanshu</v>
      </c>
      <c r="J849" t="str">
        <f>IFERROR(__xludf.DUMMYFUNCTION("""COMPUTED_VALUE"""),"This work demonstrates a method that learns a _generalizable multi-task reward function_ in the context of robotic manipulation; at deployment, this function can be conditioned on a human demonstration of an unseen task to generate reward signals for the "&amp;"robot, even in new environments.
A key insight here was to train a discriminative model that learned whether two given video clips were performing the same actions. These clips came from both a (large) dataset of human demonstrations and a relatively sma"&amp;"ller set of robot expert trajectories, and each clip was labelled with a task-id. This training pipeline thus leveraged huge quantities of extant human behaviour from a diversity of viewpoints to learn a metric of 'functional similarity' between pairs of "&amp;"videos, independent of whether they were executed by human or machine.
Once trained, this model (called the 'Domain-agnostic Video Discriminator' or DVD) can determine if a candidate robotic behaviour is similar to a desired human-demonstrated action. Su"&amp;"ch candidates are drawn from an action-conditioned video predictor, and the best-scoring action sequence is selected for execution on the (simulated or real) robot.")</f>
        <v>This work demonstrates a method that learns a _generalizable multi-task reward function_ in the context of robotic manipulation; at deployment, this function can be conditioned on a human demonstration of an unseen task to generate reward signals for the robot, even in new environments.
A key insight here was to train a discriminative model that learned whether two given video clips were performing the same actions. These clips came from both a (large) dataset of human demonstrations and a relatively smaller set of robot expert trajectories, and each clip was labelled with a task-id. This training pipeline thus leveraged huge quantities of extant human behaviour from a diversity of viewpoints to learn a metric of 'functional similarity' between pairs of videos, independent of whether they were executed by human or machine.
Once trained, this model (called the 'Domain-agnostic Video Discriminator' or DVD) can determine if a candidate robotic behaviour is similar to a desired human-demonstrated action. Such candidates are drawn from an action-conditioned video predictor, and the best-scoring action sequence is selected for execution on the (simulated or real) robot.</v>
      </c>
      <c r="K849" t="str">
        <f>IFERROR(__xludf.DUMMYFUNCTION("""COMPUTED_VALUE"""),"Performance increased with the inclusion of human data, even that from unrelated tasks, so one intuition I updated on was ""More data is better, even if it's not perfect"". This also feels related to ""Data as regularization"": to some extent, noisy data "&amp;"combats model overconfidence, and perhaps this would play an important role in aligning future systems.
Another thing I like about such pipeline papers is the opportunity to look for where systems might break. For example, in this work, the robot does ac"&amp;"tually need (prior) experience in the test environments with which to train the video predictor to be able to generate candidate solutions at test time. So in spite of the given result -- that DVD itself needs limited robot trajectories and no data from t"&amp;"he test environments -- there's a potential point-of-failure far sooner in the pipeline, where if the robot did not have sufficient _background_ experience with diverse situations, it might not provide _any_ feasible candidate actions for DVD's evaluation"&amp;".")</f>
        <v>Performance increased with the inclusion of human data, even that from unrelated tasks, so one intuition I updated on was "More data is better, even if it's not perfect". This also feels related to "Data as regularization": to some extent, noisy data combats model overconfidence, and perhaps this would play an important role in aligning future systems.
Another thing I like about such pipeline papers is the opportunity to look for where systems might break. For example, in this work, the robot does actually need (prior) experience in the test environments with which to train the video predictor to be able to generate candidate solutions at test time. So in spite of the given result -- that DVD itself needs limited robot trajectories and no data from the test environments -- there's a potential point-of-failure far sooner in the pipeline, where if the robot did not have sufficient _background_ experience with diverse situations, it might not provide _any_ feasible candidate actions for DVD's evaluation.</v>
      </c>
      <c r="M849" s="3" t="str">
        <f>IFERROR(__xludf.DUMMYFUNCTION("""COMPUTED_VALUE"""),"Paper")</f>
        <v>Paper</v>
      </c>
    </row>
    <row r="850">
      <c r="A850" t="str">
        <f>IFERROR(__xludf.DUMMYFUNCTION("""COMPUTED_VALUE"""),"Learning human intent")</f>
        <v>Learning human intent</v>
      </c>
      <c r="B850" t="str">
        <f>IFERROR(__xludf.DUMMYFUNCTION("""COMPUTED_VALUE"""),"Highlight")</f>
        <v>Highlight</v>
      </c>
      <c r="C850" s="3" t="str">
        <f>IFERROR(__xludf.DUMMYFUNCTION("""COMPUTED_VALUE"""),"BASALT: A Benchmark for Learning from Human Feedback")</f>
        <v>BASALT: A Benchmark for Learning from Human Feedback</v>
      </c>
      <c r="D850" t="str">
        <f>IFERROR(__xludf.DUMMYFUNCTION("""COMPUTED_VALUE"""),"Rohin Shah, Cody Wild, Steven H. Wang, Neel Alex, Brandon Houghton, William Guss, Sharada Mohanty, Anssi Kanervisto, Stephanie Milani, Nicholay Topin, Pieter Abbeel, Stuart Russell, Anca Dragan")</f>
        <v>Rohin Shah, Cody Wild, Steven H. Wang, Neel Alex, Brandon Houghton, William Guss, Sharada Mohanty, Anssi Kanervisto, Stephanie Milani, Nicholay Topin, Pieter Abbeel, Stuart Russell, Anca Dragan</v>
      </c>
      <c r="E850" t="str">
        <f>IFERROR(__xludf.DUMMYFUNCTION("""COMPUTED_VALUE"""),"NeurIPS 2021 Competition Track")</f>
        <v>NeurIPS 2021 Competition Track</v>
      </c>
      <c r="F850">
        <f>IFERROR(__xludf.DUMMYFUNCTION("""COMPUTED_VALUE"""),2021.0)</f>
        <v>2021</v>
      </c>
      <c r="H850" s="3" t="str">
        <f>IFERROR(__xludf.DUMMYFUNCTION("""COMPUTED_VALUE"""),"AN #155")</f>
        <v>AN #155</v>
      </c>
      <c r="I850" t="str">
        <f>IFERROR(__xludf.DUMMYFUNCTION("""COMPUTED_VALUE"""),"Rohin")</f>
        <v>Rohin</v>
      </c>
      <c r="J850" t="str">
        <f>IFERROR(__xludf.DUMMYFUNCTION("""COMPUTED_VALUE"""),"A typical argument for AI risk, given in &lt;@Human Compatible@&gt;(@Human Compatible: Artificial Intelligence and the Problem of Control@), is that current AI systems treat their specifications as definite and certain, even though they are typically misspecifi"&amp;"ed. This state of affairs can lead to the agent pursuing &lt;@instrumental subgoals@&gt;(@The Basic AI Drives@). To solve this, we might instead build AI systems that continually learn the objective from human feedback. This post and paper (on which I am an aut"&amp;"hor) present the MineRL BASALT competition, which aims to promote research on algorithms that learn from human feedback.
BASALT aims to provide a benchmark with tasks that are realistic in the sense that (a) it is challenging to write a reward function f"&amp;"or them and (b) there are many other potential goals that the AI system “could have” pursued in the environment. Criterion (a) implies that we can’t have automated evaluation of agents (otherwise that could be turned into a reward function) and so suggest"&amp;"s that we use human evaluation of agents as our ground truth. Criterion (b) suggests choosing a very “open world” environment; the authors chose Minecraft for this purpose. They provide task descriptions such as “create a waterfall and take a scenic pictu"&amp;"re of it”; it is then up to researchers to create agents that solve this task using any method they want. Human evaluators then compare two agents against each other and determine which is better. Agents are then given a score using the [TrueSkill system]"&amp;"(https://en.wikipedia.org/wiki/TrueSkill).
The authors provide a number of reasons to prefer the BASALT benchmark over more traditional benchmarks like Atari or MuJoCo:
1. In Atari or MuJoCo, there are often only a few reasonable goals: for example, in "&amp;"Pong, you either hit the ball back, or you die. If you’re testing algorithms that are meant to learn what the goal is, you want an environment where there could be many possible goals, as is the case in Minecraft.
2. There’s lots of Minecraft videos on Yo"&amp;"uTube, so you could test a “GPT-3 for Minecraft” approach.
3. The “true reward function” in Atari or MuJoCo is often not a great evaluation: for example, a Hopper policy trained to stand still using a constant reward gets 1000 reward! Human evaluations sh"&amp;"ould not be subject to the same problem.
4. Since the tasks were chosen to be inherently fuzzy and challenging to formalize, researchers are allowed to take whatever approach they want to solving the task, including “try to write down a reward function”. "&amp;"In contrast, for something like Atari or MuJoCo, you need to ban such strategies. The only restriction is that researchers cannot extract additional state information from the Minecraft simulator.
5. Just as we’ve &lt;@overestimated few-shot learning capabil"&amp;"ities@&gt;(@True Few-Shot Learning with Language Models@) by tuning prompts on large datasets of examples, we might also be overestimating the performance of algorithms that learn from human feedback because we tune hyperparameters on the true reward functio"&amp;"n. Since BASALT doesn’t have a true reward function, this is much harder to do.
6. Since Minecraft is so popular, it is easy to hire Minecraft experts, allowing us to design algorithms that rely on expert time instead of just end user time.
7. Unlike Atar"&amp;"i or MuJoCo, BASALT has a clear path to scaling up: the tasks can be made more and more challenging. In the long run, we could aim to deploy agents on public multiplayer Minecraft servers that follow instructions or assist with whatever large-scale projec"&amp;"t players are working on, all while adhering to the norms and customs of that server.")</f>
        <v>A typical argument for AI risk, given in &lt;@Human Compatible@&gt;(@Human Compatible: Artificial Intelligence and the Problem of Control@), is that current AI systems treat their specifications as definite and certain, even though they are typically misspecified. This state of affairs can lead to the agent pursuing &lt;@instrumental subgoals@&gt;(@The Basic AI Drives@). To solve this, we might instead build AI systems that continually learn the objective from human feedback. This post and paper (on which I am an author) present the MineRL BASALT competition, which aims to promote research on algorithms that learn from human feedback.
BASALT aims to provide a benchmark with tasks that are realistic in the sense that (a) it is challenging to write a reward function for them and (b) there are many other potential goals that the AI system “could have” pursued in the environment. Criterion (a) implies that we can’t have automated evaluation of agents (otherwise that could be turned into a reward function) and so suggests that we use human evaluation of agents as our ground truth. Criterion (b) suggests choosing a very “open world” environment; the authors chose Minecraft for this purpose. They provide task descriptions such as “create a waterfall and take a scenic picture of it”; it is then up to researchers to create agents that solve this task using any method they want. Human evaluators then compare two agents against each other and determine which is better. Agents are then given a score using the [TrueSkill system](https://en.wikipedia.org/wiki/TrueSkill).
The authors provide a number of reasons to prefer the BASALT benchmark over more traditional benchmarks like Atari or MuJoCo:
1. In Atari or MuJoCo, there are often only a few reasonable goals: for example, in Pong, you either hit the ball back, or you die. If you’re testing algorithms that are meant to learn what the goal is, you want an environment where there could be many possible goals, as is the case in Minecraft.
2. There’s lots of Minecraft videos on YouTube, so you could test a “GPT-3 for Minecraft” approach.
3. The “true reward function” in Atari or MuJoCo is often not a great evaluation: for example, a Hopper policy trained to stand still using a constant reward gets 1000 reward! Human evaluations should not be subject to the same problem.
4. Since the tasks were chosen to be inherently fuzzy and challenging to formalize, researchers are allowed to take whatever approach they want to solving the task, including “try to write down a reward function”. In contrast, for something like Atari or MuJoCo, you need to ban such strategies. The only restriction is that researchers cannot extract additional state information from the Minecraft simulator.
5. Just as we’ve &lt;@overestimated few-shot learning capabilities@&gt;(@True Few-Shot Learning with Language Models@) by tuning prompts on large datasets of examples, we might also be overestimating the performance of algorithms that learn from human feedback because we tune hyperparameters on the true reward function. Since BASALT doesn’t have a true reward function, this is much harder to do.
6. Since Minecraft is so popular, it is easy to hire Minecraft experts, allowing us to design algorithms that rely on expert time instead of just end user time.
7. Unlike Atari or MuJoCo, BASALT has a clear path to scaling up: the tasks can be made more and more challenging. In the long run, we could aim to deploy agents on public multiplayer Minecraft servers that follow instructions or assist with whatever large-scale project players are working on, all while adhering to the norms and customs of that server.</v>
      </c>
      <c r="K850" t="str">
        <f>IFERROR(__xludf.DUMMYFUNCTION("""COMPUTED_VALUE"""),"You won’t be surprised to hear that I’m excited about this benchmark, given that I worked on it. While we listed a bunch of concrete advantages in the post above, I think many (though not all) of the advantages come from the fact that we are trying to mim"&amp;"ic the situation we face in the real world as closely as possible, so there’s less opportunity for Goodhart’s Law to strike. For example, later in this newsletter we’ll see that synthetically generated demos are not a good proxy for human demos. Even thou"&amp;"gh this is the norm for existing benchmarks, and we didn’t intentionally try to avoid this problem, BASALT (mostly) avoids it. With BASALT you would have to go pretty far out of your way to get synthetically generated demos, because by design the tasks ar"&amp;"e hard to complete synthetically, and so you _have_ to use human demos.
I’d encourage readers to [participate in the competition](https://www.aicrowd.com/challenges/neurips-2021-minerl-basalt-competition), because I think it’s especially good as a way to"&amp;" get started with ML research. It’s a new benchmark, so there’s a lot of low-hanging fruit in applying existing ideas to the benchmark, and in identifying new problems not present in previous benchmarks and designing solutions to them. It’s also pretty ea"&amp;"sy to get started: the BC baseline is fairly straightforward and takes a couple of hours to be trained on a single GPU. (That’s partly because BC doesn’t require environment samples; something like &lt;@GAIL@&gt;(@Generative Adversarial Imitation Learning@) wou"&amp;"ld probably take a day or two to train instead.)")</f>
        <v>You won’t be surprised to hear that I’m excited about this benchmark, given that I worked on it. While we listed a bunch of concrete advantages in the post above, I think many (though not all) of the advantages come from the fact that we are trying to mimic the situation we face in the real world as closely as possible, so there’s less opportunity for Goodhart’s Law to strike. For example, later in this newsletter we’ll see that synthetically generated demos are not a good proxy for human demos. Even though this is the norm for existing benchmarks, and we didn’t intentionally try to avoid this problem, BASALT (mostly) avoids it. With BASALT you would have to go pretty far out of your way to get synthetically generated demos, because by design the tasks are hard to complete synthetically, and so you _have_ to use human demos.
I’d encourage readers to [participate in the competition](https://www.aicrowd.com/challenges/neurips-2021-minerl-basalt-competition), because I think it’s especially good as a way to get started with ML research. It’s a new benchmark, so there’s a lot of low-hanging fruit in applying existing ideas to the benchmark, and in identifying new problems not present in previous benchmarks and designing solutions to them. It’s also pretty easy to get started: the BC baseline is fairly straightforward and takes a couple of hours to be trained on a single GPU. (That’s partly because BC doesn’t require environment samples; something like &lt;@GAIL@&gt;(@Generative Adversarial Imitation Learning@) would probably take a day or two to train instead.)</v>
      </c>
      <c r="M850" s="3" t="str">
        <f>IFERROR(__xludf.DUMMYFUNCTION("""COMPUTED_VALUE"""),"Paper: The MineRL BASALT Competition on Learning from Human Feedback")</f>
        <v>Paper: The MineRL BASALT Competition on Learning from Human Feedback</v>
      </c>
    </row>
    <row r="851">
      <c r="A851" t="str">
        <f>IFERROR(__xludf.DUMMYFUNCTION("""COMPUTED_VALUE"""),"Learning human intent")</f>
        <v>Learning human intent</v>
      </c>
      <c r="B851" t="str">
        <f>IFERROR(__xludf.DUMMYFUNCTION("""COMPUTED_VALUE"""),"Highlight")</f>
        <v>Highlight</v>
      </c>
      <c r="C851" s="3" t="str">
        <f>IFERROR(__xludf.DUMMYFUNCTION("""COMPUTED_VALUE"""),"One-Shot Imitation from Watching Videos")</f>
        <v>One-Shot Imitation from Watching Videos</v>
      </c>
      <c r="D851" t="str">
        <f>IFERROR(__xludf.DUMMYFUNCTION("""COMPUTED_VALUE"""),"Tianhe Yu and Chelsea Finn")</f>
        <v>Tianhe Yu and Chelsea Finn</v>
      </c>
      <c r="E851" t="str">
        <f>IFERROR(__xludf.DUMMYFUNCTION("""COMPUTED_VALUE"""),"BAIR Blog")</f>
        <v>BAIR Blog</v>
      </c>
      <c r="F851">
        <f>IFERROR(__xludf.DUMMYFUNCTION("""COMPUTED_VALUE"""),2018.0)</f>
        <v>2018</v>
      </c>
      <c r="H851" s="3" t="str">
        <f>IFERROR(__xludf.DUMMYFUNCTION("""COMPUTED_VALUE"""),"AN #14")</f>
        <v>AN #14</v>
      </c>
      <c r="I851" t="str">
        <f>IFERROR(__xludf.DUMMYFUNCTION("""COMPUTED_VALUE"""),"Rohin")</f>
        <v>Rohin</v>
      </c>
      <c r="J851" t="str">
        <f>IFERROR(__xludf.DUMMYFUNCTION("""COMPUTED_VALUE"""),"Can we get a robot to learn a task by watching a human do it? This is very different from standard imitation learning. First, we want to do it with a single demonstration, and second, we want to do it by _watching a human_ -- that is, we're learning from "&amp;"a video of a human, not a trajectory where the robot actions are given to us. Well, first consider how we could do this if we have demonstrations from a teleoperated robot. In this case, we do actually have demonstrations in the form of trajectories, so n"&amp;"ormal imitation learning techniques (behavioral cloning in this case) work fine. We can then take this loss function and use it with [MAML](http://bair.berkeley.edu/blog/2017/07/18/learning-to-learn/) to learn from a large dataset of tasks and demonstrati"&amp;"ons how to perform a new task given a single demonstration. But this still requires the demonstration to be collected by teleoperating the robot. What if we want to learn from a video of a human demonstrating? They propose learning a _loss function_ that "&amp;"given the human video provides a loss from which gradients can be calculated to update the policy. Note that at training time there are still teleoperation demonstrations, so the hard task of learning how to perform tasks is done then. At test time, the l"&amp;"oss function inferred from the human video is primarily used to identify which objects to manipulate.")</f>
        <v>Can we get a robot to learn a task by watching a human do it? This is very different from standard imitation learning. First, we want to do it with a single demonstration, and second, we want to do it by _watching a human_ -- that is, we're learning from a video of a human, not a trajectory where the robot actions are given to us. Well, first consider how we could do this if we have demonstrations from a teleoperated robot. In this case, we do actually have demonstrations in the form of trajectories, so normal imitation learning techniques (behavioral cloning in this case) work fine. We can then take this loss function and use it with [MAML](http://bair.berkeley.edu/blog/2017/07/18/learning-to-learn/) to learn from a large dataset of tasks and demonstrations how to perform a new task given a single demonstration. But this still requires the demonstration to be collected by teleoperating the robot. What if we want to learn from a video of a human demonstrating? They propose learning a _loss function_ that given the human video provides a loss from which gradients can be calculated to update the policy. Note that at training time there are still teleoperation demonstrations, so the hard task of learning how to perform tasks is done then. At test time, the loss function inferred from the human video is primarily used to identify which objects to manipulate.</v>
      </c>
      <c r="K851" t="str">
        <f>IFERROR(__xludf.DUMMYFUNCTION("""COMPUTED_VALUE"""),"This is cool, it actually works on a real robot, and it deals with the issue that a human and a robot have different action spaces.")</f>
        <v>This is cool, it actually works on a real robot, and it deals with the issue that a human and a robot have different action spaces.</v>
      </c>
      <c r="L851" t="str">
        <f>IFERROR(__xludf.DUMMYFUNCTION("""COMPUTED_VALUE"""),"Some form of meta-learning (ideally [MAML](http://bair.berkeley.edu/blog/2017/07/18/learning-to-learn/)).")</f>
        <v>Some form of meta-learning (ideally [MAML](http://bair.berkeley.edu/blog/2017/07/18/learning-to-learn/)).</v>
      </c>
    </row>
    <row r="852">
      <c r="A852" t="str">
        <f>IFERROR(__xludf.DUMMYFUNCTION("""COMPUTED_VALUE"""),"Learning human intent")</f>
        <v>Learning human intent</v>
      </c>
      <c r="B852" t="str">
        <f>IFERROR(__xludf.DUMMYFUNCTION("""COMPUTED_VALUE"""),"Highlight")</f>
        <v>Highlight</v>
      </c>
      <c r="C852" s="3" t="str">
        <f>IFERROR(__xludf.DUMMYFUNCTION("""COMPUTED_VALUE"""),"Feature Expansive Reward Learning: Rethinking Human Input")</f>
        <v>Feature Expansive Reward Learning: Rethinking Human Input</v>
      </c>
      <c r="D852" t="str">
        <f>IFERROR(__xludf.DUMMYFUNCTION("""COMPUTED_VALUE"""),"Andreea Bobu*, Marius Wiggert*, Claire Tomlin, Anca D. Dragan")</f>
        <v>Andreea Bobu*, Marius Wiggert*, Claire Tomlin, Anca D. Dragan</v>
      </c>
      <c r="E852" t="str">
        <f>IFERROR(__xludf.DUMMYFUNCTION("""COMPUTED_VALUE"""),"arXiv")</f>
        <v>arXiv</v>
      </c>
      <c r="F852">
        <f>IFERROR(__xludf.DUMMYFUNCTION("""COMPUTED_VALUE"""),2020.0)</f>
        <v>2020</v>
      </c>
      <c r="H852" s="3" t="str">
        <f>IFERROR(__xludf.DUMMYFUNCTION("""COMPUTED_VALUE"""),"AN #110")</f>
        <v>AN #110</v>
      </c>
      <c r="I852" t="str">
        <f>IFERROR(__xludf.DUMMYFUNCTION("""COMPUTED_VALUE"""),"Rohin")</f>
        <v>Rohin</v>
      </c>
      <c r="J852" t="str">
        <f>IFERROR(__xludf.DUMMYFUNCTION("""COMPUTED_VALUE"""),"One goal we might have with our algorithms is that _after_ training, when the AI system is deployed with end users, the system would be personalized to those end users. You might hope that we could use deep inverse RL algorithms like &lt;@AIRL@&gt;(@Learning Ro"&amp;"bust Rewards with Adversarial Inverse Reinforcement Learning@), but unfortunately they require a lot of data, which isn’t feasible for end users. You could use earlier IRL algorithms like &lt;@MCEIRL@&gt;(@Modeling Interaction via the Principle of Maximum Causa"&amp;"l Entropy@) that require you to specify what features of the environment you care about, but in practice you’ll never successfully write down all of these features. Can we somehow get the best of both worlds?
&lt;@Past work@&gt;(@Learning under Misspecified Ob"&amp;"jective Spaces@) made progress on this front, by allowing the agent to at least _detect_ when it is missing some feature, by checking whether the human feedback is surprisingly inefficient given the existing features. But what do you do once you detect it"&amp;"? The key insight of this paper is that applying a deep IRL algorithm here would be inefficient because it has to implicitly learn the unknown feature, and we can do much better by explicitly querying the human for the unknown feature.
In particular, the"&amp;"ir method Feature Expansive Reward Learning (FERL) asks the human for a few _feature traces_: demonstrations in which the new feature’s value monotonically decreases. For example, suppose a robot arm carrying a cup of water gets too close to a laptop, but"&amp;" the arm doesn’t know the feature “close to a laptop”. Then a feature trace would start with the arm close to the laptop, and move it successively further away. Given a set of feature traces, we can convert this into a dataset of noisy comparisons, where "&amp;"earlier states are more likely to have higher feature values than later states, and use this to train a neural net to predict the feature value (similarly to the reward model in [Deep RL from Human Preferences](https://deepmind.com/blog/learning-through-h"&amp;"uman-feedback/)). We can then add this to our set of features, and learn rewards over the new set of features.
They evaluate their method with a few human-robot interaction scenarios (though without a user study due to COVID), comparing it against deep M"&amp;"axEnt IRL, and find that their method does better on a variety of metrics.")</f>
        <v>One goal we might have with our algorithms is that _after_ training, when the AI system is deployed with end users, the system would be personalized to those end users. You might hope that we could use deep inverse RL algorithms like &lt;@AIRL@&gt;(@Learning Robust Rewards with Adversarial Inverse Reinforcement Learning@), but unfortunately they require a lot of data, which isn’t feasible for end users. You could use earlier IRL algorithms like &lt;@MCEIRL@&gt;(@Modeling Interaction via the Principle of Maximum Causal Entropy@) that require you to specify what features of the environment you care about, but in practice you’ll never successfully write down all of these features. Can we somehow get the best of both worlds?
&lt;@Past work@&gt;(@Learning under Misspecified Objective Spaces@) made progress on this front, by allowing the agent to at least _detect_ when it is missing some feature, by checking whether the human feedback is surprisingly inefficient given the existing features. But what do you do once you detect it? The key insight of this paper is that applying a deep IRL algorithm here would be inefficient because it has to implicitly learn the unknown feature, and we can do much better by explicitly querying the human for the unknown feature.
In particular, their method Feature Expansive Reward Learning (FERL) asks the human for a few _feature traces_: demonstrations in which the new feature’s value monotonically decreases. For example, suppose a robot arm carrying a cup of water gets too close to a laptop, but the arm doesn’t know the feature “close to a laptop”. Then a feature trace would start with the arm close to the laptop, and move it successively further away. Given a set of feature traces, we can convert this into a dataset of noisy comparisons, where earlier states are more likely to have higher feature values than later states, and use this to train a neural net to predict the feature value (similarly to the reward model in [Deep RL from Human Preferences](https://deepmind.com/blog/learning-through-human-feedback/)). We can then add this to our set of features, and learn rewards over the new set of features.
They evaluate their method with a few human-robot interaction scenarios (though without a user study due to COVID), comparing it against deep MaxEnt IRL, and find that their method does better on a variety of metrics.</v>
      </c>
      <c r="K852" t="str">
        <f>IFERROR(__xludf.DUMMYFUNCTION("""COMPUTED_VALUE"""),"I really liked this paper -- it seems like a far more efficient use of human feedback to figure out what _features_ of the environment are important. This doesn’t need to be limited to reward learning: I expect that learning the right features to focus on"&amp;" would help with exploration in reinforcement learning, out-of-distribution generalization, etc. It also seems plausible that in more complex environments you could learn a set of features that was useful for all of these tasks, thus being somewhat genera"&amp;"l (though still specific to the environment).
It’s worth noting that in this setting you wouldn’t really want to use a vanilla deep IRL algorithm -- you’d instead want to do something like &lt;@meta-IRL@&gt;(@Multi-task Maximum Entropy Inverse Reinforcement Le"&amp;"arning@).")</f>
        <v>I really liked this paper -- it seems like a far more efficient use of human feedback to figure out what _features_ of the environment are important. This doesn’t need to be limited to reward learning: I expect that learning the right features to focus on would help with exploration in reinforcement learning, out-of-distribution generalization, etc. It also seems plausible that in more complex environments you could learn a set of features that was useful for all of these tasks, thus being somewhat general (though still specific to the environment).
It’s worth noting that in this setting you wouldn’t really want to use a vanilla deep IRL algorithm -- you’d instead want to do something like &lt;@meta-IRL@&gt;(@Multi-task Maximum Entropy Inverse Reinforcement Learning@).</v>
      </c>
    </row>
    <row r="853">
      <c r="A853" t="str">
        <f>IFERROR(__xludf.DUMMYFUNCTION("""COMPUTED_VALUE"""),"Learning human intent")</f>
        <v>Learning human intent</v>
      </c>
      <c r="B853" t="str">
        <f>IFERROR(__xludf.DUMMYFUNCTION("""COMPUTED_VALUE"""),"Highlight")</f>
        <v>Highlight</v>
      </c>
      <c r="C853" s="3" t="str">
        <f>IFERROR(__xludf.DUMMYFUNCTION("""COMPUTED_VALUE"""),"Learning to Follow Language Instructions with Adversarial Reward Induction")</f>
        <v>Learning to Follow Language Instructions with Adversarial Reward Induction</v>
      </c>
      <c r="D853" t="str">
        <f>IFERROR(__xludf.DUMMYFUNCTION("""COMPUTED_VALUE"""),"Dzmitry Bahdanau, Felix Hill, Jan Leike, Edward Hughes, Arian Hosseini, Pushmeet Kohli, Edward Grefenstette")</f>
        <v>Dzmitry Bahdanau, Felix Hill, Jan Leike, Edward Hughes, Arian Hosseini, Pushmeet Kohli, Edward Grefenstette</v>
      </c>
      <c r="E853" t="str">
        <f>IFERROR(__xludf.DUMMYFUNCTION("""COMPUTED_VALUE"""),"arXiv")</f>
        <v>arXiv</v>
      </c>
      <c r="F853">
        <f>IFERROR(__xludf.DUMMYFUNCTION("""COMPUTED_VALUE"""),2018.0)</f>
        <v>2018</v>
      </c>
      <c r="H853" s="3" t="str">
        <f>IFERROR(__xludf.DUMMYFUNCTION("""COMPUTED_VALUE"""),"AN #11")</f>
        <v>AN #11</v>
      </c>
      <c r="I853" t="str">
        <f>IFERROR(__xludf.DUMMYFUNCTION("""COMPUTED_VALUE"""),"Rohin")</f>
        <v>Rohin</v>
      </c>
      <c r="J853" t="str">
        <f>IFERROR(__xludf.DUMMYFUNCTION("""COMPUTED_VALUE"""),"Adversarial Goal-Induced Learning from Examples (AGILE) is a way of training an agent to follow instructions. The authors consider a 5x5 gridworld environment with colored shapes that the agent can manipulate. The agent is given an instruction in a struct"&amp;"ured domain-specific language. Each instruction can correspond to many goal states -- for example, the instruction corresponding to ""red square south of the blue circle"" has many different goal states, since only the relative orientation of the shapes m"&amp;"atters, not their absolute positions.
The key idea is to learn two things simultaneously -- an encoding of _what_ the agent needs to do, and a policy that encodes _how_ to do it, and to use these two modules to train each other. The ""what"" is encoded b"&amp;"y a discriminator that can classify (state, instruction) pairs as either being a correct goal state or not, and the ""how"" is encoded by a policy. They assume they have some human-annotated goal states for instructions. The discriminator is then trained "&amp;"with supervised learning, where the positive examples are the human-annotated goal states, and the negative examples are states that the policy achieves during training (which are usually failures). The policy is trained using A3C with a reward function t"&amp;"hat is 1 if the discriminator says the state is more likely than not to be a goal state, and 0 otherwise. Of course, if the policy actually achieves the goal state, there is no way of knowing this apart from the discriminator -- so by default _all_ of the"&amp;" states that the policy achieves (including goal states) are treated as negative examples for the dsicriminator. This leads to the discriminator getting slightly worse over time as the policy becomes better, since it is incorrectly told that certain state"&amp;"s are not goal states. To fix this issue, the authors drop the top 25% of states achieved by the policy that have the highest probability of being a goal state (according to the discriminator).
The authors compare AGILE against A3C with the true reward f"&amp;"unction (i.e. the reward function implied by a perfect discriminator) and found that AGILE actually performed _better_, implying that the inaccuracy of the discriminator actually _helped_ with learning. The authors hypothesize that this is because when th"&amp;"e discriminator incorrectly rewards non-goal states, it is actually providing useful reward shaping that rewards progress towards the goal, leading to faster learning. Note though that A3C with an auxiliary reward prediction objective performed best. They"&amp;" have several other experiments that look at individual parts of the system.")</f>
        <v>Adversarial Goal-Induced Learning from Examples (AGILE) is a way of training an agent to follow instructions. The authors consider a 5x5 gridworld environment with colored shapes that the agent can manipulate. The agent is given an instruction in a structured domain-specific language. Each instruction can correspond to many goal states -- for example, the instruction corresponding to "red square south of the blue circle" has many different goal states, since only the relative orientation of the shapes matters, not their absolute positions.
The key idea is to learn two things simultaneously -- an encoding of _what_ the agent needs to do, and a policy that encodes _how_ to do it, and to use these two modules to train each other. The "what" is encoded by a discriminator that can classify (state, instruction) pairs as either being a correct goal state or not, and the "how" is encoded by a policy. They assume they have some human-annotated goal states for instructions. The discriminator is then trained with supervised learning, where the positive examples are the human-annotated goal states, and the negative examples are states that the policy achieves during training (which are usually failures). The policy is trained using A3C with a reward function that is 1 if the discriminator says the state is more likely than not to be a goal state, and 0 otherwise. Of course, if the policy actually achieves the goal state, there is no way of knowing this apart from the discriminator -- so by default _all_ of the states that the policy achieves (including goal states) are treated as negative examples for the dsicriminator. This leads to the discriminator getting slightly worse over time as the policy becomes better, since it is incorrectly told that certain states are not goal states. To fix this issue, the authors drop the top 25% of states achieved by the policy that have the highest probability of being a goal state (according to the discriminator).
The authors compare AGILE against A3C with the true reward function (i.e. the reward function implied by a perfect discriminator) and found that AGILE actually performed _better_, implying that the inaccuracy of the discriminator actually _helped_ with learning. The authors hypothesize that this is because when the discriminator incorrectly rewards non-goal states, it is actually providing useful reward shaping that rewards progress towards the goal, leading to faster learning. Note though that A3C with an auxiliary reward prediction objective performed best. They have several other experiments that look at individual parts of the system.</v>
      </c>
      <c r="K853" t="str">
        <f>IFERROR(__xludf.DUMMYFUNCTION("""COMPUTED_VALUE"""),"I like the idea of separating ""what to do"" from ""how to do it"", since the ""what to do"" is more likely to generalize to new circumstances. Of course, this can also be achieved by learning a reward function, which is one way to encode ""what to do"". "&amp;"I'm also happy to see progress on the front of learning what humans want where we can take advantage of adversarial training that leads to a natural curriculum -- this has been key in many systems, most notably AlphaZero.
I'm somewhat surprised that drop"&amp;"ping the top 25% of states ranked highly by the discriminator works. I would have guessed that states that are ""near"" the goal states might be misclassified by the discriminator, and the mistake will never be fixed because those states will always be in"&amp;" the top 25% and so will never show up as negative examples. I don't know whether I should expect this problem to show up in other environments, or whether there's a good reason to expect it won't happen.
I'm also surprised at the results from one of the"&amp;"ir experiments. In this experiment, they trained the agent in the normal environment, but then made red squares immovable in the test environment. This only changes the dynamics, and so the discriminator should work just as well (about 99.5% accuracy). Th"&amp;"e policy performance tanks (from 98% to 52%), as you'd expect when changing dynamics, but if you then finetune the policy, it only gets back to 69% success. Given that the discriminator should be just as accurate, you'd expect the policy to get back to 98"&amp;"% accuracy. Partly the discrepancy is that some tasks become unsolvable when red squares are immovable, but they say that this is a small effect. My hypothesis is before finetuning, the policy is very certain of what to do, and so doesn't explore enough d"&amp;"uring finetuning, and can't learn new behaviors effectively. This would mean that if they instead retrained the policy starting from a random initialization, they'd achieve better performance (though likely requiring many more samples).")</f>
        <v>I like the idea of separating "what to do" from "how to do it", since the "what to do" is more likely to generalize to new circumstances. Of course, this can also be achieved by learning a reward function, which is one way to encode "what to do". I'm also happy to see progress on the front of learning what humans want where we can take advantage of adversarial training that leads to a natural curriculum -- this has been key in many systems, most notably AlphaZero.
I'm somewhat surprised that dropping the top 25% of states ranked highly by the discriminator works. I would have guessed that states that are "near" the goal states might be misclassified by the discriminator, and the mistake will never be fixed because those states will always be in the top 25% and so will never show up as negative examples. I don't know whether I should expect this problem to show up in other environments, or whether there's a good reason to expect it won't happen.
I'm also surprised at the results from one of their experiments. In this experiment, they trained the agent in the normal environment, but then made red squares immovable in the test environment. This only changes the dynamics, and so the discriminator should work just as well (about 99.5% accuracy). The policy performance tanks (from 98% to 52%), as you'd expect when changing dynamics, but if you then finetune the policy, it only gets back to 69% success. Given that the discriminator should be just as accurate, you'd expect the policy to get back to 98% accuracy. Partly the discrepancy is that some tasks become unsolvable when red squares are immovable, but they say that this is a small effect. My hypothesis is before finetuning, the policy is very certain of what to do, and so doesn't explore enough during finetuning, and can't learn new behaviors effectively. This would mean that if they instead retrained the policy starting from a random initialization, they'd achieve better performance (though likely requiring many more samples).</v>
      </c>
    </row>
    <row r="854">
      <c r="A854" t="str">
        <f>IFERROR(__xludf.DUMMYFUNCTION("""COMPUTED_VALUE"""),"Learning human intent")</f>
        <v>Learning human intent</v>
      </c>
      <c r="B854" t="str">
        <f>IFERROR(__xludf.DUMMYFUNCTION("""COMPUTED_VALUE"""),"Highlight")</f>
        <v>Highlight</v>
      </c>
      <c r="C854" s="3" t="str">
        <f>IFERROR(__xludf.DUMMYFUNCTION("""COMPUTED_VALUE"""),"Quantifying Differences in Reward Functions")</f>
        <v>Quantifying Differences in Reward Functions</v>
      </c>
      <c r="D854" t="str">
        <f>IFERROR(__xludf.DUMMYFUNCTION("""COMPUTED_VALUE"""),"Adam Gleave, Michael Dennis, Shane Legg, Stuart Russell, Jan Leike")</f>
        <v>Adam Gleave, Michael Dennis, Shane Legg, Stuart Russell, Jan Leike</v>
      </c>
      <c r="E854" t="str">
        <f>IFERROR(__xludf.DUMMYFUNCTION("""COMPUTED_VALUE"""),"arXiv")</f>
        <v>arXiv</v>
      </c>
      <c r="F854">
        <f>IFERROR(__xludf.DUMMYFUNCTION("""COMPUTED_VALUE"""),2020.0)</f>
        <v>2020</v>
      </c>
      <c r="H854" s="3" t="str">
        <f>IFERROR(__xludf.DUMMYFUNCTION("""COMPUTED_VALUE"""),"AN #106")</f>
        <v>AN #106</v>
      </c>
      <c r="I854" t="str">
        <f>IFERROR(__xludf.DUMMYFUNCTION("""COMPUTED_VALUE"""),"Rohin")</f>
        <v>Rohin</v>
      </c>
      <c r="J854" t="str">
        <f>IFERROR(__xludf.DUMMYFUNCTION("""COMPUTED_VALUE"""),"Current work on reward learning typically evaluates the learned reward models by training a policy to optimize the learned reward, and seeing how well that policy performs according to the true reward. However, this only tests how well the reward works in"&amp;" the particular environment you test in, and doesn’t tell you how well the reward will generalize. For example, suppose the user loves apricots, likes plums, but hates durians. A reward that has apricots &gt; durians &gt; plums works perfectly -- until the stor"&amp;"e runs out of apricots, in which case it buys the hated durian.
So, it seems like we should evaluate reward functions directly, rather than looking at their optimal policies. This paper proposes Equivalent-Policy Invariant Comparison (EPIC), which can co"&amp;"mpare two reward functions while ignoring any potential shaping that doesn’t affect the optimal policy.
EPIC is parameterized by a distribution of states and actions DS and DA, as well as a distribution DT over transitions (s, a, s’). The first step is t"&amp;"o find canonical versions of the two rewards to be compared, such that they have expected zero reward over DS and DA, and any potential shaping is removed. Then, we look at the reward each of these would assign to transitions in DT, and compute the Pearso"&amp;"n correlation. This is transformed to be in the range [0, 1], giving the EPIC distance.
The authors prove that EPIC is a pseudometric, that is, it behaves like a distance function, except that it is possible for EPIC(R1, R2) to be zero even if R1 and R2 "&amp;"are different. This is desirable, since if R1 and R2 differ by a potential shaping function, then their optimal policies are guaranteed to be the same _regardless_ of transition dynamics, and so we should report the “distance” between them to be zero.
Th"&amp;"e authors show how to approximately compute the EPIC distance in high dimensional environments, and run experiments to showcase EPIC’s properties. Their first experiment demonstrates that EPIC is able to correctly detect that a densely shaped reward for v"&amp;"arious MuJoCo environments is equivalent to a sparse reward, whereas other baseline methods are not able to do so. The second experiment compares reward models learned from preferences, demonstrations, and direct regression, and finds that the EPIC distan"&amp;"ce for the rewards learned from demonstrations are much higher than those for preferences and regression. Indeed, when the rewards are reoptimized in a new test environment, the new policies work when using the preference or regression reward models, but "&amp;"not when using the demonstration reward model. The final experiment shows that EPIC is robust to variations in the visitation distribution DT, while baseline methods are not.")</f>
        <v>Current work on reward learning typically evaluates the learned reward models by training a policy to optimize the learned reward, and seeing how well that policy performs according to the true reward. However, this only tests how well the reward works in the particular environment you test in, and doesn’t tell you how well the reward will generalize. For example, suppose the user loves apricots, likes plums, but hates durians. A reward that has apricots &gt; durians &gt; plums works perfectly -- until the store runs out of apricots, in which case it buys the hated durian.
So, it seems like we should evaluate reward functions directly, rather than looking at their optimal policies. This paper proposes Equivalent-Policy Invariant Comparison (EPIC), which can compare two reward functions while ignoring any potential shaping that doesn’t affect the optimal policy.
EPIC is parameterized by a distribution of states and actions DS and DA, as well as a distribution DT over transitions (s, a, s’). The first step is to find canonical versions of the two rewards to be compared, such that they have expected zero reward over DS and DA, and any potential shaping is removed. Then, we look at the reward each of these would assign to transitions in DT, and compute the Pearson correlation. This is transformed to be in the range [0, 1], giving the EPIC distance.
The authors prove that EPIC is a pseudometric, that is, it behaves like a distance function, except that it is possible for EPIC(R1, R2) to be zero even if R1 and R2 are different. This is desirable, since if R1 and R2 differ by a potential shaping function, then their optimal policies are guaranteed to be the same _regardless_ of transition dynamics, and so we should report the “distance” between them to be zero.
The authors show how to approximately compute the EPIC distance in high dimensional environments, and run experiments to showcase EPIC’s properties. Their first experiment demonstrates that EPIC is able to correctly detect that a densely shaped reward for various MuJoCo environments is equivalent to a sparse reward, whereas other baseline methods are not able to do so. The second experiment compares reward models learned from preferences, demonstrations, and direct regression, and finds that the EPIC distance for the rewards learned from demonstrations are much higher than those for preferences and regression. Indeed, when the rewards are reoptimized in a new test environment, the new policies work when using the preference or regression reward models, but not when using the demonstration reward model. The final experiment shows that EPIC is robust to variations in the visitation distribution DT, while baseline methods are not.</v>
      </c>
      <c r="K854" t="str">
        <f>IFERROR(__xludf.DUMMYFUNCTION("""COMPUTED_VALUE"""),"It’s certainly true that we don’t have good methods for understanding how well our learned reward models generalize, and I’m glad that this work is pushing in that direction. I hope that future papers on reward models report EPIC distances to the ground t"&amp;"ruth reward as one of their metrics (code is available [here](https://github.com/HumanCompatibleAI/evaluating-rewards)).
One nice thing is that, roughly speaking, rewards are judged to be equivalent if they would generalize to any possible transition fun"&amp;"ction that is consistent with DT. This means that by designing DT appropriately, we can capture how much generalization we want to evaluate. This is a useful knob to have: if we used the maximally large DT, the task would be far too difficult, as it would"&amp;" be expected to generalize far more than even humans can.")</f>
        <v>It’s certainly true that we don’t have good methods for understanding how well our learned reward models generalize, and I’m glad that this work is pushing in that direction. I hope that future papers on reward models report EPIC distances to the ground truth reward as one of their metrics (code is available [here](https://github.com/HumanCompatibleAI/evaluating-rewards)).
One nice thing is that, roughly speaking, rewards are judged to be equivalent if they would generalize to any possible transition function that is consistent with DT. This means that by designing DT appropriately, we can capture how much generalization we want to evaluate. This is a useful knob to have: if we used the maximally large DT, the task would be far too difficult, as it would be expected to generalize far more than even humans can.</v>
      </c>
      <c r="M854" s="3" t="str">
        <f>IFERROR(__xludf.DUMMYFUNCTION("""COMPUTED_VALUE"""),"Blog post: An EPIC way to evaluate reward functions")</f>
        <v>Blog post: An EPIC way to evaluate reward functions</v>
      </c>
    </row>
    <row r="855">
      <c r="A855" t="str">
        <f>IFERROR(__xludf.DUMMYFUNCTION("""COMPUTED_VALUE"""),"Learning human intent")</f>
        <v>Learning human intent</v>
      </c>
      <c r="B855" t="str">
        <f>IFERROR(__xludf.DUMMYFUNCTION("""COMPUTED_VALUE"""),"Highlight")</f>
        <v>Highlight</v>
      </c>
      <c r="C855" s="3" t="str">
        <f>IFERROR(__xludf.DUMMYFUNCTION("""COMPUTED_VALUE"""),"Human Instruction-Following with Deep Reinforcement Learning via Transfer-Learning from Text")</f>
        <v>Human Instruction-Following with Deep Reinforcement Learning via Transfer-Learning from Text</v>
      </c>
      <c r="D855" t="str">
        <f>IFERROR(__xludf.DUMMYFUNCTION("""COMPUTED_VALUE"""),"Felix Hill, Sona Mokra, Nathaniel Wong, Tim Harley")</f>
        <v>Felix Hill, Sona Mokra, Nathaniel Wong, Tim Harley</v>
      </c>
      <c r="E855" t="str">
        <f>IFERROR(__xludf.DUMMYFUNCTION("""COMPUTED_VALUE"""),"arXiv")</f>
        <v>arXiv</v>
      </c>
      <c r="F855">
        <f>IFERROR(__xludf.DUMMYFUNCTION("""COMPUTED_VALUE"""),2020.0)</f>
        <v>2020</v>
      </c>
      <c r="H855" s="3" t="str">
        <f>IFERROR(__xludf.DUMMYFUNCTION("""COMPUTED_VALUE"""),"AN #103")</f>
        <v>AN #103</v>
      </c>
      <c r="I855" t="str">
        <f>IFERROR(__xludf.DUMMYFUNCTION("""COMPUTED_VALUE"""),"Nicholas")</f>
        <v>Nicholas</v>
      </c>
      <c r="J855" t="str">
        <f>IFERROR(__xludf.DUMMYFUNCTION("""COMPUTED_VALUE"""),"This paper proposes the Simulation-to-Human Instruction Following via Transfer from Text (SHIFTT) method for training an RL agent to receive commands from humans in natural language. One approach to this problem is to train an RL agent to respond to comma"&amp;"nds based on a template; however, this is not robust to small changes in how humans phrase the commands. In SHIFTT, you instead begin with a pretrained language model such as BERT and first feed the templated commands through the language model. This is t"&amp;"hen combined with vision inputs to produce a policy. The human commands are later fed through the same language model, and they find that the model has zero-shot transfer to the human commands even if they differ in structure. ")</f>
        <v>This paper proposes the Simulation-to-Human Instruction Following via Transfer from Text (SHIFTT) method for training an RL agent to receive commands from humans in natural language. One approach to this problem is to train an RL agent to respond to commands based on a template; however, this is not robust to small changes in how humans phrase the commands. In SHIFTT, you instead begin with a pretrained language model such as BERT and first feed the templated commands through the language model. This is then combined with vision inputs to produce a policy. The human commands are later fed through the same language model, and they find that the model has zero-shot transfer to the human commands even if they differ in structure. </v>
      </c>
      <c r="K855" t="str">
        <f>IFERROR(__xludf.DUMMYFUNCTION("""COMPUTED_VALUE"""),"Natural language is a very flexible and intuitive way to convey instructions to AI. In some ways, this shifts the alignment problem from the RL agent to the supervised language model, which just needs to learn how to correctly interpret the meaning behind"&amp;" human speech. One advantage of this approach is that the language model is separately trained so it can be tested and verified for safety criteria before being used to train an RL agent. It also may be more competitive than alternatives such as reward mo"&amp;"deling that require training a new reward model for each task. 
I do see a couple downsides to this approach, however. The first is that humans are not perfect at conveying their values in natural language (e.g. King Midas wishing for everything he touch"&amp;"es to turn to gold), and natural language may not have enough information to convey complex preferences. Even if humans give precise and correct commands, the language model needs to verifiably interpret those commands correctly. This could be difficult a"&amp;"s current language models are difficult to interpret and contain many harmful biases. ")</f>
        <v>Natural language is a very flexible and intuitive way to convey instructions to AI. In some ways, this shifts the alignment problem from the RL agent to the supervised language model, which just needs to learn how to correctly interpret the meaning behind human speech. One advantage of this approach is that the language model is separately trained so it can be tested and verified for safety criteria before being used to train an RL agent. It also may be more competitive than alternatives such as reward modeling that require training a new reward model for each task. 
I do see a couple downsides to this approach, however. The first is that humans are not perfect at conveying their values in natural language (e.g. King Midas wishing for everything he touches to turn to gold), and natural language may not have enough information to convey complex preferences. Even if humans give precise and correct commands, the language model needs to verifiably interpret those commands correctly. This could be difficult as current language models are difficult to interpret and contain many harmful biases. </v>
      </c>
    </row>
    <row r="856">
      <c r="A856" t="str">
        <f>IFERROR(__xludf.DUMMYFUNCTION("""COMPUTED_VALUE"""),"Learning human intent")</f>
        <v>Learning human intent</v>
      </c>
      <c r="B856" t="str">
        <f>IFERROR(__xludf.DUMMYFUNCTION("""COMPUTED_VALUE"""),"Highlight")</f>
        <v>Highlight</v>
      </c>
      <c r="C856" s="3" t="str">
        <f>IFERROR(__xludf.DUMMYFUNCTION("""COMPUTED_VALUE"""),"Grounding Language in Play")</f>
        <v>Grounding Language in Play</v>
      </c>
      <c r="D856" t="str">
        <f>IFERROR(__xludf.DUMMYFUNCTION("""COMPUTED_VALUE"""),"Corey Lynch, Pierre Sermanet")</f>
        <v>Corey Lynch, Pierre Sermanet</v>
      </c>
      <c r="E856" t="str">
        <f>IFERROR(__xludf.DUMMYFUNCTION("""COMPUTED_VALUE"""),"arXiv")</f>
        <v>arXiv</v>
      </c>
      <c r="F856">
        <f>IFERROR(__xludf.DUMMYFUNCTION("""COMPUTED_VALUE"""),2020.0)</f>
        <v>2020</v>
      </c>
      <c r="H856" s="3" t="str">
        <f>IFERROR(__xludf.DUMMYFUNCTION("""COMPUTED_VALUE"""),"AN #103")</f>
        <v>AN #103</v>
      </c>
      <c r="I856" t="str">
        <f>IFERROR(__xludf.DUMMYFUNCTION("""COMPUTED_VALUE"""),"Robert")</f>
        <v>Robert</v>
      </c>
      <c r="J856" t="str">
        <f>IFERROR(__xludf.DUMMYFUNCTION("""COMPUTED_VALUE"""),"This paper presents a new approach to learning to follow natural language human instruction in a robotics setting. It builds on similar ideas to &lt;@Learning Latent Plans from Play@&gt;, in that it uses unsupervised ""play"" data (trajectories of humans playin"&amp;"g on the robot with no goal in mind).
The paper combines several ideas to enable training a policy which can follow natural language instructions with only limited human annotations. 
* In *Hindsight Instruction Pairing*, human annotators watch small tra"&amp;"jectories from the play data, and label them with the instruction which is being completed in the clip. This instruction can take any form, and means we don't need to choose the instructions and ask humans to perform specific tasks.
* *Multicontext Imitat"&amp;"ion Learning* is a method designed to allow goal-conditioned policies to be learned with multiple different types of goals. For example, we can have lots of example trajectories where the goal is an end state image (as these can be generated automatically"&amp;" without humans), and just a small amount of example trajectories where the goal is a natural language instruction (gathered using *Hindsight Instruction Pairing*). The approach is to learn a goal embedding network for each type of goal specification, and"&amp;" a single shared policy which takes the goal embedding as input.
Combining these two methods enables them to train a policy and embedding networks end to end using imitation learning from a large dataset of (trajectory, image goal) pairs and a small data"&amp;"set of (trajectory, natural language goal) pairs. The policy can follow very long sequences of natural language instructions in a fairly complex grasping environment with a variety of buttons and objects. Their method performs better than the Learning fro"&amp;"m Play (LfP) method, even though LfP uses a goal image as the goal conditioning, instead of a natural language instruction.
Further, they propose that instead of learning the goal embedding for the natural language instructions, they use a pretrained lar"&amp;"ge language model to produce the embeddings. This improves the performance of their method over learning the embedding from scratch, which the authors claim is the first example of the knowledge in large language models being transferred and improving per"&amp;"formance in a robotics domain. This model also performs well when they create purposefully out of distribution natural language instructions (i.e. with weird synonyms, or google-translated from a different language).")</f>
        <v>This paper presents a new approach to learning to follow natural language human instruction in a robotics setting. It builds on similar ideas to &lt;@Learning Latent Plans from Play@&gt;, in that it uses unsupervised "play" data (trajectories of humans playing on the robot with no goal in mind).
The paper combines several ideas to enable training a policy which can follow natural language instructions with only limited human annotations. 
* In *Hindsight Instruction Pairing*, human annotators watch small trajectories from the play data, and label them with the instruction which is being completed in the clip. This instruction can take any form, and means we don't need to choose the instructions and ask humans to perform specific tasks.
* *Multicontext Imitation Learning* is a method designed to allow goal-conditioned policies to be learned with multiple different types of goals. For example, we can have lots of example trajectories where the goal is an end state image (as these can be generated automatically without humans), and just a small amount of example trajectories where the goal is a natural language instruction (gathered using *Hindsight Instruction Pairing*). The approach is to learn a goal embedding network for each type of goal specification, and a single shared policy which takes the goal embedding as input.
Combining these two methods enables them to train a policy and embedding networks end to end using imitation learning from a large dataset of (trajectory, image goal) pairs and a small dataset of (trajectory, natural language goal) pairs. The policy can follow very long sequences of natural language instructions in a fairly complex grasping environment with a variety of buttons and objects. Their method performs better than the Learning from Play (LfP) method, even though LfP uses a goal image as the goal conditioning, instead of a natural language instruction.
Further, they propose that instead of learning the goal embedding for the natural language instructions, they use a pretrained large language model to produce the embeddings. This improves the performance of their method over learning the embedding from scratch, which the authors claim is the first example of the knowledge in large language models being transferred and improving performance in a robotics domain. This model also performs well when they create purposefully out of distribution natural language instructions (i.e. with weird synonyms, or google-translated from a different language).</v>
      </c>
      <c r="K856" t="str">
        <f>IFERROR(__xludf.DUMMYFUNCTION("""COMPUTED_VALUE"""),"I think this paper shows two important things:
1. Embedding the natural language instructions in the same space as the image conditioning works well, and is a good way of extending the usefulness of human annotations.
2. Large pretrained language models"&amp;" can be used to improve the performance of language-conditioned reinforcement learning (in this case imitation learning) algorithms and policies.
Methods which enable us to scale human feedback to complex settings are useful, and this method seems like i"&amp;"t could scale well, especially with the use of pretrained large language models which might reduce the amount of language annotations needed further.")</f>
        <v>I think this paper shows two important things:
1. Embedding the natural language instructions in the same space as the image conditioning works well, and is a good way of extending the usefulness of human annotations.
2. Large pretrained language models can be used to improve the performance of language-conditioned reinforcement learning (in this case imitation learning) algorithms and policies.
Methods which enable us to scale human feedback to complex settings are useful, and this method seems like it could scale well, especially with the use of pretrained large language models which might reduce the amount of language annotations needed further.</v>
      </c>
    </row>
    <row r="857">
      <c r="A857" t="str">
        <f>IFERROR(__xludf.DUMMYFUNCTION("""COMPUTED_VALUE"""),"Learning human intent")</f>
        <v>Learning human intent</v>
      </c>
      <c r="B857" t="str">
        <f>IFERROR(__xludf.DUMMYFUNCTION("""COMPUTED_VALUE"""),"Highlight")</f>
        <v>Highlight</v>
      </c>
      <c r="C857" s="3" t="str">
        <f>IFERROR(__xludf.DUMMYFUNCTION("""COMPUTED_VALUE"""),"Pitfalls of learning a reward function online")</f>
        <v>Pitfalls of learning a reward function online</v>
      </c>
      <c r="D857" t="str">
        <f>IFERROR(__xludf.DUMMYFUNCTION("""COMPUTED_VALUE"""),"Stuart Armstrong, Jan Leike, Laurent Orseau, Shane Legg")</f>
        <v>Stuart Armstrong, Jan Leike, Laurent Orseau, Shane Legg</v>
      </c>
      <c r="E857" t="str">
        <f>IFERROR(__xludf.DUMMYFUNCTION("""COMPUTED_VALUE"""),"arXiv")</f>
        <v>arXiv</v>
      </c>
      <c r="F857">
        <f>IFERROR(__xludf.DUMMYFUNCTION("""COMPUTED_VALUE"""),2020.0)</f>
        <v>2020</v>
      </c>
      <c r="H857" s="3" t="str">
        <f>IFERROR(__xludf.DUMMYFUNCTION("""COMPUTED_VALUE"""),"AN #100")</f>
        <v>AN #100</v>
      </c>
      <c r="I857" t="str">
        <f>IFERROR(__xludf.DUMMYFUNCTION("""COMPUTED_VALUE"""),"Rohin")</f>
        <v>Rohin</v>
      </c>
      <c r="J857" t="str">
        <f>IFERROR(__xludf.DUMMYFUNCTION("""COMPUTED_VALUE"""),"It can be dangerous to learn the metric that you are trying to optimize: if you don't set it up correctly, you may end up incentivizing the agent to ""update in a particular direction"" in the metric learning for the sake of future optimization (a point p"&amp;"reviously made in [Towards Interactive Inverse Reinforcement Learning](https://jan.leike.name/publications/Towards%20Interactive%20Inverse%20Reinforcement%20Learning%20-%20Armstrong,%20Leike%202016.pdf)). This paper analyzes the problems that can arise wh"&amp;"en an agent simultaneously learns a reward function, and optimizes that reward function.
The agent may have an incentive to ""rig"" the reward learning process, such that it finds a reward that is easy to optimize. For example, consider a student Sandra "&amp;"who must figure out the deadline and evaluation criteria for a project from a teacher Trisha. Sandra expects that if she asks Trisha when the deadline is, she will say that the deadline is later this week. So, Sandra might cleverly ask, ""Is the project d"&amp;"ue next week, or the week after"", to which Trisha might respond ""next week"". In this way, Sandra can rig the deadline-learning process in order to obtain a more favorable deadline.
Worse, in such scenarios the need to rig the learning process can dest"&amp;"roy value for _every_ reward function you are considering. For example, let's suppose that if Trisha couldn't be manipulated, Sandra's optimal policy would be to start the project today, _regardless_ of when the actual deadline is. However, given that Tri"&amp;"sha _can_ be manipulated, Sandra will spend today manipulating Trisha into setting a later deadline -- an action that seems clearly suboptimal from the perspective of any fixed deadline. The paper describes this as _sacrificing reward with certainty_.
To"&amp;" avoid such situations, we need _unriggable_ learning processes, that is, ones where at all times, the expected final learned reward (deadline) is independent of the agent's (Sandra's) policy. This unriggability property is nearly equivalent to the proper"&amp;"ty of _uninfluencability_, in which we must be able to posit some background variables in the environment such that the learning process can be said to be ""learning"" these variables. Technically, an unriggable process need not be uninfluenceable, though"&amp;" it usually is (see the paper for details).
However, these properties only constrain the _expectation over environments_ of the final reward distribution: it doesn't prevent the agent from somehow shuffling around reward functions to be matched with suit"&amp;"able environments. For example, without knowing which projects are easy or hard, Sandra could manipulate Trisha into giving early deadlines for easy projects, and late deadlines for hard projects, in a manner that preserved the _distribution_ over early a"&amp;"nd late deadlines; this would satisfy the unriggable property (and probably also the uninfluenceable property, depending on the exact formalization).
The authors demonstrate these problems in a simple gridworld example. They also point out that there's a"&amp;" simple way to make any learning process uninfluenceable: choose a specific policy π that gathers information about the reward, and then define the new learning process to be ""whatever the original learning process would have said if you executed π"".")</f>
        <v>It can be dangerous to learn the metric that you are trying to optimize: if you don't set it up correctly, you may end up incentivizing the agent to "update in a particular direction" in the metric learning for the sake of future optimization (a point previously made in [Towards Interactive Inverse Reinforcement Learning](https://jan.leike.name/publications/Towards%20Interactive%20Inverse%20Reinforcement%20Learning%20-%20Armstrong,%20Leike%202016.pdf)). This paper analyzes the problems that can arise when an agent simultaneously learns a reward function, and optimizes that reward function.
The agent may have an incentive to "rig" the reward learning process, such that it finds a reward that is easy to optimize. For example, consider a student Sandra who must figure out the deadline and evaluation criteria for a project from a teacher Trisha. Sandra expects that if she asks Trisha when the deadline is, she will say that the deadline is later this week. So, Sandra might cleverly ask, "Is the project due next week, or the week after", to which Trisha might respond "next week". In this way, Sandra can rig the deadline-learning process in order to obtain a more favorable deadline.
Worse, in such scenarios the need to rig the learning process can destroy value for _every_ reward function you are considering. For example, let's suppose that if Trisha couldn't be manipulated, Sandra's optimal policy would be to start the project today, _regardless_ of when the actual deadline is. However, given that Trisha _can_ be manipulated, Sandra will spend today manipulating Trisha into setting a later deadline -- an action that seems clearly suboptimal from the perspective of any fixed deadline. The paper describes this as _sacrificing reward with certainty_.
To avoid such situations, we need _unriggable_ learning processes, that is, ones where at all times, the expected final learned reward (deadline) is independent of the agent's (Sandra's) policy. This unriggability property is nearly equivalent to the property of _uninfluencability_, in which we must be able to posit some background variables in the environment such that the learning process can be said to be "learning" these variables. Technically, an unriggable process need not be uninfluenceable, though it usually is (see the paper for details).
However, these properties only constrain the _expectation over environments_ of the final reward distribution: it doesn't prevent the agent from somehow shuffling around reward functions to be matched with suitable environments. For example, without knowing which projects are easy or hard, Sandra could manipulate Trisha into giving early deadlines for easy projects, and late deadlines for hard projects, in a manner that preserved the _distribution_ over early and late deadlines; this would satisfy the unriggable property (and probably also the uninfluenceable property, depending on the exact formalization).
The authors demonstrate these problems in a simple gridworld example. They also point out that there's a simple way to make any learning process uninfluenceable: choose a specific policy π that gathers information about the reward, and then define the new learning process to be "whatever the original learning process would have said if you executed π".</v>
      </c>
      <c r="K857" t="str">
        <f>IFERROR(__xludf.DUMMYFUNCTION("""COMPUTED_VALUE"""),"I would explain this paper's point somewhat differently than the paper does. Consider an AI system in which we build in a prior over rewards and an update rule, and then have it act in the world. At the end of the trajectory, it is rewarded according to t"&amp;"he expected reward of the trajectory under the inferred posterior over rewards. Then, the AI system is incentivized to choose actions under which the resulting posterior is easy to maximize.
This doesn't require the reward function to be ambiguous; it ju"&amp;"st requires that the update rule isn't perfect. For example, imagine that Alice has a real preference for apples over bananas, and you use the update rule ""if Alice eats an apple, infer that she likes apples; if Alice eats a banana, infer that she likes "&amp;"bananas"". The robot finds it easier to grasp the rigid apple, and so can get higher expected reward in the worlds where Alice likes apples. If you train a robot in the manner above, then the robot will learn to throw away the bananas, so that Alice's onl"&amp;"y choice is an apple (that we assume she then eats), allowing the robot to ""infer"" that Alice likes apples, which it can then easily maximize. This sort of problem could happen in most current reward learning setups, if we had powerful enough optimizers"&amp;".
It seems to me that the problem is that you are training the actor, but not training the update rule, and so the actor learns to ""trick"" the update rule. Instead, it seems like we should train both. This is kind of what happens with &lt;@assistance game"&amp;"s / CIRL@&gt;(@Cooperative Inverse Reinforcement Learning@), in which you train a policy to maximize expected reward under the _prior_, and so the policy is incentivized to take the best information gathering actions (which, if you squint, is like ""training"&amp;" to update well""), and to maximize what it thinks is the true reward. Of course, if your prior / update rule within the game are misspecified, then bad things can happen. See also Stuart's reactions [here](https://www.alignmentforum.org/posts/gbuwgyYG9Wv"&amp;"tsErki/how-should-ais-update-a-prior-over-human-preferences) and [here](https://www.alignmentforum.org/posts/EYEkYX6vijL7zsKEt/reward-functions-and-updating-assumptions-can-hide-a), as well as my comments on those posts.")</f>
        <v>I would explain this paper's point somewhat differently than the paper does. Consider an AI system in which we build in a prior over rewards and an update rule, and then have it act in the world. At the end of the trajectory, it is rewarded according to the expected reward of the trajectory under the inferred posterior over rewards. Then, the AI system is incentivized to choose actions under which the resulting posterior is easy to maximize.
This doesn't require the reward function to be ambiguous; it just requires that the update rule isn't perfect. For example, imagine that Alice has a real preference for apples over bananas, and you use the update rule "if Alice eats an apple, infer that she likes apples; if Alice eats a banana, infer that she likes bananas". The robot finds it easier to grasp the rigid apple, and so can get higher expected reward in the worlds where Alice likes apples. If you train a robot in the manner above, then the robot will learn to throw away the bananas, so that Alice's only choice is an apple (that we assume she then eats), allowing the robot to "infer" that Alice likes apples, which it can then easily maximize. This sort of problem could happen in most current reward learning setups, if we had powerful enough optimizers.
It seems to me that the problem is that you are training the actor, but not training the update rule, and so the actor learns to "trick" the update rule. Instead, it seems like we should train both. This is kind of what happens with &lt;@assistance games / CIRL@&gt;(@Cooperative Inverse Reinforcement Learning@), in which you train a policy to maximize expected reward under the _prior_, and so the policy is incentivized to take the best information gathering actions (which, if you squint, is like "training to update well"), and to maximize what it thinks is the true reward. Of course, if your prior / update rule within the game are misspecified, then bad things can happen. See also Stuart's reactions [here](https://www.alignmentforum.org/posts/gbuwgyYG9WvtsErki/how-should-ais-update-a-prior-over-human-preferences) and [here](https://www.alignmentforum.org/posts/EYEkYX6vijL7zsKEt/reward-functions-and-updating-assumptions-can-hide-a), as well as my comments on those posts.</v>
      </c>
      <c r="M857" s="3" t="str">
        <f>IFERROR(__xludf.DUMMYFUNCTION("""COMPUTED_VALUE"""),"Blog post: Learning and manipulating learning")</f>
        <v>Blog post: Learning and manipulating learning</v>
      </c>
    </row>
    <row r="858">
      <c r="A858" t="str">
        <f>IFERROR(__xludf.DUMMYFUNCTION("""COMPUTED_VALUE"""),"Learning human intent")</f>
        <v>Learning human intent</v>
      </c>
      <c r="B858" t="str">
        <f>IFERROR(__xludf.DUMMYFUNCTION("""COMPUTED_VALUE"""),"Highlight")</f>
        <v>Highlight</v>
      </c>
      <c r="C858" s="3" t="str">
        <f>IFERROR(__xludf.DUMMYFUNCTION("""COMPUTED_VALUE"""),"Variational Inverse Control with Events: A General Framework for Data-Driven Reward Definition")</f>
        <v>Variational Inverse Control with Events: A General Framework for Data-Driven Reward Definition</v>
      </c>
      <c r="D858" t="str">
        <f>IFERROR(__xludf.DUMMYFUNCTION("""COMPUTED_VALUE"""),"Justin Fu, Avi Singh, Dibya Ghosh, Larry Yang, Sergey Levine")</f>
        <v>Justin Fu, Avi Singh, Dibya Ghosh, Larry Yang, Sergey Levine</v>
      </c>
      <c r="E858" t="str">
        <f>IFERROR(__xludf.DUMMYFUNCTION("""COMPUTED_VALUE"""),"NIPS 2018")</f>
        <v>NIPS 2018</v>
      </c>
      <c r="F858">
        <f>IFERROR(__xludf.DUMMYFUNCTION("""COMPUTED_VALUE"""),2018.0)</f>
        <v>2018</v>
      </c>
      <c r="H858" s="3" t="str">
        <f>IFERROR(__xludf.DUMMYFUNCTION("""COMPUTED_VALUE"""),"AN #10")</f>
        <v>AN #10</v>
      </c>
      <c r="I858" t="str">
        <f>IFERROR(__xludf.DUMMYFUNCTION("""COMPUTED_VALUE"""),"Rohin")</f>
        <v>Rohin</v>
      </c>
      <c r="J858" t="str">
        <f>IFERROR(__xludf.DUMMYFUNCTION("""COMPUTED_VALUE"""),"For reinforcement learning, we can create a probabilistic model in which there are events for the state the agent is in and the action the agent takes. We can also add events e_t corresponding roughly to ""the agent achieved something good in timestep t"""&amp;". We set P(e_t = 1 | s_t, a_t) to be exp(R(s_t, a_t)). Then, we can simply set all of the e_t to 1, and infer the likely state-action pairs that would have led to that. This leads to maximum entropy reinforcement learning, which in the setting of determin"&amp;"istic dynamics is equivalent to soft Q-learning. The authors then note that in this setup, the reward corresponds to the log probability of event e_t happening. So, instead of specifying a reward function, we can instead define binary events that we care "&amp;"about, model their probability of occurring, and then find the actions that maximize the likelihood of the event occurring. The authors derive backup equations for three kinds of queries -- ALL (the event must happen every timestep), AT (the event happens"&amp;" at a particular timestep), and ANY (the event happens on some timestep).
In this setup, specifying a reward function corresponds to explicitly writing down probabilities P(e | s, a). Of course, we can learn these probabilities from data using standard M"&amp;"L techniques, and this now corresponds to learning a reward function! If we use the ALL query, this corresponds to inverse reinforcement learning. However, by using the AT or ANY query instead, we only require examples of the event e_t for a single s_t an"&amp;"d a_t -- for example, images that represent a goal state. They derive an algorithm for this query and show experimentally that this framework can learn event probabilities that lead to good behavior on Mujoco environments.")</f>
        <v>For reinforcement learning, we can create a probabilistic model in which there are events for the state the agent is in and the action the agent takes. We can also add events e_t corresponding roughly to "the agent achieved something good in timestep t". We set P(e_t = 1 | s_t, a_t) to be exp(R(s_t, a_t)). Then, we can simply set all of the e_t to 1, and infer the likely state-action pairs that would have led to that. This leads to maximum entropy reinforcement learning, which in the setting of deterministic dynamics is equivalent to soft Q-learning. The authors then note that in this setup, the reward corresponds to the log probability of event e_t happening. So, instead of specifying a reward function, we can instead define binary events that we care about, model their probability of occurring, and then find the actions that maximize the likelihood of the event occurring. The authors derive backup equations for three kinds of queries -- ALL (the event must happen every timestep), AT (the event happens at a particular timestep), and ANY (the event happens on some timestep).
In this setup, specifying a reward function corresponds to explicitly writing down probabilities P(e | s, a). Of course, we can learn these probabilities from data using standard ML techniques, and this now corresponds to learning a reward function! If we use the ALL query, this corresponds to inverse reinforcement learning. However, by using the AT or ANY query instead, we only require examples of the event e_t for a single s_t and a_t -- for example, images that represent a goal state. They derive an algorithm for this query and show experimentally that this framework can learn event probabilities that lead to good behavior on Mujoco environments.</v>
      </c>
      <c r="K858" t="str">
        <f>IFERROR(__xludf.DUMMYFUNCTION("""COMPUTED_VALUE"""),"I like this framework for a couple of reasons. First, it allows for multiple kinds of queries, which correspond to different ways of specifying tasks, increasing the number of types of inputs we can give in order to communincate our intent to an AI. Concr"&amp;"etely, the framework can handle both demonstrations (as in IRL) and examples of goal states. Second, it reduces learning a reward function to learning the probabilities of events, which has been studied in much more depth in the machine learning community"&amp;" and so will hopefully work better.")</f>
        <v>I like this framework for a couple of reasons. First, it allows for multiple kinds of queries, which correspond to different ways of specifying tasks, increasing the number of types of inputs we can give in order to communincate our intent to an AI. Concretely, the framework can handle both demonstrations (as in IRL) and examples of goal states. Second, it reduces learning a reward function to learning the probabilities of events, which has been studied in much more depth in the machine learning community and so will hopefully work better.</v>
      </c>
    </row>
    <row r="859">
      <c r="A859" t="str">
        <f>IFERROR(__xludf.DUMMYFUNCTION("""COMPUTED_VALUE"""),"Learning human intent")</f>
        <v>Learning human intent</v>
      </c>
      <c r="B859" t="str">
        <f>IFERROR(__xludf.DUMMYFUNCTION("""COMPUTED_VALUE"""),"")</f>
        <v/>
      </c>
      <c r="C859" s="3" t="str">
        <f>IFERROR(__xludf.DUMMYFUNCTION("""COMPUTED_VALUE"""),"Shared Autonomy via Hindsight Optimization")</f>
        <v>Shared Autonomy via Hindsight Optimization</v>
      </c>
      <c r="D859" t="str">
        <f>IFERROR(__xludf.DUMMYFUNCTION("""COMPUTED_VALUE"""),"Shervin Javdani, Siddhartha S. Srinivasa, J. Andrew Bagnell")</f>
        <v>Shervin Javdani, Siddhartha S. Srinivasa, J. Andrew Bagnell</v>
      </c>
      <c r="E859" t="str">
        <f>IFERROR(__xludf.DUMMYFUNCTION("""COMPUTED_VALUE"""),"arXiv")</f>
        <v>arXiv</v>
      </c>
      <c r="F859">
        <f>IFERROR(__xludf.DUMMYFUNCTION("""COMPUTED_VALUE"""),2015.0)</f>
        <v>2015</v>
      </c>
      <c r="H859" s="3" t="str">
        <f>IFERROR(__xludf.DUMMYFUNCTION("""COMPUTED_VALUE"""),"AN #98")</f>
        <v>AN #98</v>
      </c>
      <c r="I859" t="str">
        <f>IFERROR(__xludf.DUMMYFUNCTION("""COMPUTED_VALUE"""),"Rohin")</f>
        <v>Rohin</v>
      </c>
      <c r="J859" t="str">
        <f>IFERROR(__xludf.DUMMYFUNCTION("""COMPUTED_VALUE"""),"This paper considers a shared autonomy task in which a user controls a robot to achieve some goal, and the robot learns to assist the user, without knowing the goal in advance. They formalize this as a POMDP in which the state includes the user's goal, wh"&amp;"ich the robot does not get to observe. However, the POMDP observation model assigns higher probability to user actions that better achieve the goal (a standard Boltzmann rationality model), and this allows the agent to reason about what the goal must be. "&amp;"In practice, for computational tractability, rather than choosing optimal actions in the overall POMDP, the robot chooses optimal actions using a technique called hindsight optimization, which _assumes that the robot will never learn more information abou"&amp;"t the user's goal_.")</f>
        <v>This paper considers a shared autonomy task in which a user controls a robot to achieve some goal, and the robot learns to assist the user, without knowing the goal in advance. They formalize this as a POMDP in which the state includes the user's goal, which the robot does not get to observe. However, the POMDP observation model assigns higher probability to user actions that better achieve the goal (a standard Boltzmann rationality model), and this allows the agent to reason about what the goal must be. In practice, for computational tractability, rather than choosing optimal actions in the overall POMDP, the robot chooses optimal actions using a technique called hindsight optimization, which _assumes that the robot will never learn more information about the user's goal_.</v>
      </c>
      <c r="K859" t="str">
        <f>IFERROR(__xludf.DUMMYFUNCTION("""COMPUTED_VALUE"""),"The formulation of a POMDP with uncertainty over the goal is remarkably similar to the formulation of &lt;@Cooperative Inverse Reinforcement Learning@&gt; (and predates it), with the main difference being that there is only one actor (the robot hardware).")</f>
        <v>The formulation of a POMDP with uncertainty over the goal is remarkably similar to the formulation of &lt;@Cooperative Inverse Reinforcement Learning@&gt; (and predates it), with the main difference being that there is only one actor (the robot hardware).</v>
      </c>
    </row>
    <row r="860">
      <c r="A860" t="str">
        <f>IFERROR(__xludf.DUMMYFUNCTION("""COMPUTED_VALUE"""),"Learning human intent")</f>
        <v>Learning human intent</v>
      </c>
      <c r="B860" t="str">
        <f>IFERROR(__xludf.DUMMYFUNCTION("""COMPUTED_VALUE"""),"")</f>
        <v/>
      </c>
      <c r="C860" s="3" t="str">
        <f>IFERROR(__xludf.DUMMYFUNCTION("""COMPUTED_VALUE"""),"LESS is More: Rethinking Probabilistic Models of Human Behavior")</f>
        <v>LESS is More: Rethinking Probabilistic Models of Human Behavior</v>
      </c>
      <c r="D860" t="str">
        <f>IFERROR(__xludf.DUMMYFUNCTION("""COMPUTED_VALUE"""),"Andreea Bobu*, Dexter R.R. Scobee*, Jaime F. Fisac, S. Shankar Sastry, Anca D. Dragan")</f>
        <v>Andreea Bobu*, Dexter R.R. Scobee*, Jaime F. Fisac, S. Shankar Sastry, Anca D. Dragan</v>
      </c>
      <c r="E860" t="str">
        <f>IFERROR(__xludf.DUMMYFUNCTION("""COMPUTED_VALUE"""),"HRI 2020")</f>
        <v>HRI 2020</v>
      </c>
      <c r="F860">
        <f>IFERROR(__xludf.DUMMYFUNCTION("""COMPUTED_VALUE"""),2020.0)</f>
        <v>2020</v>
      </c>
      <c r="H860" s="3" t="str">
        <f>IFERROR(__xludf.DUMMYFUNCTION("""COMPUTED_VALUE"""),"AN #96")</f>
        <v>AN #96</v>
      </c>
      <c r="I860" t="str">
        <f>IFERROR(__xludf.DUMMYFUNCTION("""COMPUTED_VALUE"""),"Asya")</f>
        <v>Asya</v>
      </c>
      <c r="J860" t="str">
        <f>IFERROR(__xludf.DUMMYFUNCTION("""COMPUTED_VALUE"""),"This paper introduces a new model for robots inferring human preferences called LESS. The traditional Boltzmann noisily-rational decision model assumes people approximately optimize a reward function and choose trajectories in proportion to their exponent"&amp;"iated reward. The Boltzmann model works well when modeling decisions among different discrete options, but runs into problems when modeling human trajectories in a continuous space, e.g. path finding, because it is very sensitive to the number of trajecto"&amp;"ries, even if they are similar-- if a robot using a Boltzmann model must predict whether a human navigates around an obstacle by taking one path on the left or one of three very-similar paths on the right, it will assign the same probability to each path "&amp;"by default.
To fix this, LESS predicts human behavior by treating each trajectory as part of a continuous space and mapping each one to a feature vector. The likelihood of selecting a trajectory is inversely proportional to its feature-space similarity w"&amp;"ith other trajectories, meaning similar trajectories are appropriately deweighted.
The paper tests the predictive performance of LESS vs. Boltzmann in several experimental environments, including an artifically constructed task where humans are asked to "&amp;"choose between similar paths for navigating around an obstacle, and a real-world task where humans demonstrate appropriate behaviors to a 7-degree-of-freedom robotic arm. In general, LESS performs better than Boltzmann when given a small number of samples"&amp;" of human behavior, but does equally well as the sample size is increased. In the robotic arm task, Boltzmann performed better when demonstrations were aggregated into a single batch and inference was run on the whole batch at once, representing trying to"&amp;" approximate the 'average' user rather than customizing behavior to each user. The paper claims that this happens because Boltzmann overlearns from demonstrations in sparse regions, and underlearns from dense demonstrations. As you increase the number of "&amp;"samples, you approximate the “true” trajectory space better and better, so the 10 trajectory sets vary less and less, which means Boltzmann won’t underperform so much. Since the single batch demonstration aggregated demonstrations, it had a similar effect"&amp;" in approximating the ""true"" trajectory space.
The paper notes that one limitation of this method is a reliance on a pre-specified set of robot features, though a small set of experimental results suggested that LESS still performed better than Boltzma"&amp;"nn when adding a small number of irrelevant features.")</f>
        <v>This paper introduces a new model for robots inferring human preferences called LESS. The traditional Boltzmann noisily-rational decision model assumes people approximately optimize a reward function and choose trajectories in proportion to their exponentiated reward. The Boltzmann model works well when modeling decisions among different discrete options, but runs into problems when modeling human trajectories in a continuous space, e.g. path finding, because it is very sensitive to the number of trajectories, even if they are similar-- if a robot using a Boltzmann model must predict whether a human navigates around an obstacle by taking one path on the left or one of three very-similar paths on the right, it will assign the same probability to each path by default.
To fix this, LESS predicts human behavior by treating each trajectory as part of a continuous space and mapping each one to a feature vector. The likelihood of selecting a trajectory is inversely proportional to its feature-space similarity with other trajectories, meaning similar trajectories are appropriately deweighted.
The paper tests the predictive performance of LESS vs. Boltzmann in several experimental environments, including an artifically constructed task where humans are asked to choose between similar paths for navigating around an obstacle, and a real-world task where humans demonstrate appropriate behaviors to a 7-degree-of-freedom robotic arm. In general, LESS performs better than Boltzmann when given a small number of samples of human behavior, but does equally well as the sample size is increased. In the robotic arm task, Boltzmann performed better when demonstrations were aggregated into a single batch and inference was run on the whole batch at once, representing trying to approximate the 'average' user rather than customizing behavior to each user. The paper claims that this happens because Boltzmann overlearns from demonstrations in sparse regions, and underlearns from dense demonstrations. As you increase the number of samples, you approximate the “true” trajectory space better and better, so the 10 trajectory sets vary less and less, which means Boltzmann won’t underperform so much. Since the single batch demonstration aggregated demonstrations, it had a similar effect in approximating the "true" trajectory space.
The paper notes that one limitation of this method is a reliance on a pre-specified set of robot features, though a small set of experimental results suggested that LESS still performed better than Boltzmann when adding a small number of irrelevant features.</v>
      </c>
      <c r="K860" t="str">
        <f>IFERROR(__xludf.DUMMYFUNCTION("""COMPUTED_VALUE"""),"This seems like a good paper, and seems very much like the natural extension of Boltzmann models to include accounting for similar trajectories. As the paper notes, I largely worry about the reliance on a pre-specified set of robot features-- in more comp"&amp;"licated cases of inference, it could be impractical to hand-specify relevant features and too difficult to have the robot infer them. In the worst case, it seems like misspecified features could make performance worse than Boltzmann via suggesting similar"&amp;"ities that are irrelevant.
**Rohin's opinion:** (Note that this paper comes from the InterACT lab, which I am a part of.)
The Boltzmann model of human behavior has several theoretical justifications: it's the maximum entropy (i.e. [minimum encoded infor"&amp;"mation](https://en.wikipedia.org/wiki/Principle_of_maximum_entropy)) distribution over trajectories subject to the constraint that the feature expectations match those of the observed human behavior; it's the maximum entropy distribution under the assumpt"&amp;"ion that humans satisfice for expected reward above some threshold, etc. I have never found these very compelling, and instead see it as something far simpler: you want your model to encode the fact that humans are more likely to take good actions than ba"&amp;"d actions, and you want your model to assign non-zero probability to all trajectories; the Boltzmann model is the simplest model that meets these criteria. (You could imagine removing the exponential in the model as ""even simpler"", but this is equivalen"&amp;"t to a monotonic transformation of the reward function.) 
I view this paper as proposing a model that meets my two criteria before, and adds in a third one: when we can cluster trajectories based on similarity, then we should view the human as choosing b"&amp;"etween _clusters_, rather than choosing between trajectories. Given a good similarity metric, this seems like a much better model of human behavior -- if I'm walking and there's a tree in my path, I will choose which side of the tree to go around, but I'm"&amp;" not going to put much thought into exactly where my footsteps will fall.
I found the claim that Boltzmann overlearns in sparse areas to be unintuitive, and so I delved into it deeper in this [comment](https://www.alignmentforum.org/posts/TmHRACaxXrLbXb5"&amp;"tS/rohinmshah-s-shortform?commentId=Hb6m2C9wtKWTzYL8d). My overall takeaway was that the claim will often hold in practice, but it isn't guaranteed.")</f>
        <v>This seems like a good paper, and seems very much like the natural extension of Boltzmann models to include accounting for similar trajectories. As the paper notes, I largely worry about the reliance on a pre-specified set of robot features-- in more complicated cases of inference, it could be impractical to hand-specify relevant features and too difficult to have the robot infer them. In the worst case, it seems like misspecified features could make performance worse than Boltzmann via suggesting similarities that are irrelevant.
**Rohin's opinion:** (Note that this paper comes from the InterACT lab, which I am a part of.)
The Boltzmann model of human behavior has several theoretical justifications: it's the maximum entropy (i.e. [minimum encoded information](https://en.wikipedia.org/wiki/Principle_of_maximum_entropy)) distribution over trajectories subject to the constraint that the feature expectations match those of the observed human behavior; it's the maximum entropy distribution under the assumption that humans satisfice for expected reward above some threshold, etc. I have never found these very compelling, and instead see it as something far simpler: you want your model to encode the fact that humans are more likely to take good actions than bad actions, and you want your model to assign non-zero probability to all trajectories; the Boltzmann model is the simplest model that meets these criteria. (You could imagine removing the exponential in the model as "even simpler", but this is equivalent to a monotonic transformation of the reward function.) 
I view this paper as proposing a model that meets my two criteria before, and adds in a third one: when we can cluster trajectories based on similarity, then we should view the human as choosing between _clusters_, rather than choosing between trajectories. Given a good similarity metric, this seems like a much better model of human behavior -- if I'm walking and there's a tree in my path, I will choose which side of the tree to go around, but I'm not going to put much thought into exactly where my footsteps will fall.
I found the claim that Boltzmann overlearns in sparse areas to be unintuitive, and so I delved into it deeper in this [comment](https://www.alignmentforum.org/posts/TmHRACaxXrLbXb5tS/rohinmshah-s-shortform?commentId=Hb6m2C9wtKWTzYL8d). My overall takeaway was that the claim will often hold in practice, but it isn't guaranteed.</v>
      </c>
    </row>
    <row r="861">
      <c r="A861" t="str">
        <f>IFERROR(__xludf.DUMMYFUNCTION("""COMPUTED_VALUE"""),"Learning human intent")</f>
        <v>Learning human intent</v>
      </c>
      <c r="B861" t="str">
        <f>IFERROR(__xludf.DUMMYFUNCTION("""COMPUTED_VALUE"""),"")</f>
        <v/>
      </c>
      <c r="C861" s="3" t="str">
        <f>IFERROR(__xludf.DUMMYFUNCTION("""COMPUTED_VALUE"""),"Meta-Inverse Reinforcement Learning with Probabilistic Context Variables")</f>
        <v>Meta-Inverse Reinforcement Learning with Probabilistic Context Variables</v>
      </c>
      <c r="D861" t="str">
        <f>IFERROR(__xludf.DUMMYFUNCTION("""COMPUTED_VALUE"""),"Lantao Yu*, Tianhe Yu*, Chelsea Finn, Stefano Ermon")</f>
        <v>Lantao Yu*, Tianhe Yu*, Chelsea Finn, Stefano Ermon</v>
      </c>
      <c r="E861" t="str">
        <f>IFERROR(__xludf.DUMMYFUNCTION("""COMPUTED_VALUE"""),"NeurIPS 2019")</f>
        <v>NeurIPS 2019</v>
      </c>
      <c r="F861">
        <f>IFERROR(__xludf.DUMMYFUNCTION("""COMPUTED_VALUE"""),2019.0)</f>
        <v>2019</v>
      </c>
      <c r="H861" s="3" t="str">
        <f>IFERROR(__xludf.DUMMYFUNCTION("""COMPUTED_VALUE"""),"AN #87")</f>
        <v>AN #87</v>
      </c>
      <c r="I861" t="str">
        <f>IFERROR(__xludf.DUMMYFUNCTION("""COMPUTED_VALUE"""),"Sudhanshu")</f>
        <v>Sudhanshu</v>
      </c>
      <c r="J861" t="str">
        <f>IFERROR(__xludf.DUMMYFUNCTION("""COMPUTED_VALUE"""),"This work explores improving performance on multi-task inverse reinforcement learning in a single-shot setting by extending &lt;@Adversarial Inverse Reinforcement Learning@&gt;(@Learning Robust Rewards with Adversarial Inverse Reinforcement Learning@) with ""la"&amp;"tent context variables"" that condition the learned reward function. The paper makes two notable contributions: 1) It details an algorithm to simultaneously learn a flexible reward function and a conditional policy with competitive few-shot generalization"&amp;" abilities from expert demonstrations of multiple related tasks _without_ task specifications or identifiers; 2) The authors empirically demonstrate strong performance of a policy trained on the inferred reward of a structurally similar task with modified"&amp;" environmental dynamics, claiming that in order to succeed ""the agent must correctly infer the underlying goal of the task instead of simply mimicking the demonstration"".")</f>
        <v>This work explores improving performance on multi-task inverse reinforcement learning in a single-shot setting by extending &lt;@Adversarial Inverse Reinforcement Learning@&gt;(@Learning Robust Rewards with Adversarial Inverse Reinforcement Learning@) with "latent context variables" that condition the learned reward function. The paper makes two notable contributions: 1) It details an algorithm to simultaneously learn a flexible reward function and a conditional policy with competitive few-shot generalization abilities from expert demonstrations of multiple related tasks _without_ task specifications or identifiers; 2) The authors empirically demonstrate strong performance of a policy trained on the inferred reward of a structurally similar task with modified environmental dynamics, claiming that in order to succeed "the agent must correctly infer the underlying goal of the task instead of simply mimicking the demonstration".</v>
      </c>
      <c r="K861" t="str">
        <f>IFERROR(__xludf.DUMMYFUNCTION("""COMPUTED_VALUE"""),"Since this work ""integrates ideas from context-based meta-learning, deep latent variable generative models, and maximum entropy inverse RL"" and covers the relevant mathematics, it is an involved, if rewarding, study into multi-task IRL. I am convinced t"&amp;"hat this is a big step forward for IRL, but I'd be interested in seeing comparisons on setups that are more complicated.
'Data efficiency' is implied as a desirable quality, and the paper makes a case that they learn from a limited number demonstrations "&amp;"at meta-test time. However, it does not specify how many demonstrations were required for each task during _meta-training_. Additionally, for two environments, _tens of millions_ of environment interactions were required, which is entirely infeasible for "&amp;"real systems.")</f>
        <v>Since this work "integrates ideas from context-based meta-learning, deep latent variable generative models, and maximum entropy inverse RL" and covers the relevant mathematics, it is an involved, if rewarding, study into multi-task IRL. I am convinced that this is a big step forward for IRL, but I'd be interested in seeing comparisons on setups that are more complicated.
'Data efficiency' is implied as a desirable quality, and the paper makes a case that they learn from a limited number demonstrations at meta-test time. However, it does not specify how many demonstrations were required for each task during _meta-training_. Additionally, for two environments, _tens of millions_ of environment interactions were required, which is entirely infeasible for real systems.</v>
      </c>
    </row>
    <row r="862">
      <c r="A862" t="str">
        <f>IFERROR(__xludf.DUMMYFUNCTION("""COMPUTED_VALUE"""),"Learning human intent")</f>
        <v>Learning human intent</v>
      </c>
      <c r="B862" t="str">
        <f>IFERROR(__xludf.DUMMYFUNCTION("""COMPUTED_VALUE"""),"")</f>
        <v/>
      </c>
      <c r="C862" s="3" t="str">
        <f>IFERROR(__xludf.DUMMYFUNCTION("""COMPUTED_VALUE"""),"Deep Bayesian Reward Learning from Preferences")</f>
        <v>Deep Bayesian Reward Learning from Preferences</v>
      </c>
      <c r="D862" t="str">
        <f>IFERROR(__xludf.DUMMYFUNCTION("""COMPUTED_VALUE"""),"Daniel S. Brown, Scott Niekum")</f>
        <v>Daniel S. Brown, Scott Niekum</v>
      </c>
      <c r="E862" t="str">
        <f>IFERROR(__xludf.DUMMYFUNCTION("""COMPUTED_VALUE"""),"Workshop on Safety and Robustness in Decision Making at NeurIPS 2019")</f>
        <v>Workshop on Safety and Robustness in Decision Making at NeurIPS 2019</v>
      </c>
      <c r="F862">
        <f>IFERROR(__xludf.DUMMYFUNCTION("""COMPUTED_VALUE"""),2019.0)</f>
        <v>2019</v>
      </c>
      <c r="H862" s="3" t="str">
        <f>IFERROR(__xludf.DUMMYFUNCTION("""COMPUTED_VALUE"""),"AN #86")</f>
        <v>AN #86</v>
      </c>
      <c r="I862" t="str">
        <f>IFERROR(__xludf.DUMMYFUNCTION("""COMPUTED_VALUE"""),"Zach")</f>
        <v>Zach</v>
      </c>
      <c r="J862" t="str">
        <f>IFERROR(__xludf.DUMMYFUNCTION("""COMPUTED_VALUE"""),"Bayesian inverse reinforcement learning (IRL) is ideal for safe imitation learning since it allows uncertainty in the reward function estimator to be quantified. This approach requires thousands of likelihood estimates for proposed reward functions. Howev"&amp;"er, each likelihood estimate requires training an agent according to the hypothesized reward function. Predictably, such a method is computationally intractable for high dimensional problems.
**In this paper, the authors propose Bayesian Reward Extrapola"&amp;"tion (B-REX), a scalable preference-based Bayesian reward learning algorithm.** They note that in this setting, a likelihood estimate that requires a loop over all demonstrations is much more feasible than an estimate that requires training a new agent. S"&amp;"o, they assume that they have a set of _ranked_ trajectories, and evaluate the likelihood of a reward function by its ability to reproduce the preference ordering in the demonstrations. To get further speedups, they fix all but the last layer of the rewar"&amp;"d model using a pretraining step: the reward of a trajectory is then simply the dot product of the last layer with the features of the trajectory as computed by all but the last layer of the net (which can be precomputed and cached once).
The authors tes"&amp;"t B-REX on pixel-level Atari games and show competitive performance to &lt;@T-REX@&gt;(@Extrapolating Beyond Suboptimal Demonstrations via Inverse Reinforcement Learning from Observations@), a related method that only computes the MAP estimate. Furthermore, the"&amp;" authors can create confidence intervals for performance since they can sample from the reward distribution.")</f>
        <v>Bayesian inverse reinforcement learning (IRL) is ideal for safe imitation learning since it allows uncertainty in the reward function estimator to be quantified. This approach requires thousands of likelihood estimates for proposed reward functions. However, each likelihood estimate requires training an agent according to the hypothesized reward function. Predictably, such a method is computationally intractable for high dimensional problems.
**In this paper, the authors propose Bayesian Reward Extrapolation (B-REX), a scalable preference-based Bayesian reward learning algorithm.** They note that in this setting, a likelihood estimate that requires a loop over all demonstrations is much more feasible than an estimate that requires training a new agent. So, they assume that they have a set of _ranked_ trajectories, and evaluate the likelihood of a reward function by its ability to reproduce the preference ordering in the demonstrations. To get further speedups, they fix all but the last layer of the reward model using a pretraining step: the reward of a trajectory is then simply the dot product of the last layer with the features of the trajectory as computed by all but the last layer of the net (which can be precomputed and cached once).
The authors test B-REX on pixel-level Atari games and show competitive performance to &lt;@T-REX@&gt;(@Extrapolating Beyond Suboptimal Demonstrations via Inverse Reinforcement Learning from Observations@), a related method that only computes the MAP estimate. Furthermore, the authors can create confidence intervals for performance since they can sample from the reward distribution.</v>
      </c>
      <c r="K862" t="str">
        <f>IFERROR(__xludf.DUMMYFUNCTION("""COMPUTED_VALUE"""),"The idea of using preference orderings (Bradley-Terry) to speed up the posterior probability calculation was ingenious. While B-REX isn't strictly better than T-REX in terms of rewards achieved, the ability to construct confidence intervals for performanc"&amp;"e is a major benefit. My takeaway is that Bayesian IRL is getting more efficient and may have good potential as a practical approach to safe value learning.")</f>
        <v>The idea of using preference orderings (Bradley-Terry) to speed up the posterior probability calculation was ingenious. While B-REX isn't strictly better than T-REX in terms of rewards achieved, the ability to construct confidence intervals for performance is a major benefit. My takeaway is that Bayesian IRL is getting more efficient and may have good potential as a practical approach to safe value learning.</v>
      </c>
    </row>
    <row r="863">
      <c r="A863" t="str">
        <f>IFERROR(__xludf.DUMMYFUNCTION("""COMPUTED_VALUE"""),"Learning human intent")</f>
        <v>Learning human intent</v>
      </c>
      <c r="B863" t="str">
        <f>IFERROR(__xludf.DUMMYFUNCTION("""COMPUTED_VALUE"""),"")</f>
        <v/>
      </c>
      <c r="C863" s="3" t="str">
        <f>IFERROR(__xludf.DUMMYFUNCTION("""COMPUTED_VALUE"""),"Learning human objectives by evaluating hypothetical behaviours")</f>
        <v>Learning human objectives by evaluating hypothetical behaviours</v>
      </c>
      <c r="D863" t="str">
        <f>IFERROR(__xludf.DUMMYFUNCTION("""COMPUTED_VALUE"""),"Siddharth Reddy, Anca D. Dragan, Sergey Levine, Shane Legg, Jan Leike")</f>
        <v>Siddharth Reddy, Anca D. Dragan, Sergey Levine, Shane Legg, Jan Leike</v>
      </c>
      <c r="E863" t="str">
        <f>IFERROR(__xludf.DUMMYFUNCTION("""COMPUTED_VALUE"""),"arXiv")</f>
        <v>arXiv</v>
      </c>
      <c r="F863">
        <f>IFERROR(__xludf.DUMMYFUNCTION("""COMPUTED_VALUE"""),2019.0)</f>
        <v>2019</v>
      </c>
      <c r="H863" s="3" t="str">
        <f>IFERROR(__xludf.DUMMYFUNCTION("""COMPUTED_VALUE"""),"AN #79")</f>
        <v>AN #79</v>
      </c>
      <c r="I863" t="str">
        <f>IFERROR(__xludf.DUMMYFUNCTION("""COMPUTED_VALUE"""),"Rohin")</f>
        <v>Rohin</v>
      </c>
      <c r="J863" t="str">
        <f>IFERROR(__xludf.DUMMYFUNCTION("""COMPUTED_VALUE"""),"[Deep RL from Human Preferences](https://deepmind.com/blog/learning-through-human-feedback/) updated its reward model by collecting human comparisons on on-policy trajectories where the reward model ensemble was most uncertain about what the reward should"&amp;" be. However, we want our reward model to be accurate off policy as well, even in unsafe states. To this end, we would like to train our reward model on _hypothetical_ trajectories. This paper proposes learning a generative model of trajectories from some"&amp;" dataset of environment dynamics, such as safe expert demonstrations or rollouts from a random policy, and then finding trajectories that are ""useful"" for training the reward model. They consider four different criteria for usefulness of a trajectory: _"&amp;"uncertain rewards_ (which intuitively are areas where the reward model needs training), _high rewards_ (which could indicate reward hacking), _low rewards_ (which increases the number of unsafe states that the reward model is trained on), and _novelty_ (w"&amp;"hich covers more of the state space). Once a trajectory is generated, they have a human label it as good, neutral, or unsafe, and then train the reward model on these labels.
The authors are targeting an agent that can _explore safely_: since they alread"&amp;"y have a world model and a reward model, they use a model-based RL algorithm to act in the environment. Specifically, to act, they use gradient descent to optimize a trajectory in the latent space that maximizes expected rewards under the reward model and"&amp;" world model, and then take the first action of that trajectory. They argue that the world model can be trained on a dataset of safe human demonstrations (though in their experiments they use rollouts from a random policy), and then since the reward model"&amp;" is trained on hypothetical behavior and the model-based RL algorithm doesn't need any training, we get an agent that acts without us ever getting to an unsafe state.")</f>
        <v>[Deep RL from Human Preferences](https://deepmind.com/blog/learning-through-human-feedback/) updated its reward model by collecting human comparisons on on-policy trajectories where the reward model ensemble was most uncertain about what the reward should be. However, we want our reward model to be accurate off policy as well, even in unsafe states. To this end, we would like to train our reward model on _hypothetical_ trajectories. This paper proposes learning a generative model of trajectories from some dataset of environment dynamics, such as safe expert demonstrations or rollouts from a random policy, and then finding trajectories that are "useful" for training the reward model. They consider four different criteria for usefulness of a trajectory: _uncertain rewards_ (which intuitively are areas where the reward model needs training), _high rewards_ (which could indicate reward hacking), _low rewards_ (which increases the number of unsafe states that the reward model is trained on), and _novelty_ (which covers more of the state space). Once a trajectory is generated, they have a human label it as good, neutral, or unsafe, and then train the reward model on these labels.
The authors are targeting an agent that can _explore safely_: since they already have a world model and a reward model, they use a model-based RL algorithm to act in the environment. Specifically, to act, they use gradient descent to optimize a trajectory in the latent space that maximizes expected rewards under the reward model and world model, and then take the first action of that trajectory. They argue that the world model can be trained on a dataset of safe human demonstrations (though in their experiments they use rollouts from a random policy), and then since the reward model is trained on hypothetical behavior and the model-based RL algorithm doesn't need any training, we get an agent that acts without us ever getting to an unsafe state.</v>
      </c>
      <c r="K863" t="str">
        <f>IFERROR(__xludf.DUMMYFUNCTION("""COMPUTED_VALUE"""),"I like the focus on integrating active selection of trajectory queries into reward model training, and especially the four different kinds of active criteria that they consider, and the detailed experiments (including an ablation study) on the benefits of"&amp;" these criteria. These seem important for improving the efficiency of reward modeling.
However, I don't buy the argument that this allows us to train an agent without visiting unsafe states. In their actual experiments, they use a dataset gathered from a"&amp;" random policy, which certainly will visit unsafe states. If you instead use a dataset of safe human demonstrations, your generative model will only place probability mass on safe demonstrations, and so you'll never generate trajectories that visit unsafe"&amp;" states, and your reward model won't know that they are unsafe. (_Maybe_ your generative model will generalize properly to the unsafe states, but that seems unlikely to me.) Such a reward model will either be limited to imitation learning (sticking to the"&amp;" same trajectories as in the demonstrations, and never finding something like AlphaGo's move 37), or it will eventually visit unsafe states.")</f>
        <v>I like the focus on integrating active selection of trajectory queries into reward model training, and especially the four different kinds of active criteria that they consider, and the detailed experiments (including an ablation study) on the benefits of these criteria. These seem important for improving the efficiency of reward modeling.
However, I don't buy the argument that this allows us to train an agent without visiting unsafe states. In their actual experiments, they use a dataset gathered from a random policy, which certainly will visit unsafe states. If you instead use a dataset of safe human demonstrations, your generative model will only place probability mass on safe demonstrations, and so you'll never generate trajectories that visit unsafe states, and your reward model won't know that they are unsafe. (_Maybe_ your generative model will generalize properly to the unsafe states, but that seems unlikely to me.) Such a reward model will either be limited to imitation learning (sticking to the same trajectories as in the demonstrations, and never finding something like AlphaGo's move 37), or it will eventually visit unsafe states.</v>
      </c>
      <c r="M863" s="3" t="str">
        <f>IFERROR(__xludf.DUMMYFUNCTION("""COMPUTED_VALUE"""),"Paper: Learning Human Objectives by Evaluating Hypothetical Behavior")</f>
        <v>Paper: Learning Human Objectives by Evaluating Hypothetical Behavior</v>
      </c>
    </row>
    <row r="864">
      <c r="A864" t="str">
        <f>IFERROR(__xludf.DUMMYFUNCTION("""COMPUTED_VALUE"""),"Learning human intent")</f>
        <v>Learning human intent</v>
      </c>
      <c r="B864" t="str">
        <f>IFERROR(__xludf.DUMMYFUNCTION("""COMPUTED_VALUE"""),"")</f>
        <v/>
      </c>
      <c r="C864" s="3" t="str">
        <f>IFERROR(__xludf.DUMMYFUNCTION("""COMPUTED_VALUE"""),"Causal Confusion in Imitation Learning")</f>
        <v>Causal Confusion in Imitation Learning</v>
      </c>
      <c r="D864" t="str">
        <f>IFERROR(__xludf.DUMMYFUNCTION("""COMPUTED_VALUE"""),"Pim de Haan, Dinesh Jayaraman, Sergey Levine")</f>
        <v>Pim de Haan, Dinesh Jayaraman, Sergey Levine</v>
      </c>
      <c r="E864" t="str">
        <f>IFERROR(__xludf.DUMMYFUNCTION("""COMPUTED_VALUE"""),"NeurIPS 2019")</f>
        <v>NeurIPS 2019</v>
      </c>
      <c r="F864">
        <f>IFERROR(__xludf.DUMMYFUNCTION("""COMPUTED_VALUE"""),2019.0)</f>
        <v>2019</v>
      </c>
      <c r="H864" s="3" t="str">
        <f>IFERROR(__xludf.DUMMYFUNCTION("""COMPUTED_VALUE"""),"AN #79")</f>
        <v>AN #79</v>
      </c>
      <c r="I864" t="str">
        <f>IFERROR(__xludf.DUMMYFUNCTION("""COMPUTED_VALUE"""),"Asya")</f>
        <v>Asya</v>
      </c>
      <c r="J864" t="str">
        <f>IFERROR(__xludf.DUMMYFUNCTION("""COMPUTED_VALUE"""),"This paper argues that _causal misidentification_ is a big problem in imitation learning. When the agent doesn't have a good model of what actions cause what state changes, it may mismodel the effects of a state change as a cause-- e.g., an agent learning"&amp;" to drive a car may incorrectly learn that it should turn on the brakes whenever the brake light on the dashboard is on. This leads to undesirable behavior where more information actually causes the agent to perform worse.
The paper presents an approach "&amp;"for resolving causal misidentification by (1) Training a specialized network to generate a ""disentangled"" representation of the state as variables, (2) Representing causal relationships between those variables in a graph structure, (3) Learning policies"&amp;" corresponding to each possible causal graph, and (4) Performing targeted interventions, either by querying an expert, or by executing a policy and observing the reward, to find the correct causal graph model.
The paper experiments with this method by te"&amp;"sting it in environments artificially constructed to have confounding variables that correlate with actions but do not cause them. It finds that this method is successfully able to improve performance with confounding variables, and that it performs signi"&amp;"ficantly better per number of queries (to an expert or of executing a policy) than any existing methods. It also finds that directly executing a policy and observing the reward is a more efficient strategy for narrowing down the correct causal graph than "&amp;"querying an expert.")</f>
        <v>This paper argues that _causal misidentification_ is a big problem in imitation learning. When the agent doesn't have a good model of what actions cause what state changes, it may mismodel the effects of a state change as a cause-- e.g., an agent learning to drive a car may incorrectly learn that it should turn on the brakes whenever the brake light on the dashboard is on. This leads to undesirable behavior where more information actually causes the agent to perform worse.
The paper presents an approach for resolving causal misidentification by (1) Training a specialized network to generate a "disentangled" representation of the state as variables, (2) Representing causal relationships between those variables in a graph structure, (3) Learning policies corresponding to each possible causal graph, and (4) Performing targeted interventions, either by querying an expert, or by executing a policy and observing the reward, to find the correct causal graph model.
The paper experiments with this method by testing it in environments artificially constructed to have confounding variables that correlate with actions but do not cause them. It finds that this method is successfully able to improve performance with confounding variables, and that it performs significantly better per number of queries (to an expert or of executing a policy) than any existing methods. It also finds that directly executing a policy and observing the reward is a more efficient strategy for narrowing down the correct causal graph than querying an expert.</v>
      </c>
      <c r="K864" t="str">
        <f>IFERROR(__xludf.DUMMYFUNCTION("""COMPUTED_VALUE"""),"This paper goes into detail arguing why causal misidentification is a huge problem in imitation learning and I find its argument compelling. I am excited about attempts to address the problem, and I am tentatively excited about the method the paper propos"&amp;"es for finding representative causal graphs, with the caveat that I don't feel equipped to evaluate whether it could efficiently generalize past the constrained experiments presented in the paper.
**Rohin's opinion:** While the conclusion that more infor"&amp;"mation hurts sounds counterintuitive, it is actually straightforward: you _don't_ get more data (in the sense of the size of your training dataset); you instead have _more features_ in the input state data. This increases the number of possible policies ("&amp;"e.g. once you add the car dashboard, you can now express the policy ""if brake light is on, apply brakes"", which you couldn't do before), which can make you generalize worse. Effectively, there are more opportunities for the model to pick up on spurious "&amp;"correlations instead of the true relationships. This would happen in other areas of ML as well; surely someone has analyzed this effect for fairness, for example.
The success of their method over DAgger comes from improved _policy exploration_ (for their"&amp;" environments): if your learned policy is primarily paying attention to the brake light, it's a very large change to instead focus on whether there is an obstacle visible, and so gradient descent is not likely to ever try that policy once it has gotten to"&amp;" the local optimum of paying attention to the brake light. In contrast, their algorithm effectively trains separate policies for scenarios in which different parts of the input are masked, which means that it is forced to explore policies that depend only"&amp;" on the brake light, and policies that depend only on the view outside the windshield, and so on. So, the desired policy has been explored already, and it only requires a little bit of active learning to identify the correct policy.
Like Asya, I like the"&amp;" approach, but I don't know how well it will generalize to other environments. It seems like an example of [quality diversity](https://www.frontiersin.org/articles/10.3389/frobt.2016.00040/full), which I am generally optimistic about.")</f>
        <v>This paper goes into detail arguing why causal misidentification is a huge problem in imitation learning and I find its argument compelling. I am excited about attempts to address the problem, and I am tentatively excited about the method the paper proposes for finding representative causal graphs, with the caveat that I don't feel equipped to evaluate whether it could efficiently generalize past the constrained experiments presented in the paper.
**Rohin's opinion:** While the conclusion that more information hurts sounds counterintuitive, it is actually straightforward: you _don't_ get more data (in the sense of the size of your training dataset); you instead have _more features_ in the input state data. This increases the number of possible policies (e.g. once you add the car dashboard, you can now express the policy "if brake light is on, apply brakes", which you couldn't do before), which can make you generalize worse. Effectively, there are more opportunities for the model to pick up on spurious correlations instead of the true relationships. This would happen in other areas of ML as well; surely someone has analyzed this effect for fairness, for example.
The success of their method over DAgger comes from improved _policy exploration_ (for their environments): if your learned policy is primarily paying attention to the brake light, it's a very large change to instead focus on whether there is an obstacle visible, and so gradient descent is not likely to ever try that policy once it has gotten to the local optimum of paying attention to the brake light. In contrast, their algorithm effectively trains separate policies for scenarios in which different parts of the input are masked, which means that it is forced to explore policies that depend only on the brake light, and policies that depend only on the view outside the windshield, and so on. So, the desired policy has been explored already, and it only requires a little bit of active learning to identify the correct policy.
Like Asya, I like the approach, but I don't know how well it will generalize to other environments. It seems like an example of [quality diversity](https://www.frontiersin.org/articles/10.3389/frobt.2016.00040/full), which I am generally optimistic about.</v>
      </c>
    </row>
    <row r="865">
      <c r="A865" t="str">
        <f>IFERROR(__xludf.DUMMYFUNCTION("""COMPUTED_VALUE"""),"Learning human intent")</f>
        <v>Learning human intent</v>
      </c>
      <c r="B865" t="str">
        <f>IFERROR(__xludf.DUMMYFUNCTION("""COMPUTED_VALUE"""),"")</f>
        <v/>
      </c>
      <c r="C865" s="3" t="str">
        <f>IFERROR(__xludf.DUMMYFUNCTION("""COMPUTED_VALUE"""),"Positive-Unlabeled Reward Learning")</f>
        <v>Positive-Unlabeled Reward Learning</v>
      </c>
      <c r="D865" t="str">
        <f>IFERROR(__xludf.DUMMYFUNCTION("""COMPUTED_VALUE"""),"Danfei Xu, Misha Denil")</f>
        <v>Danfei Xu, Misha Denil</v>
      </c>
      <c r="E865" t="str">
        <f>IFERROR(__xludf.DUMMYFUNCTION("""COMPUTED_VALUE"""),"arXiv")</f>
        <v>arXiv</v>
      </c>
      <c r="F865">
        <f>IFERROR(__xludf.DUMMYFUNCTION("""COMPUTED_VALUE"""),2019.0)</f>
        <v>2019</v>
      </c>
      <c r="H865" s="3" t="str">
        <f>IFERROR(__xludf.DUMMYFUNCTION("""COMPUTED_VALUE"""),"AN #78")</f>
        <v>AN #78</v>
      </c>
      <c r="I865" t="str">
        <f>IFERROR(__xludf.DUMMYFUNCTION("""COMPUTED_VALUE"""),"Zach")</f>
        <v>Zach</v>
      </c>
      <c r="J865" t="str">
        <f>IFERROR(__xludf.DUMMYFUNCTION("""COMPUTED_VALUE"""),"The problem with learning a reward model and training an agent on the (now fixed) model is that the agent can learn to exploit errors in the reward model. Adversarial imitation learning seeks to avoid this by training a discriminator reward model with the"&amp;" agent: the discriminator is trained via supervised learning to distinguish between expert trajectories and agent trajectories, while the agent tries to fool the discriminator. However, this effectively treats the agent trajectories as negative examples —"&amp;" even once the agent has mastered the task. What we would really like to do is to treat the agent trajectories as unlabeled data. This is an instance of _semi-supervised learning_, in which a classifier has access to a small set of labeled data and a much"&amp;" larger collection of unlabeled data. In general, the common approach is to propagate classification information learned using labels to the unlabeled dataset. The authors apply a recent algorithm for positive-unlabeled (PU) learning, and show that this a"&amp;"pproach can improve upon both GAIL and supervised reward learning.")</f>
        <v>The problem with learning a reward model and training an agent on the (now fixed) model is that the agent can learn to exploit errors in the reward model. Adversarial imitation learning seeks to avoid this by training a discriminator reward model with the agent: the discriminator is trained via supervised learning to distinguish between expert trajectories and agent trajectories, while the agent tries to fool the discriminator. However, this effectively treats the agent trajectories as negative examples — even once the agent has mastered the task. What we would really like to do is to treat the agent trajectories as unlabeled data. This is an instance of _semi-supervised learning_, in which a classifier has access to a small set of labeled data and a much larger collection of unlabeled data. In general, the common approach is to propagate classification information learned using labels to the unlabeled dataset. The authors apply a recent algorithm for positive-unlabeled (PU) learning, and show that this approach can improve upon both GAIL and supervised reward learning.</v>
      </c>
      <c r="K865" t="str">
        <f>IFERROR(__xludf.DUMMYFUNCTION("""COMPUTED_VALUE"""),"I liked this paper because it offers a novel solution to a common concern with the adversarial approach. Namely, GAN approaches often train discriminators that overpower the generator leading to mode collapse. In the RL setting, it seems natural to leave "&amp;"agent generated trajectories unlabeled since we don't have any sort of ground truth for whether or not agent trajectories are successful. For example, it might be possible to perform a task in a way that's different than is shown in the demonstrations. In"&amp;" this case, it makes sense to try and propagate feedback to the larger unlabeled agent trajectory data set indirectly. Presumably, this wasn't previously possible because positive-unlabeled learning has only recently been generalized to the deep learning "&amp;"setting. **After reading this paper, my broad takeaway is that semi-supervised methods are starting to reach the point where they have potential to further progress in imitation learning.**")</f>
        <v>I liked this paper because it offers a novel solution to a common concern with the adversarial approach. Namely, GAN approaches often train discriminators that overpower the generator leading to mode collapse. In the RL setting, it seems natural to leave agent generated trajectories unlabeled since we don't have any sort of ground truth for whether or not agent trajectories are successful. For example, it might be possible to perform a task in a way that's different than is shown in the demonstrations. In this case, it makes sense to try and propagate feedback to the larger unlabeled agent trajectory data set indirectly. Presumably, this wasn't previously possible because positive-unlabeled learning has only recently been generalized to the deep learning setting. **After reading this paper, my broad takeaway is that semi-supervised methods are starting to reach the point where they have potential to further progress in imitation learning.**</v>
      </c>
    </row>
    <row r="866">
      <c r="A866" t="str">
        <f>IFERROR(__xludf.DUMMYFUNCTION("""COMPUTED_VALUE"""),"Learning human intent")</f>
        <v>Learning human intent</v>
      </c>
      <c r="B866" t="str">
        <f>IFERROR(__xludf.DUMMYFUNCTION("""COMPUTED_VALUE"""),"")</f>
        <v/>
      </c>
      <c r="C866" s="3" t="str">
        <f>IFERROR(__xludf.DUMMYFUNCTION("""COMPUTED_VALUE"""),"Norms, Rewards, and the Intentional Stance: Comparing Machine Learning Approaches to Ethical Training")</f>
        <v>Norms, Rewards, and the Intentional Stance: Comparing Machine Learning Approaches to Ethical Training</v>
      </c>
      <c r="D866" t="str">
        <f>IFERROR(__xludf.DUMMYFUNCTION("""COMPUTED_VALUE"""),"Daniel Kasenberg, Thomas Arnold, Matthias Scheutz")</f>
        <v>Daniel Kasenberg, Thomas Arnold, Matthias Scheutz</v>
      </c>
      <c r="E866" t="str">
        <f>IFERROR(__xludf.DUMMYFUNCTION("""COMPUTED_VALUE"""),"AIES 2018")</f>
        <v>AIES 2018</v>
      </c>
      <c r="F866">
        <f>IFERROR(__xludf.DUMMYFUNCTION("""COMPUTED_VALUE"""),2018.0)</f>
        <v>2018</v>
      </c>
      <c r="G866" t="str">
        <f>IFERROR(__xludf.DUMMYFUNCTION("""COMPUTED_VALUE"""),"Xuan Tan")</f>
        <v>Xuan Tan</v>
      </c>
      <c r="H866" s="3" t="str">
        <f>IFERROR(__xludf.DUMMYFUNCTION("""COMPUTED_VALUE"""),"AN #72")</f>
        <v>AN #72</v>
      </c>
      <c r="I866" t="str">
        <f>IFERROR(__xludf.DUMMYFUNCTION("""COMPUTED_VALUE"""),"Asya")</f>
        <v>Asya</v>
      </c>
      <c r="J866" t="str">
        <f>IFERROR(__xludf.DUMMYFUNCTION("""COMPUTED_VALUE"""),"This paper argues that _norm inference_ is a plausible alternative to inverse reinforcement learning (IRL) for teaching a system what people want. Existing IRL algorithms rely on the _Markov assumption_: that the next state of the world depends only on th"&amp;"e previous state of the world and the action that the agent takes from that state, rather than on the agent’s entire history. In cases where information about the past matters, IRL will either fail to infer the right reward function, or will be forced to "&amp;"make challenging guesses about what past information to encode in each state. By contrast, _norm inference_ tries to infer what (potentially temporal) propositions encode the reward of the system, keeping around only past information that is relevant to e"&amp;"valuating potential propositions. The paper argues that norm inference results in more interpretable systems that generalize better than IRL -- systems that use norm inference can successfully model reward-driven agents, but systems that use IRL do poorly"&amp;" at learning temporal norms.")</f>
        <v>This paper argues that _norm inference_ is a plausible alternative to inverse reinforcement learning (IRL) for teaching a system what people want. Existing IRL algorithms rely on the _Markov assumption_: that the next state of the world depends only on the previous state of the world and the action that the agent takes from that state, rather than on the agent’s entire history. In cases where information about the past matters, IRL will either fail to infer the right reward function, or will be forced to make challenging guesses about what past information to encode in each state. By contrast, _norm inference_ tries to infer what (potentially temporal) propositions encode the reward of the system, keeping around only past information that is relevant to evaluating potential propositions. The paper argues that norm inference results in more interpretable systems that generalize better than IRL -- systems that use norm inference can successfully model reward-driven agents, but systems that use IRL do poorly at learning temporal norms.</v>
      </c>
      <c r="K866" t="str">
        <f>IFERROR(__xludf.DUMMYFUNCTION("""COMPUTED_VALUE"""),"This paper presents a interesting novel alternative to inverse reinforcement learning and does a good job of acknowledging potential objections. Deciding whether and how to store information about the past seems like an important problem that inverse rein"&amp;"forcement learning has to reckon with. My main concern with norm inference, which the paper mentions, is that optimizing over all possible propositions is in practice extremely slow. I don't anticipate that norm inference will be a performance-tractable s"&amp;"trategy unless a lot of computation power is available.
**Rohin's opinion:** The idea of ""norms"" used here is very different from what I usually imagine, as in e.g. &lt;@Following human norms@&gt;. Usually, I think of norms as imposing a constraint upon poli"&amp;"cies rather than defining an optimal policy, (often) specifying what not to do rather than what to do, and being a property of groups of agents, rather than of a single agent. (See also [this comment](https://www.alignmentforum.org/posts/eBd6WvzhuqduCkYv3"&amp;"/following-human-norms#ujma2pWoH7ibhdog2).) The ""norms"" in this paper don't satisfy any of these properties: I would describe their norm inference as performing IRL with history-dependent reward functions, with a strong inductive bias towards ""logical"&amp;""" reward functions (which comes from their use of Linear Temporal Logic). Note that some inductive bias is necessary, as without inductive bias history-dependent reward functions are far too expressive, and nothing could be reasonably learned. I think de"&amp;"spite how it's written, the paper should be taken not as a denouncement of IRL-the-paradigm, but a proposal for better IRL algorithms that are quite different from the ones we currently have.")</f>
        <v>This paper presents a interesting novel alternative to inverse reinforcement learning and does a good job of acknowledging potential objections. Deciding whether and how to store information about the past seems like an important problem that inverse reinforcement learning has to reckon with. My main concern with norm inference, which the paper mentions, is that optimizing over all possible propositions is in practice extremely slow. I don't anticipate that norm inference will be a performance-tractable strategy unless a lot of computation power is available.
**Rohin's opinion:** The idea of "norms" used here is very different from what I usually imagine, as in e.g. &lt;@Following human norms@&gt;. Usually, I think of norms as imposing a constraint upon policies rather than defining an optimal policy, (often) specifying what not to do rather than what to do, and being a property of groups of agents, rather than of a single agent. (See also [this comment](https://www.alignmentforum.org/posts/eBd6WvzhuqduCkYv3/following-human-norms#ujma2pWoH7ibhdog2).) The "norms" in this paper don't satisfy any of these properties: I would describe their norm inference as performing IRL with history-dependent reward functions, with a strong inductive bias towards "logical" reward functions (which comes from their use of Linear Temporal Logic). Note that some inductive bias is necessary, as without inductive bias history-dependent reward functions are far too expressive, and nothing could be reasonably learned. I think despite how it's written, the paper should be taken not as a denouncement of IRL-the-paradigm, but a proposal for better IRL algorithms that are quite different from the ones we currently have.</v>
      </c>
    </row>
    <row r="867">
      <c r="A867" t="str">
        <f>IFERROR(__xludf.DUMMYFUNCTION("""COMPUTED_VALUE"""),"Learning human intent")</f>
        <v>Learning human intent</v>
      </c>
      <c r="B867" t="str">
        <f>IFERROR(__xludf.DUMMYFUNCTION("""COMPUTED_VALUE"""),"")</f>
        <v/>
      </c>
      <c r="C867" s="3" t="str">
        <f>IFERROR(__xludf.DUMMYFUNCTION("""COMPUTED_VALUE"""),"Leveraging Human Guidance for Deep Reinforcement Learning Tasks")</f>
        <v>Leveraging Human Guidance for Deep Reinforcement Learning Tasks</v>
      </c>
      <c r="D867" t="str">
        <f>IFERROR(__xludf.DUMMYFUNCTION("""COMPUTED_VALUE"""),"Ruohan Zhang, Faraz Torabi, Lin Guan, Dana H. Ballard, Peter Stone")</f>
        <v>Ruohan Zhang, Faraz Torabi, Lin Guan, Dana H. Ballard, Peter Stone</v>
      </c>
      <c r="E867" t="str">
        <f>IFERROR(__xludf.DUMMYFUNCTION("""COMPUTED_VALUE"""),"IJCAI 2019")</f>
        <v>IJCAI 2019</v>
      </c>
      <c r="F867">
        <f>IFERROR(__xludf.DUMMYFUNCTION("""COMPUTED_VALUE"""),2019.0)</f>
        <v>2019</v>
      </c>
      <c r="H867" s="3" t="str">
        <f>IFERROR(__xludf.DUMMYFUNCTION("""COMPUTED_VALUE"""),"AN #71")</f>
        <v>AN #71</v>
      </c>
      <c r="I867" t="str">
        <f>IFERROR(__xludf.DUMMYFUNCTION("""COMPUTED_VALUE"""),"Nicholas")</f>
        <v>Nicholas</v>
      </c>
      <c r="J867" t="str">
        <f>IFERROR(__xludf.DUMMYFUNCTION("""COMPUTED_VALUE"""),"A core problem in RL is the communication of our goals and prior knowledge to an agent. One common approach to this is imitation learning: the human provides example demonstrations of a task, and the agent learns to mimic them. However, there are some lim"&amp;"itations to this approach, such as requiring the human to be capable of the task. This paper outlines five different modalities from which agents can learn: evaluations, preferences, hierarchical feedback, observations, and attention (for example, where h"&amp;"umans are looking while solving a task). It then suggests future research directions.
For this summary, I will focus on the future research directions, but you can read the full paper to understand existing approaches.  The first issue is that datasets o"&amp;"f human guidance are difficult to capture and depend on many specific factors of the individuals providing guidance. As a result, the paper suggests creating standard datasets to save effort and enable fair comparisons. The second direction is to better u"&amp;"nderstand how humans should teach agents. The literature currently emphasizes progress in learning methods, but improved teaching methods may be just as valuable when learning from human guidance. The last is unifying learning across different input modal"&amp;"ities; ideally an agent would be able to learn from many different types of human guidance over different phases of its learning.")</f>
        <v>A core problem in RL is the communication of our goals and prior knowledge to an agent. One common approach to this is imitation learning: the human provides example demonstrations of a task, and the agent learns to mimic them. However, there are some limitations to this approach, such as requiring the human to be capable of the task. This paper outlines five different modalities from which agents can learn: evaluations, preferences, hierarchical feedback, observations, and attention (for example, where humans are looking while solving a task). It then suggests future research directions.
For this summary, I will focus on the future research directions, but you can read the full paper to understand existing approaches.  The first issue is that datasets of human guidance are difficult to capture and depend on many specific factors of the individuals providing guidance. As a result, the paper suggests creating standard datasets to save effort and enable fair comparisons. The second direction is to better understand how humans should teach agents. The literature currently emphasizes progress in learning methods, but improved teaching methods may be just as valuable when learning from human guidance. The last is unifying learning across different input modalities; ideally an agent would be able to learn from many different types of human guidance over different phases of its learning.</v>
      </c>
      <c r="K867" t="str">
        <f>IFERROR(__xludf.DUMMYFUNCTION("""COMPUTED_VALUE"""),"I think the problem of providing human guidance to agents is a core problem in alignment, and I am glad to see more discussion of that problem. I generally think that this type of broad overview is very valuable for communicating research to those who jus"&amp;"t want a broad overview of the field and don’t need to know the individual details of each paper. However, I would appreciate if there were more quantitative comparisons of the tradeoffs between different paradigms. The introduction mentions sample effici"&amp;"ency and the large effort required for human labelling, which made me hope for theoretical or empirical comparisons of the different methods with regards to sample efficiency and labelling effort. Since this was lacking, it also left me unclear on what mo"&amp;"tivated their suggested research directions. Personally, I would be much more excited to pursue a research direction if there were quantitative results showing particular failure modes or negative characteristics of current approaches that motivated that "&amp;"particular approach.
**Rohin's opinion:** This seems like a great survey paper and I like their proposed future directions, especially on learning from different kinds of human guidance, and on improving methods of teaching. While it does seem useful to "&amp;"have datasets of human guidance in order to compare algorithms, this prevents researchers from making improvements by figuring out new forms of guidance not present in the dataset. As a result, I'd be more excited about benchmarks that are evaluated by ho"&amp;"w much time it takes for Mechanical Turkers to train an agent to complete the task. Admittedly, it would be costlier in both time and money for researchers to do such an evaluation.")</f>
        <v>I think the problem of providing human guidance to agents is a core problem in alignment, and I am glad to see more discussion of that problem. I generally think that this type of broad overview is very valuable for communicating research to those who just want a broad overview of the field and don’t need to know the individual details of each paper. However, I would appreciate if there were more quantitative comparisons of the tradeoffs between different paradigms. The introduction mentions sample efficiency and the large effort required for human labelling, which made me hope for theoretical or empirical comparisons of the different methods with regards to sample efficiency and labelling effort. Since this was lacking, it also left me unclear on what motivated their suggested research directions. Personally, I would be much more excited to pursue a research direction if there were quantitative results showing particular failure modes or negative characteristics of current approaches that motivated that particular approach.
**Rohin's opinion:** This seems like a great survey paper and I like their proposed future directions, especially on learning from different kinds of human guidance, and on improving methods of teaching. While it does seem useful to have datasets of human guidance in order to compare algorithms, this prevents researchers from making improvements by figuring out new forms of guidance not present in the dataset. As a result, I'd be more excited about benchmarks that are evaluated by how much time it takes for Mechanical Turkers to train an agent to complete the task. Admittedly, it would be costlier in both time and money for researchers to do such an evaluation.</v>
      </c>
    </row>
    <row r="868">
      <c r="A868" t="str">
        <f>IFERROR(__xludf.DUMMYFUNCTION("""COMPUTED_VALUE"""),"Learning human intent")</f>
        <v>Learning human intent</v>
      </c>
      <c r="B868" t="str">
        <f>IFERROR(__xludf.DUMMYFUNCTION("""COMPUTED_VALUE"""),"")</f>
        <v/>
      </c>
      <c r="C868" s="3" t="str">
        <f>IFERROR(__xludf.DUMMYFUNCTION("""COMPUTED_VALUE"""),"Fine-Tuning GPT-2 from Human Preferences")</f>
        <v>Fine-Tuning GPT-2 from Human Preferences</v>
      </c>
      <c r="D868" t="str">
        <f>IFERROR(__xludf.DUMMYFUNCTION("""COMPUTED_VALUE"""),"Daniel M. Ziegler, Nisan Stiennon, Jeffrey Wu, Tom B. Brown, Alec Radford, Dario Amodei, Paul Christiano, Geoffrey Irving")</f>
        <v>Daniel M. Ziegler, Nisan Stiennon, Jeffrey Wu, Tom B. Brown, Alec Radford, Dario Amodei, Paul Christiano, Geoffrey Irving</v>
      </c>
      <c r="E868" t="str">
        <f>IFERROR(__xludf.DUMMYFUNCTION("""COMPUTED_VALUE"""),"OpenAI Blog")</f>
        <v>OpenAI Blog</v>
      </c>
      <c r="F868">
        <f>IFERROR(__xludf.DUMMYFUNCTION("""COMPUTED_VALUE"""),2019.0)</f>
        <v>2019</v>
      </c>
      <c r="H868" s="3" t="str">
        <f>IFERROR(__xludf.DUMMYFUNCTION("""COMPUTED_VALUE"""),"AN #67")</f>
        <v>AN #67</v>
      </c>
      <c r="I868" t="str">
        <f>IFERROR(__xludf.DUMMYFUNCTION("""COMPUTED_VALUE"""),"Sudhanshu")</f>
        <v>Sudhanshu</v>
      </c>
      <c r="J868" t="str">
        <f>IFERROR(__xludf.DUMMYFUNCTION("""COMPUTED_VALUE"""),"This blog post and its [associated paper](https://arxiv.org/abs/1909.08593) describes the results of several text generation/continuation experiments, where human feedback on initial/older samples was used in the form of a reinforcement learning reward si"&amp;"gnal to finetune the base 774-million parameter &lt;@GPT-2 language model@&gt;(@Better Language Models and Their Implications@). The key motivation here was to understand whether interactions with humans can help algorithms better learn and adapt to human prefe"&amp;"rences in natural language generation tasks.
They report mixed results. For the tasks of continuing text with positive sentiment or physically descriptive language, they report improved performance above the baseline (as assessed by external examiners) a"&amp;"fter fine-tuning on only 5,000 human judgments of samples generated from the base model. The summarization task required 60,000 samples of _online_ human feedback to perform similarly to a simple baseline, lead-3 - which returns the first three sentences "&amp;"as the summary - as assessed by humans.
Some of the lessons learned while performing this research include 1) the need for better, less ambiguous tasks and labelling protocols for sourcing higher quality annotations, and 2) a reminder that ""bugs can opt"&amp;"imize for bad behaviour"", as a sign error propagated through the training process to generate ""not gibberish but maximally bad output"". The work concludes on the note that it is a step towards scalable AI alignment methods such as debate and amplificat"&amp;"ion.")</f>
        <v>This blog post and its [associated paper](https://arxiv.org/abs/1909.08593) describes the results of several text generation/continuation experiments, where human feedback on initial/older samples was used in the form of a reinforcement learning reward signal to finetune the base 774-million parameter &lt;@GPT-2 language model@&gt;(@Better Language Models and Their Implications@). The key motivation here was to understand whether interactions with humans can help algorithms better learn and adapt to human preferences in natural language generation tasks.
They report mixed results. For the tasks of continuing text with positive sentiment or physically descriptive language, they report improved performance above the baseline (as assessed by external examiners) after fine-tuning on only 5,000 human judgments of samples generated from the base model. The summarization task required 60,000 samples of _online_ human feedback to perform similarly to a simple baseline, lead-3 - which returns the first three sentences as the summary - as assessed by humans.
Some of the lessons learned while performing this research include 1) the need for better, less ambiguous tasks and labelling protocols for sourcing higher quality annotations, and 2) a reminder that "bugs can optimize for bad behaviour", as a sign error propagated through the training process to generate "not gibberish but maximally bad output". The work concludes on the note that it is a step towards scalable AI alignment methods such as debate and amplification.</v>
      </c>
      <c r="K868" t="str">
        <f>IFERROR(__xludf.DUMMYFUNCTION("""COMPUTED_VALUE"""),"It is good to see research on mainstream NLProc/ML tasks that includes discussions on challenges, failure modes and relevance to the broader motivating goals of AI research.
The work opens up interesting avenues within OpenAI's alignment agenda, for exam"&amp;"ple learning a diversity of preferences (A OR B), or a hierarchy of preferences (A AND B) sequentially without catastrophic forgetting.
In order to scale, we would want to generate automated labelers through semi-supervised reinforcement learning, to der"&amp;"ive the most gains from every piece of human input. The robustness of this needs further empirical and conceptual investigation before we can be confident that such a system can work to form a hierarchy of learners, e.g. in amplification.
**Rohin's opini"&amp;"on:** One thing I particularly like here is that the evaluation is done by humans. This seems significantly more robust as an evaluation metric than any automated system we could come up with, and I hope that more people use human evaluation in the future"&amp;".")</f>
        <v>It is good to see research on mainstream NLProc/ML tasks that includes discussions on challenges, failure modes and relevance to the broader motivating goals of AI research.
The work opens up interesting avenues within OpenAI's alignment agenda, for example learning a diversity of preferences (A OR B), or a hierarchy of preferences (A AND B) sequentially without catastrophic forgetting.
In order to scale, we would want to generate automated labelers through semi-supervised reinforcement learning, to derive the most gains from every piece of human input. The robustness of this needs further empirical and conceptual investigation before we can be confident that such a system can work to form a hierarchy of learners, e.g. in amplification.
**Rohin's opinion:** One thing I particularly like here is that the evaluation is done by humans. This seems significantly more robust as an evaluation metric than any automated system we could come up with, and I hope that more people use human evaluation in the future.</v>
      </c>
      <c r="M868" s="3" t="str">
        <f>IFERROR(__xludf.DUMMYFUNCTION("""COMPUTED_VALUE"""),"Paper: Fine-Tuning Language Models from Human Preferences")</f>
        <v>Paper: Fine-Tuning Language Models from Human Preferences</v>
      </c>
    </row>
    <row r="869">
      <c r="A869" t="str">
        <f>IFERROR(__xludf.DUMMYFUNCTION("""COMPUTED_VALUE"""),"Learning human intent")</f>
        <v>Learning human intent</v>
      </c>
      <c r="B869" t="str">
        <f>IFERROR(__xludf.DUMMYFUNCTION("""COMPUTED_VALUE"""),"")</f>
        <v/>
      </c>
      <c r="C869" s="3" t="str">
        <f>IFERROR(__xludf.DUMMYFUNCTION("""COMPUTED_VALUE"""),"Ranking-Based Reward Extrapolation without Rankings")</f>
        <v>Ranking-Based Reward Extrapolation without Rankings</v>
      </c>
      <c r="D869" t="str">
        <f>IFERROR(__xludf.DUMMYFUNCTION("""COMPUTED_VALUE"""),"Daniel S. Brown, Wonjoon Goo, Scott Niekum")</f>
        <v>Daniel S. Brown, Wonjoon Goo, Scott Niekum</v>
      </c>
      <c r="E869" t="str">
        <f>IFERROR(__xludf.DUMMYFUNCTION("""COMPUTED_VALUE"""),"arXiv")</f>
        <v>arXiv</v>
      </c>
      <c r="F869">
        <f>IFERROR(__xludf.DUMMYFUNCTION("""COMPUTED_VALUE"""),2019.0)</f>
        <v>2019</v>
      </c>
      <c r="H869" s="3" t="str">
        <f>IFERROR(__xludf.DUMMYFUNCTION("""COMPUTED_VALUE"""),"AN #60")</f>
        <v>AN #60</v>
      </c>
      <c r="I869" t="str">
        <f>IFERROR(__xludf.DUMMYFUNCTION("""COMPUTED_VALUE"""),"Cody")</f>
        <v>Cody</v>
      </c>
      <c r="J869" t="str">
        <f>IFERROR(__xludf.DUMMYFUNCTION("""COMPUTED_VALUE"""),"A while back, these authors released the &lt;@T-REX paper@&gt;(@Extrapolating Beyond Suboptimal Demonstrations via Inverse Reinforcement Learning from Observations@), where they showed that providing ranked sets of trajectories, rather than one single optimal t"&amp;"rajectory, lets you learn a more accurate reward that can outperform the demonstrator. This ability to outperform the demonstrator is rooted in the ability to extrapolate predicted reward outside of demonstrated points, and that ability to extrapolate com"&amp;"es from the fact that ranked trajectories provide more information about relative reward values. This paper is a fairly straightforward extension of that one, and asks: can we get similar benefits without requiring humans to actually rank trajectories? Th"&amp;"e authors argue that they can replicate T-REX's ability to outperform the demonstrator by simply learning a behaviorally cloned policy off of a single (potentially sub-optimal) demonstrator, and making that policy gradually worse by adding more noise to i"&amp;"t. This model is called D-REX, for Disturbance-based Reward EXtrapolation. They then make an assumption that more noise in the policy corresponds to less reward, and use that as a ranking scheme to throw into the existing T-REX algorithm.")</f>
        <v>A while back, these authors released the &lt;@T-REX paper@&gt;(@Extrapolating Beyond Suboptimal Demonstrations via Inverse Reinforcement Learning from Observations@), where they showed that providing ranked sets of trajectories, rather than one single optimal trajectory, lets you learn a more accurate reward that can outperform the demonstrator. This ability to outperform the demonstrator is rooted in the ability to extrapolate predicted reward outside of demonstrated points, and that ability to extrapolate comes from the fact that ranked trajectories provide more information about relative reward values. This paper is a fairly straightforward extension of that one, and asks: can we get similar benefits without requiring humans to actually rank trajectories? The authors argue that they can replicate T-REX's ability to outperform the demonstrator by simply learning a behaviorally cloned policy off of a single (potentially sub-optimal) demonstrator, and making that policy gradually worse by adding more noise to it. This model is called D-REX, for Disturbance-based Reward EXtrapolation. They then make an assumption that more noise in the policy corresponds to less reward, and use that as a ranking scheme to throw into the existing T-REX algorithm.</v>
      </c>
      <c r="K869" t="str">
        <f>IFERROR(__xludf.DUMMYFUNCTION("""COMPUTED_VALUE"""),"Overall, I think this is potentially a straightforward and clever trick for giving your imitation learner more informative data to learn off of. I have two main questions. First off, I'd have loved to see D-REX compared directly to T-REX, to get a sense o"&amp;"f how much you lose from this approximate ranking strategy rather than a more ground truth one. And, secondly, I'd have appreciated a bit more justification of their assumption that noisier actions will consistently lead to a worse policy, in ways that ca"&amp;"pture reward information. This doesn't seem obviously untrue to me, I'd just love some more intuition on why we can get additional information about underlying reward just by adding noise.")</f>
        <v>Overall, I think this is potentially a straightforward and clever trick for giving your imitation learner more informative data to learn off of. I have two main questions. First off, I'd have loved to see D-REX compared directly to T-REX, to get a sense of how much you lose from this approximate ranking strategy rather than a more ground truth one. And, secondly, I'd have appreciated a bit more justification of their assumption that noisier actions will consistently lead to a worse policy, in ways that capture reward information. This doesn't seem obviously untrue to me, I'd just love some more intuition on why we can get additional information about underlying reward just by adding noise.</v>
      </c>
    </row>
    <row r="870">
      <c r="A870" t="str">
        <f>IFERROR(__xludf.DUMMYFUNCTION("""COMPUTED_VALUE"""),"Learning human intent")</f>
        <v>Learning human intent</v>
      </c>
      <c r="B870" t="str">
        <f>IFERROR(__xludf.DUMMYFUNCTION("""COMPUTED_VALUE"""),"")</f>
        <v/>
      </c>
      <c r="C870" s="3" t="str">
        <f>IFERROR(__xludf.DUMMYFUNCTION("""COMPUTED_VALUE"""),"Learning biases and rewards simultaneously")</f>
        <v>Learning biases and rewards simultaneously</v>
      </c>
      <c r="D870" t="str">
        <f>IFERROR(__xludf.DUMMYFUNCTION("""COMPUTED_VALUE"""),"Rohin Shah, Noah Gundotra, Pieter Abbeel, Anca D. Dragan")</f>
        <v>Rohin Shah, Noah Gundotra, Pieter Abbeel, Anca D. Dragan</v>
      </c>
      <c r="E870" t="str">
        <f>IFERROR(__xludf.DUMMYFUNCTION("""COMPUTED_VALUE"""),"ICML 2019")</f>
        <v>ICML 2019</v>
      </c>
      <c r="F870">
        <f>IFERROR(__xludf.DUMMYFUNCTION("""COMPUTED_VALUE"""),2019.0)</f>
        <v>2019</v>
      </c>
      <c r="H870" s="3" t="str">
        <f>IFERROR(__xludf.DUMMYFUNCTION("""COMPUTED_VALUE"""),"AN #59")</f>
        <v>AN #59</v>
      </c>
      <c r="I870" t="str">
        <f>IFERROR(__xludf.DUMMYFUNCTION("""COMPUTED_VALUE"""),"Rohin")</f>
        <v>Rohin</v>
      </c>
      <c r="J870" t="str">
        <f>IFERROR(__xludf.DUMMYFUNCTION("""COMPUTED_VALUE"""),"Typically, inverse reinforcement learning assumes that the demonstrator is optimal, or that any mistakes they make are caused by random noise. Without a model of _how_ the demonstrator makes mistakes, we should expect that &lt;@IRL would not be able to outpe"&amp;"rform the demonstrator@&gt;(@The easy goal inference problem is still hard@). So, a natural question arises: can we learn the systematic mistakes that the demonstrator makes from data? While there is an &lt;@impossibility result@&gt;(@Humans can be assigned any va"&amp;"lues whatsoever…@) here, we might hope that it is only a problem in theory, not in practice.
In this paper, my coauthors and I propose that we learn the cognitive biases of the demonstrator, by learning their planning algorithm. The hope is that the cogn"&amp;"itive biases are encoded in the learned planning algorithm. We can then perform bias-aware IRL by finding the reward function that when passed into the planning algorithm results in the observed policy. We have two algorithms which do this, one which assu"&amp;"mes that we know the ground-truth rewards for some tasks, and one which tries to keep the learned planner “close to” the optimal planner. In a simple environment with simulated human biases, the algorithms perform better than the standard IRL assumptions "&amp;"of perfect optimality or Boltzmann rationality -- but they lose a lot of performance by using an imperfect differentiable planner to learn the planning algorithm.")</f>
        <v>Typically, inverse reinforcement learning assumes that the demonstrator is optimal, or that any mistakes they make are caused by random noise. Without a model of _how_ the demonstrator makes mistakes, we should expect that &lt;@IRL would not be able to outperform the demonstrator@&gt;(@The easy goal inference problem is still hard@). So, a natural question arises: can we learn the systematic mistakes that the demonstrator makes from data? While there is an &lt;@impossibility result@&gt;(@Humans can be assigned any values whatsoever…@) here, we might hope that it is only a problem in theory, not in practice.
In this paper, my coauthors and I propose that we learn the cognitive biases of the demonstrator, by learning their planning algorithm. The hope is that the cognitive biases are encoded in the learned planning algorithm. We can then perform bias-aware IRL by finding the reward function that when passed into the planning algorithm results in the observed policy. We have two algorithms which do this, one which assumes that we know the ground-truth rewards for some tasks, and one which tries to keep the learned planner “close to” the optimal planner. In a simple environment with simulated human biases, the algorithms perform better than the standard IRL assumptions of perfect optimality or Boltzmann rationality -- but they lose a lot of performance by using an imperfect differentiable planner to learn the planning algorithm.</v>
      </c>
      <c r="K870" t="str">
        <f>IFERROR(__xludf.DUMMYFUNCTION("""COMPUTED_VALUE"""),"Although this only got published recently, it’s work I did over a year ago. I’m no longer very optimistic about &lt;@ambitious value learning@&gt;(@What is ambitious value learning?@), and so I’m less excited about its impact on AI alignment now. In particular,"&amp;" it seems unlikely to me that we will need to infer all human values perfectly, without any edge cases or uncertainties, which we then optimize as far as possible. I would instead want to build AI systems that start with an adequate understanding of human"&amp;" preferences, and then learn more over time, in conjunction with optimizing for the preferences they know about. However, this paper is more along the former line of work, at least for long-term AI alignment.
I do think that this is a contribution to the"&amp;" field of inverse reinforcement learning -- it shows that by using an appropriate inductive bias, you can become more robust to (cognitive) biases in your dataset. It’s not clear how far this will generalize, since it was tested on simulated biases on sim"&amp;"ple environments, but I’d expect it to have at least a small effect. In practice though, I expect that you’d get better results by providing more information, as in &lt;@T-REX@&gt;(@Extrapolating Beyond Suboptimal Demonstrations via Inverse Reinforcement Learni"&amp;"ng from Observations@).")</f>
        <v>Although this only got published recently, it’s work I did over a year ago. I’m no longer very optimistic about &lt;@ambitious value learning@&gt;(@What is ambitious value learning?@), and so I’m less excited about its impact on AI alignment now. In particular, it seems unlikely to me that we will need to infer all human values perfectly, without any edge cases or uncertainties, which we then optimize as far as possible. I would instead want to build AI systems that start with an adequate understanding of human preferences, and then learn more over time, in conjunction with optimizing for the preferences they know about. However, this paper is more along the former line of work, at least for long-term AI alignment.
I do think that this is a contribution to the field of inverse reinforcement learning -- it shows that by using an appropriate inductive bias, you can become more robust to (cognitive) biases in your dataset. It’s not clear how far this will generalize, since it was tested on simulated biases on simple environments, but I’d expect it to have at least a small effect. In practice though, I expect that you’d get better results by providing more information, as in &lt;@T-REX@&gt;(@Extrapolating Beyond Suboptimal Demonstrations via Inverse Reinforcement Learning from Observations@).</v>
      </c>
      <c r="M870" s="3" t="str">
        <f>IFERROR(__xludf.DUMMYFUNCTION("""COMPUTED_VALUE"""),"On the Feasibility of Learning, Rather than Assuming, Human Biases for Reward Inference")</f>
        <v>On the Feasibility of Learning, Rather than Assuming, Human Biases for Reward Inference</v>
      </c>
    </row>
    <row r="871">
      <c r="A871" t="str">
        <f>IFERROR(__xludf.DUMMYFUNCTION("""COMPUTED_VALUE"""),"Learning human intent")</f>
        <v>Learning human intent</v>
      </c>
      <c r="B871" t="str">
        <f>IFERROR(__xludf.DUMMYFUNCTION("""COMPUTED_VALUE"""),"")</f>
        <v/>
      </c>
      <c r="C871" s="3" t="str">
        <f>IFERROR(__xludf.DUMMYFUNCTION("""COMPUTED_VALUE"""),"Cognitive Model Priors for Predicting Human Decisions")</f>
        <v>Cognitive Model Priors for Predicting Human Decisions</v>
      </c>
      <c r="D871" t="str">
        <f>IFERROR(__xludf.DUMMYFUNCTION("""COMPUTED_VALUE"""),"David D. Bourgin*, Joshua C. Peterson*, Daniel Reichman, Thomas L. Griffiths, Stuart J. Russell")</f>
        <v>David D. Bourgin*, Joshua C. Peterson*, Daniel Reichman, Thomas L. Griffiths, Stuart J. Russell</v>
      </c>
      <c r="E871" t="str">
        <f>IFERROR(__xludf.DUMMYFUNCTION("""COMPUTED_VALUE"""),"ICML 2019")</f>
        <v>ICML 2019</v>
      </c>
      <c r="F871">
        <f>IFERROR(__xludf.DUMMYFUNCTION("""COMPUTED_VALUE"""),2019.0)</f>
        <v>2019</v>
      </c>
      <c r="H871" s="3" t="str">
        <f>IFERROR(__xludf.DUMMYFUNCTION("""COMPUTED_VALUE"""),"AN #59")</f>
        <v>AN #59</v>
      </c>
      <c r="I871" t="str">
        <f>IFERROR(__xludf.DUMMYFUNCTION("""COMPUTED_VALUE"""),"Cody")</f>
        <v>Cody</v>
      </c>
      <c r="J871" t="str">
        <f>IFERROR(__xludf.DUMMYFUNCTION("""COMPUTED_VALUE"""),"Human decision making is notoriously difficult to predict, being a combination of expected value calculation and likely-not-fully-enumerated cognitive biases. Normally we could predict well using a neural net with a ton of data, but data about human decis"&amp;"ion making is expensive and scarce. This paper proposes that we pretrain a neural net on lots of data simulated from theoretical models of human decision making and then finetune on the small real dataset. In effect, we are using the theoretical model as "&amp;"a kind of prior, that provides the neural net with a strong inductive bias. The method achieves better performance than existing theoretical or empirical methods, without requiring feature engineering, both on existing datasets and a new, larger dataset c"&amp;"ollected via Mechanical Turk.")</f>
        <v>Human decision making is notoriously difficult to predict, being a combination of expected value calculation and likely-not-fully-enumerated cognitive biases. Normally we could predict well using a neural net with a ton of data, but data about human decision making is expensive and scarce. This paper proposes that we pretrain a neural net on lots of data simulated from theoretical models of human decision making and then finetune on the small real dataset. In effect, we are using the theoretical model as a kind of prior, that provides the neural net with a strong inductive bias. The method achieves better performance than existing theoretical or empirical methods, without requiring feature engineering, both on existing datasets and a new, larger dataset collected via Mechanical Turk.</v>
      </c>
      <c r="K871" t="str">
        <f>IFERROR(__xludf.DUMMYFUNCTION("""COMPUTED_VALUE"""),"I am a little cautious to make a strong statement about the importance of this paper, since I don't have as much domain knowledge in cognitive science as I do in machine learning, but overall this ""treat your theoretical model like a generative model and"&amp;" sample from it"" idea seems like an elegant and plausibly more broadly extensible way of incorporating theoretical priors alongside real data.")</f>
        <v>I am a little cautious to make a strong statement about the importance of this paper, since I don't have as much domain knowledge in cognitive science as I do in machine learning, but overall this "treat your theoretical model like a generative model and sample from it" idea seems like an elegant and plausibly more broadly extensible way of incorporating theoretical priors alongside real data.</v>
      </c>
    </row>
    <row r="872">
      <c r="A872" t="str">
        <f>IFERROR(__xludf.DUMMYFUNCTION("""COMPUTED_VALUE"""),"Learning human intent")</f>
        <v>Learning human intent</v>
      </c>
      <c r="B872" t="str">
        <f>IFERROR(__xludf.DUMMYFUNCTION("""COMPUTED_VALUE"""),"")</f>
        <v/>
      </c>
      <c r="C872" s="3" t="str">
        <f>IFERROR(__xludf.DUMMYFUNCTION("""COMPUTED_VALUE"""),"Imitation Learning as f-Divergence Minimization")</f>
        <v>Imitation Learning as f-Divergence Minimization</v>
      </c>
      <c r="D872" t="str">
        <f>IFERROR(__xludf.DUMMYFUNCTION("""COMPUTED_VALUE"""),"Liyiming Ke, Matt Barnes, Wen Sun, Gilwoo Lee, Sanjiban Choudhury, Siddhartha Srinivasa")</f>
        <v>Liyiming Ke, Matt Barnes, Wen Sun, Gilwoo Lee, Sanjiban Choudhury, Siddhartha Srinivasa</v>
      </c>
      <c r="E872" t="str">
        <f>IFERROR(__xludf.DUMMYFUNCTION("""COMPUTED_VALUE"""),"arXiv")</f>
        <v>arXiv</v>
      </c>
      <c r="F872">
        <f>IFERROR(__xludf.DUMMYFUNCTION("""COMPUTED_VALUE"""),2019.0)</f>
        <v>2019</v>
      </c>
      <c r="H872" s="3" t="str">
        <f>IFERROR(__xludf.DUMMYFUNCTION("""COMPUTED_VALUE"""),"AN #58")</f>
        <v>AN #58</v>
      </c>
      <c r="I872" t="str">
        <f>IFERROR(__xludf.DUMMYFUNCTION("""COMPUTED_VALUE"""),"Cody")</f>
        <v>Cody</v>
      </c>
      <c r="J872" t="str">
        <f>IFERROR(__xludf.DUMMYFUNCTION("""COMPUTED_VALUE"""),"This paper frames imitation learning through the lens of matching your model's distribution over trajectories (or conditional actions) to the distribution of an expert policy. This framing of distribution comparison naturally leads to the discussion of f-"&amp;"divergences, a broad set of measures including KL and Jenson-Shannon Divergences. The paper argues that existing imitation learning methods have implicitly chosen divergence measures that incentivize ""mode covering"" (making sure to have support anywhere"&amp;" the expert does) vs mode collapsing (making sure to only have support where the expert does), and that the latter is more appropriate for safety reasons, since the average between two modes of an expert policy may not itself be a safe policy. They demons"&amp;"trate this by using a variational approximation of the reverse-KL distance as the divergence underlying their imitation learner. ")</f>
        <v>This paper frames imitation learning through the lens of matching your model's distribution over trajectories (or conditional actions) to the distribution of an expert policy. This framing of distribution comparison naturally leads to the discussion of f-divergences, a broad set of measures including KL and Jenson-Shannon Divergences. The paper argues that existing imitation learning methods have implicitly chosen divergence measures that incentivize "mode covering" (making sure to have support anywhere the expert does) vs mode collapsing (making sure to only have support where the expert does), and that the latter is more appropriate for safety reasons, since the average between two modes of an expert policy may not itself be a safe policy. They demonstrate this by using a variational approximation of the reverse-KL distance as the divergence underlying their imitation learner. </v>
      </c>
      <c r="K872" t="str">
        <f>IFERROR(__xludf.DUMMYFUNCTION("""COMPUTED_VALUE"""),"I appreciate papers like these that connect peoples intuitions between different areas (like imitation learning and distributional difference measures). It does seem like this would even more strongly lead to lack of ability to outperform the demonstrator"&amp;", but that's honestly more a critique of imitation learning more generally than this paper in particular. ")</f>
        <v>I appreciate papers like these that connect peoples intuitions between different areas (like imitation learning and distributional difference measures). It does seem like this would even more strongly lead to lack of ability to outperform the demonstrator, but that's honestly more a critique of imitation learning more generally than this paper in particular. </v>
      </c>
    </row>
    <row r="873">
      <c r="A873" t="str">
        <f>IFERROR(__xludf.DUMMYFUNCTION("""COMPUTED_VALUE"""),"Learning human intent")</f>
        <v>Learning human intent</v>
      </c>
      <c r="B873" t="str">
        <f>IFERROR(__xludf.DUMMYFUNCTION("""COMPUTED_VALUE"""),"")</f>
        <v/>
      </c>
      <c r="C873" s="3" t="str">
        <f>IFERROR(__xludf.DUMMYFUNCTION("""COMPUTED_VALUE"""),"Perceptual Values from Observation")</f>
        <v>Perceptual Values from Observation</v>
      </c>
      <c r="D873" t="str">
        <f>IFERROR(__xludf.DUMMYFUNCTION("""COMPUTED_VALUE"""),"Ashley D. Edwards, Charles L. Isbell")</f>
        <v>Ashley D. Edwards, Charles L. Isbell</v>
      </c>
      <c r="E873" t="str">
        <f>IFERROR(__xludf.DUMMYFUNCTION("""COMPUTED_VALUE"""),"Workshop on Self-Supervised Learning at ICML 2019")</f>
        <v>Workshop on Self-Supervised Learning at ICML 2019</v>
      </c>
      <c r="F873">
        <f>IFERROR(__xludf.DUMMYFUNCTION("""COMPUTED_VALUE"""),2019.0)</f>
        <v>2019</v>
      </c>
      <c r="H873" s="3" t="str">
        <f>IFERROR(__xludf.DUMMYFUNCTION("""COMPUTED_VALUE"""),"AN #57")</f>
        <v>AN #57</v>
      </c>
      <c r="I873" t="str">
        <f>IFERROR(__xludf.DUMMYFUNCTION("""COMPUTED_VALUE"""),"Cody")</f>
        <v>Cody</v>
      </c>
      <c r="J873" t="str">
        <f>IFERROR(__xludf.DUMMYFUNCTION("""COMPUTED_VALUE"""),"This paper proposes a technique for learning from raw expert-trajectory observations by assuming that the last state in the trajectory is the state where the goal was achieved, and that other states have value in proportion to how close they are to a term"&amp;"inal state in demonstration trajectories. They use this as a grounding to train models predicting value and action-value, and then use these estimated values to determine actions. ")</f>
        <v>This paper proposes a technique for learning from raw expert-trajectory observations by assuming that the last state in the trajectory is the state where the goal was achieved, and that other states have value in proportion to how close they are to a terminal state in demonstration trajectories. They use this as a grounding to train models predicting value and action-value, and then use these estimated values to determine actions. </v>
      </c>
      <c r="K873" t="str">
        <f>IFERROR(__xludf.DUMMYFUNCTION("""COMPUTED_VALUE"""),"This idea definitely gets points for being a clear and easy-to-implement heuristic, though I worry it may have trouble with videos that  don't match its goal-directed assumption.")</f>
        <v>This idea definitely gets points for being a clear and easy-to-implement heuristic, though I worry it may have trouble with videos that  don't match its goal-directed assumption.</v>
      </c>
    </row>
    <row r="874">
      <c r="A874" t="str">
        <f>IFERROR(__xludf.DUMMYFUNCTION("""COMPUTED_VALUE"""),"Learning human intent")</f>
        <v>Learning human intent</v>
      </c>
      <c r="B874" t="str">
        <f>IFERROR(__xludf.DUMMYFUNCTION("""COMPUTED_VALUE"""),"")</f>
        <v/>
      </c>
      <c r="C874" s="3" t="str">
        <f>IFERROR(__xludf.DUMMYFUNCTION("""COMPUTED_VALUE"""),"Extrapolating Beyond Suboptimal Demonstrations via Inverse Reinforcement Learning from Observations")</f>
        <v>Extrapolating Beyond Suboptimal Demonstrations via Inverse Reinforcement Learning from Observations</v>
      </c>
      <c r="D874" t="str">
        <f>IFERROR(__xludf.DUMMYFUNCTION("""COMPUTED_VALUE"""),"Daniel S. Brown, Wonjoon Goo, Prabhat Nagarajan, Scott Niekum")</f>
        <v>Daniel S. Brown, Wonjoon Goo, Prabhat Nagarajan, Scott Niekum</v>
      </c>
      <c r="E874" t="str">
        <f>IFERROR(__xludf.DUMMYFUNCTION("""COMPUTED_VALUE"""),"arXiv")</f>
        <v>arXiv</v>
      </c>
      <c r="F874">
        <f>IFERROR(__xludf.DUMMYFUNCTION("""COMPUTED_VALUE"""),2019.0)</f>
        <v>2019</v>
      </c>
      <c r="H874" s="3" t="str">
        <f>IFERROR(__xludf.DUMMYFUNCTION("""COMPUTED_VALUE"""),"AN #54")</f>
        <v>AN #54</v>
      </c>
      <c r="I874" t="str">
        <f>IFERROR(__xludf.DUMMYFUNCTION("""COMPUTED_VALUE"""),"Cody")</f>
        <v>Cody</v>
      </c>
      <c r="J874" t="str">
        <f>IFERROR(__xludf.DUMMYFUNCTION("""COMPUTED_VALUE"""),"This paper claims to demonstrate a technique by which an agent learning from a demonstrator's actions can learn to outperform that demonstrator on their true reward, rather than, in the way of imitation learning or behavioral cloning, just mimicking the d"&amp;"emonstrator under the assumption that the demonstrator's performance is optimal (or at least near-optimal). The key structural innovation of the paper is to learn using pairs of ranked trajectories and learn a neural network-based reward function based on"&amp;" correctly predicting which will be higher. This allows the model to predict what actions will lead to higher and lower reward, and to extrapolate that relationship beyond the best demonstration. When an agent is then trained using this reward model as it"&amp;"'s ground truth reward, it's shown to be capable of outperforming the demonstrator on multiple tested environments, including Atari. An important distinction compared to some prior work is the fact that these rankings are collected in an off-policy manner"&amp;", distinguishing it from [Deep RL from Human Preferences](https://openai.com/blog/deep-reinforcement-learning-from-human-preferences/) where rankings are requested on trajectories generated as an agent learns. ")</f>
        <v>This paper claims to demonstrate a technique by which an agent learning from a demonstrator's actions can learn to outperform that demonstrator on their true reward, rather than, in the way of imitation learning or behavioral cloning, just mimicking the demonstrator under the assumption that the demonstrator's performance is optimal (or at least near-optimal). The key structural innovation of the paper is to learn using pairs of ranked trajectories and learn a neural network-based reward function based on correctly predicting which will be higher. This allows the model to predict what actions will lead to higher and lower reward, and to extrapolate that relationship beyond the best demonstration. When an agent is then trained using this reward model as it's ground truth reward, it's shown to be capable of outperforming the demonstrator on multiple tested environments, including Atari. An important distinction compared to some prior work is the fact that these rankings are collected in an off-policy manner, distinguishing it from [Deep RL from Human Preferences](https://openai.com/blog/deep-reinforcement-learning-from-human-preferences/) where rankings are requested on trajectories generated as an agent learns. </v>
      </c>
      <c r="K874" t="str">
        <f>IFERROR(__xludf.DUMMYFUNCTION("""COMPUTED_VALUE"""),"Seems like potentially a straightforward and clever modification to a typical reward learning structure, but a bit unclear how much of the performance relative to GAIL and BCO derives from T-REX's access to suboptimal demonstrations and subtrajectories gi"&amp;"ving it more effective training data. It does intuitively seem that adding examples of what poor performance looks like, rather than just optimal performance, would add useful informative signal to training. On a personal level, I'm curious if one implica"&amp;"tion of an approach like this is that it could allow a single set of demonstration trajectories to be used in reward learning of multiple distinct rewards, based on different rankings being assigned to the same trajectory based on the reward the ranker wa"&amp;"nts to see demonstrated.
**Rohin's opinion:** It's pretty interesting that the [Deep RL from Human Preferences](https://openai.com/blog/deep-reinforcement-learning-from-human-preferences/) approach works even with off-policy trajectories. It seems like l"&amp;"ooking at the _difference_ between good and bad trajectories gives you more information about the true reward that generalizes better. We saw similar things in our work on &lt;@Active Inverse Reward Design@&gt;.")</f>
        <v>Seems like potentially a straightforward and clever modification to a typical reward learning structure, but a bit unclear how much of the performance relative to GAIL and BCO derives from T-REX's access to suboptimal demonstrations and subtrajectories giving it more effective training data. It does intuitively seem that adding examples of what poor performance looks like, rather than just optimal performance, would add useful informative signal to training. On a personal level, I'm curious if one implication of an approach like this is that it could allow a single set of demonstration trajectories to be used in reward learning of multiple distinct rewards, based on different rankings being assigned to the same trajectory based on the reward the ranker wants to see demonstrated.
**Rohin's opinion:** It's pretty interesting that the [Deep RL from Human Preferences](https://openai.com/blog/deep-reinforcement-learning-from-human-preferences/) approach works even with off-policy trajectories. It seems like looking at the _difference_ between good and bad trajectories gives you more information about the true reward that generalizes better. We saw similar things in our work on &lt;@Active Inverse Reward Design@&gt;.</v>
      </c>
    </row>
    <row r="875">
      <c r="A875" t="str">
        <f>IFERROR(__xludf.DUMMYFUNCTION("""COMPUTED_VALUE"""),"Learning human intent")</f>
        <v>Learning human intent</v>
      </c>
      <c r="B875" t="str">
        <f>IFERROR(__xludf.DUMMYFUNCTION("""COMPUTED_VALUE"""),"")</f>
        <v/>
      </c>
      <c r="C875" s="3" t="str">
        <f>IFERROR(__xludf.DUMMYFUNCTION("""COMPUTED_VALUE"""),"Deep Reinforcement Learning from Policy-Dependent Human Feedback")</f>
        <v>Deep Reinforcement Learning from Policy-Dependent Human Feedback</v>
      </c>
      <c r="D875" t="str">
        <f>IFERROR(__xludf.DUMMYFUNCTION("""COMPUTED_VALUE"""),"Dilip Arumugam, Jun Ki Lee, Sophie Saskin, Michael L. Littman")</f>
        <v>Dilip Arumugam, Jun Ki Lee, Sophie Saskin, Michael L. Littman</v>
      </c>
      <c r="E875" t="str">
        <f>IFERROR(__xludf.DUMMYFUNCTION("""COMPUTED_VALUE"""),"arXiv")</f>
        <v>arXiv</v>
      </c>
      <c r="F875">
        <f>IFERROR(__xludf.DUMMYFUNCTION("""COMPUTED_VALUE"""),2019.0)</f>
        <v>2019</v>
      </c>
      <c r="H875" s="3" t="str">
        <f>IFERROR(__xludf.DUMMYFUNCTION("""COMPUTED_VALUE"""),"AN #51")</f>
        <v>AN #51</v>
      </c>
      <c r="I875" t="str">
        <f>IFERROR(__xludf.DUMMYFUNCTION("""COMPUTED_VALUE"""),"Rohin")</f>
        <v>Rohin</v>
      </c>
      <c r="J875" t="str">
        <f>IFERROR(__xludf.DUMMYFUNCTION("""COMPUTED_VALUE"""),"One obvious approach to human-in-the-loop reinforcement learning is to have humans provide an external reward signal that the policy optimizes. [Previous work](https://arxiv.org/abs/1701.06049) noted that humans tend to _correct_ existing behavior, rather"&amp;" than providing an ""objective"" measurement of how good the behavior is (which is what a reward function is). They proposed Convergent Actor-Critic by Humans (COACH), where instead of using human feedback as a reward signal, they use it as the _advantage"&amp;" function_. This means that human feedback is modeled as specifying how good an action is relative to the ""average"" action that the agent would have chosen from that state. (It's an average because the policy is stochastic.) Thus, as the policy gets bet"&amp;"ter, it will no longer get positive feedback on behaviors that it has successfully learned to do, which matches how humans give reinforcement signals.
This work takes COACH and extends it to the deep RL setting, evaluating it on Minecraft. While the orig"&amp;"inal COACH had an eligibility trace that helps ""smooth out"" human feedback over time, deep COACH requires an eligibility replay buffer. For sample efficiency, they first train an autoencoder to learn a good representation of the space (presumably using "&amp;"experience collected with a random policy), and feed these representations into the control policy. They reward entropy so that the policy doesn't commit to a particular behavior, making it responsive to feedback, but select actions by always picking the "&amp;"action with maximal probability (rather than sampling from the distribution) in order to have interpretable, consistent behavior for the human trainers to provide feedback on. They evaluate on simple navigation tasks in the complex 3D environment of Minec"&amp;"raft, including a task where the agent must patrol the perimeter of a room, which cannot be captured by a state-based reward function.")</f>
        <v>One obvious approach to human-in-the-loop reinforcement learning is to have humans provide an external reward signal that the policy optimizes. [Previous work](https://arxiv.org/abs/1701.06049) noted that humans tend to _correct_ existing behavior, rather than providing an "objective" measurement of how good the behavior is (which is what a reward function is). They proposed Convergent Actor-Critic by Humans (COACH), where instead of using human feedback as a reward signal, they use it as the _advantage function_. This means that human feedback is modeled as specifying how good an action is relative to the "average" action that the agent would have chosen from that state. (It's an average because the policy is stochastic.) Thus, as the policy gets better, it will no longer get positive feedback on behaviors that it has successfully learned to do, which matches how humans give reinforcement signals.
This work takes COACH and extends it to the deep RL setting, evaluating it on Minecraft. While the original COACH had an eligibility trace that helps "smooth out" human feedback over time, deep COACH requires an eligibility replay buffer. For sample efficiency, they first train an autoencoder to learn a good representation of the space (presumably using experience collected with a random policy), and feed these representations into the control policy. They reward entropy so that the policy doesn't commit to a particular behavior, making it responsive to feedback, but select actions by always picking the action with maximal probability (rather than sampling from the distribution) in order to have interpretable, consistent behavior for the human trainers to provide feedback on. They evaluate on simple navigation tasks in the complex 3D environment of Minecraft, including a task where the agent must patrol the perimeter of a room, which cannot be captured by a state-based reward function.</v>
      </c>
      <c r="K875" t="str">
        <f>IFERROR(__xludf.DUMMYFUNCTION("""COMPUTED_VALUE"""),"I really like the focus on figuring out how humans actually provide feedback in practice; it makes a lot of sense that we provide reinforcement signals that reflect the advantage function rather than the reward function. That said, I wish the evaluation h"&amp;"ad more complex tasks, and had involved human trainers who were not authors of the paper -- it might have taken an hour or two of human time instead of 10-15 minutes, but would have been a lot more compelling.
Before continuing, I recommend reading about"&amp;" Simulated Policy Learning in Video Models below. As in that case, I think that you get sample efficiency here by getting a lot of ""supervision information"" from the pixels used to train the VAE, though in this case it's by learning useful features rath"&amp;"er than using the world model to simulate trajectories. (Importantly, in this setting we care about sample efficiency _with respect to human feedback_ as opposed to environment interaction.) I think the techniques used there could help with scaling to mor"&amp;"e complex tasks. In particular, it would be interesting to see a variant of deep COACH that alternated between training the VAE with the learned control policy, and training the learned control policy with the new VAE features. One issue would be that as "&amp;"you retrain the VAE, you would invalidate your previous control policy, but you could probably get around that (e.g. by also training the control policy to imitate itself while the VAE is being trained).")</f>
        <v>I really like the focus on figuring out how humans actually provide feedback in practice; it makes a lot of sense that we provide reinforcement signals that reflect the advantage function rather than the reward function. That said, I wish the evaluation had more complex tasks, and had involved human trainers who were not authors of the paper -- it might have taken an hour or two of human time instead of 10-15 minutes, but would have been a lot more compelling.
Before continuing, I recommend reading about Simulated Policy Learning in Video Models below. As in that case, I think that you get sample efficiency here by getting a lot of "supervision information" from the pixels used to train the VAE, though in this case it's by learning useful features rather than using the world model to simulate trajectories. (Importantly, in this setting we care about sample efficiency _with respect to human feedback_ as opposed to environment interaction.) I think the techniques used there could help with scaling to more complex tasks. In particular, it would be interesting to see a variant of deep COACH that alternated between training the VAE with the learned control policy, and training the learned control policy with the new VAE features. One issue would be that as you retrain the VAE, you would invalidate your previous control policy, but you could probably get around that (e.g. by also training the control policy to imitate itself while the VAE is being trained).</v>
      </c>
    </row>
    <row r="876">
      <c r="A876" t="str">
        <f>IFERROR(__xludf.DUMMYFUNCTION("""COMPUTED_VALUE"""),"Learning human intent")</f>
        <v>Learning human intent</v>
      </c>
      <c r="B876" t="str">
        <f>IFERROR(__xludf.DUMMYFUNCTION("""COMPUTED_VALUE"""),"")</f>
        <v/>
      </c>
      <c r="C876" s="3" t="str">
        <f>IFERROR(__xludf.DUMMYFUNCTION("""COMPUTED_VALUE"""),"Literal or Pedagogic Human? Analyzing Human Model Misspecification in Objective Learning")</f>
        <v>Literal or Pedagogic Human? Analyzing Human Model Misspecification in Objective Learning</v>
      </c>
      <c r="D876" t="str">
        <f>IFERROR(__xludf.DUMMYFUNCTION("""COMPUTED_VALUE"""),"Smitha Milli, Anca D. Dragan")</f>
        <v>Smitha Milli, Anca D. Dragan</v>
      </c>
      <c r="E876" t="str">
        <f>IFERROR(__xludf.DUMMYFUNCTION("""COMPUTED_VALUE"""),"arXiv")</f>
        <v>arXiv</v>
      </c>
      <c r="F876">
        <f>IFERROR(__xludf.DUMMYFUNCTION("""COMPUTED_VALUE"""),2019.0)</f>
        <v>2019</v>
      </c>
      <c r="H876" s="3" t="str">
        <f>IFERROR(__xludf.DUMMYFUNCTION("""COMPUTED_VALUE"""),"AN #50")</f>
        <v>AN #50</v>
      </c>
      <c r="I876" t="str">
        <f>IFERROR(__xludf.DUMMYFUNCTION("""COMPUTED_VALUE"""),"Rohin")</f>
        <v>Rohin</v>
      </c>
      <c r="J876" t="str">
        <f>IFERROR(__xludf.DUMMYFUNCTION("""COMPUTED_VALUE"""),"In [Cooperative Inverse Reinforcement Learning](https://arxiv.org/abs/1606.03137), we assume a two-player game with a human and a robot where the robot doesn't know the reward R, but both players are trying to maximize the reward. Since one of the players"&amp;" is a human, we cannot simply compute the optimal strategy and deploy it -- we are always making some assumption about the human, that may be misspecified. A common assumption is that the human is playing optimally for the single-player version of the gam"&amp;"e, also known as a literal human. The robot then takes the best response actions given that assumption. Another assumption is to have a _pedagogic_ human, who acts as though the robot is interpreting her literally. The robot that takes the best response a"&amp;"ctions with this assumption is called a pedagogic or pragmatic robot.
However, any assumption we make about the human is going to be misspecified. This paper looks at how we can be robust to misspecification, in particular if the human could be literal o"&amp;"r pedagogic. The main result is that the literal robot is more robust to misspecification. The way I think about this is that the literal robot is designed to work with a literal human, and a pedagogic human is ""designed"" to work with the literal robot,"&amp;" so unsurprisingly the literal robot works well with both of them. On the other hand, the pedagogic robot is designed to work with the pedagogic human, but has no relationship with the literal robot, and so should not be expected to work well. It turns ou"&amp;"t we can turn this argument into a very simple proof: (literal robot, pedagogic human) outperforms (literal robot, literal human) since the pedagogic human is designed to work well with the literal robot, and (literal robot, literal human) outperforms (pe"&amp;"dagogic robot, literal human) since the literal robot is designed to work with the literal human.
They then check that the theory holds in practice. They find that the literal robot is better than the pedagogic robot _even when humans are trying to be pe"&amp;"dagogic_, a stronger result than the theory predicted. The authors hypothesize that even when trying to be pedagogic, humans are more accurately modeled as a mixture of literal and pedagogic humans, and the extra robustness of the literal robot means that"&amp;" it is the better choice.")</f>
        <v>In [Cooperative Inverse Reinforcement Learning](https://arxiv.org/abs/1606.03137), we assume a two-player game with a human and a robot where the robot doesn't know the reward R, but both players are trying to maximize the reward. Since one of the players is a human, we cannot simply compute the optimal strategy and deploy it -- we are always making some assumption about the human, that may be misspecified. A common assumption is that the human is playing optimally for the single-player version of the game, also known as a literal human. The robot then takes the best response actions given that assumption. Another assumption is to have a _pedagogic_ human, who acts as though the robot is interpreting her literally. The robot that takes the best response actions with this assumption is called a pedagogic or pragmatic robot.
However, any assumption we make about the human is going to be misspecified. This paper looks at how we can be robust to misspecification, in particular if the human could be literal or pedagogic. The main result is that the literal robot is more robust to misspecification. The way I think about this is that the literal robot is designed to work with a literal human, and a pedagogic human is "designed" to work with the literal robot, so unsurprisingly the literal robot works well with both of them. On the other hand, the pedagogic robot is designed to work with the pedagogic human, but has no relationship with the literal robot, and so should not be expected to work well. It turns out we can turn this argument into a very simple proof: (literal robot, pedagogic human) outperforms (literal robot, literal human) since the pedagogic human is designed to work well with the literal robot, and (literal robot, literal human) outperforms (pedagogic robot, literal human) since the literal robot is designed to work with the literal human.
They then check that the theory holds in practice. They find that the literal robot is better than the pedagogic robot _even when humans are trying to be pedagogic_, a stronger result than the theory predicted. The authors hypothesize that even when trying to be pedagogic, humans are more accurately modeled as a mixture of literal and pedagogic humans, and the extra robustness of the literal robot means that it is the better choice.</v>
      </c>
      <c r="K876" t="str">
        <f>IFERROR(__xludf.DUMMYFUNCTION("""COMPUTED_VALUE"""),"I found this theorem quite unintuitive when I first encountered it, despite it being two lines long, which is something of a testament to how annoying and tricky misspecification can be. One way I interpret the empirical result is that the wider the proba"&amp;"bility distributions of our assumptions, the more robust they are to misspecification. A literal robot assumes that the human can take any near-optimal trajectory, whereas a pedagogic robot assumes that the human takes very particular near-optimal traject"&amp;"ories that best communicate the reward. So, the literal robot places probability mass over a larger space of trajectories given a particular reward, and does not update as strongly on any particular observed trajectory compared to the pedagogic robot, mak"&amp;"ing it more robust.")</f>
        <v>I found this theorem quite unintuitive when I first encountered it, despite it being two lines long, which is something of a testament to how annoying and tricky misspecification can be. One way I interpret the empirical result is that the wider the probability distributions of our assumptions, the more robust they are to misspecification. A literal robot assumes that the human can take any near-optimal trajectory, whereas a pedagogic robot assumes that the human takes very particular near-optimal trajectories that best communicate the reward. So, the literal robot places probability mass over a larger space of trajectories given a particular reward, and does not update as strongly on any particular observed trajectory compared to the pedagogic robot, making it more robust.</v>
      </c>
    </row>
    <row r="877">
      <c r="A877" t="str">
        <f>IFERROR(__xludf.DUMMYFUNCTION("""COMPUTED_VALUE"""),"Learning human intent")</f>
        <v>Learning human intent</v>
      </c>
      <c r="B877" t="str">
        <f>IFERROR(__xludf.DUMMYFUNCTION("""COMPUTED_VALUE"""),"")</f>
        <v/>
      </c>
      <c r="C877" s="3" t="str">
        <f>IFERROR(__xludf.DUMMYFUNCTION("""COMPUTED_VALUE"""),"Unsupervised Visuomotor Control through Distributional Planning Networks")</f>
        <v>Unsupervised Visuomotor Control through Distributional Planning Networks</v>
      </c>
      <c r="D877" t="str">
        <f>IFERROR(__xludf.DUMMYFUNCTION("""COMPUTED_VALUE"""),"Tianhe Yu, Gleb Shevchuk, Dorsa Sadigh, Chelsea Finn")</f>
        <v>Tianhe Yu, Gleb Shevchuk, Dorsa Sadigh, Chelsea Finn</v>
      </c>
      <c r="E877" t="str">
        <f>IFERROR(__xludf.DUMMYFUNCTION("""COMPUTED_VALUE"""),"arXiv")</f>
        <v>arXiv</v>
      </c>
      <c r="F877">
        <f>IFERROR(__xludf.DUMMYFUNCTION("""COMPUTED_VALUE"""),2019.0)</f>
        <v>2019</v>
      </c>
      <c r="H877" s="3" t="str">
        <f>IFERROR(__xludf.DUMMYFUNCTION("""COMPUTED_VALUE"""),"AN #48")</f>
        <v>AN #48</v>
      </c>
    </row>
    <row r="878">
      <c r="A878" t="str">
        <f>IFERROR(__xludf.DUMMYFUNCTION("""COMPUTED_VALUE"""),"Learning human intent")</f>
        <v>Learning human intent</v>
      </c>
      <c r="B878" t="str">
        <f>IFERROR(__xludf.DUMMYFUNCTION("""COMPUTED_VALUE"""),"")</f>
        <v/>
      </c>
      <c r="C878" s="3" t="str">
        <f>IFERROR(__xludf.DUMMYFUNCTION("""COMPUTED_VALUE"""),"Risk-Aware Active Inverse Reinforcement Learning")</f>
        <v>Risk-Aware Active Inverse Reinforcement Learning</v>
      </c>
      <c r="D878" t="str">
        <f>IFERROR(__xludf.DUMMYFUNCTION("""COMPUTED_VALUE"""),"Daniel S. Brown, Yuchen Cui, Scott Niekum")</f>
        <v>Daniel S. Brown, Yuchen Cui, Scott Niekum</v>
      </c>
      <c r="E878" t="str">
        <f>IFERROR(__xludf.DUMMYFUNCTION("""COMPUTED_VALUE"""),"IROS 2018 Workshop on Machine Learning in Robot Motion Planning")</f>
        <v>IROS 2018 Workshop on Machine Learning in Robot Motion Planning</v>
      </c>
      <c r="F878">
        <f>IFERROR(__xludf.DUMMYFUNCTION("""COMPUTED_VALUE"""),2019.0)</f>
        <v>2019</v>
      </c>
      <c r="H878" s="3" t="str">
        <f>IFERROR(__xludf.DUMMYFUNCTION("""COMPUTED_VALUE"""),"AN #41")</f>
        <v>AN #41</v>
      </c>
    </row>
    <row r="879">
      <c r="A879" t="str">
        <f>IFERROR(__xludf.DUMMYFUNCTION("""COMPUTED_VALUE"""),"Learning human intent")</f>
        <v>Learning human intent</v>
      </c>
      <c r="B879" t="str">
        <f>IFERROR(__xludf.DUMMYFUNCTION("""COMPUTED_VALUE"""),"")</f>
        <v/>
      </c>
      <c r="C879" s="3" t="str">
        <f>IFERROR(__xludf.DUMMYFUNCTION("""COMPUTED_VALUE"""),"Variational Discriminator Bottleneck: Improving Imitation Learning, Inverse RL, and GANs by Constraining Information Flow")</f>
        <v>Variational Discriminator Bottleneck: Improving Imitation Learning, Inverse RL, and GANs by Constraining Information Flow</v>
      </c>
      <c r="D879" t="str">
        <f>IFERROR(__xludf.DUMMYFUNCTION("""COMPUTED_VALUE"""),"Xue Bin Peng, Angjoo Kanazawa, Sam Toyer, Pieter Abbeel, Sergey Levine")</f>
        <v>Xue Bin Peng, Angjoo Kanazawa, Sam Toyer, Pieter Abbeel, Sergey Levine</v>
      </c>
      <c r="E879" t="str">
        <f>IFERROR(__xludf.DUMMYFUNCTION("""COMPUTED_VALUE"""),"arXiv")</f>
        <v>arXiv</v>
      </c>
      <c r="F879">
        <f>IFERROR(__xludf.DUMMYFUNCTION("""COMPUTED_VALUE"""),2018.0)</f>
        <v>2018</v>
      </c>
      <c r="H879" s="3" t="str">
        <f>IFERROR(__xludf.DUMMYFUNCTION("""COMPUTED_VALUE"""),"AN #38")</f>
        <v>AN #38</v>
      </c>
      <c r="I879" t="str">
        <f>IFERROR(__xludf.DUMMYFUNCTION("""COMPUTED_VALUE"""),"Rohin")</f>
        <v>Rohin</v>
      </c>
      <c r="J879" t="str">
        <f>IFERROR(__xludf.DUMMYFUNCTION("""COMPUTED_VALUE"""),"Adversarial learning techniques require a delicate balance between the generator and the discriminator. If the discriminator is too weak, it cannot tell the difference between generated samples and true samples, and it cannot provide a learning signal for"&amp;" the generator. If the discriminator is too strong, small changes to the generator are not going to fool the discriminator, and so again the gradient is uninformative. This paper proposes to control the power of the discriminator using an _information bot"&amp;"tleneck_.
Instead of providing data points directly to the discriminator, the data points are first encoded into a new representation, and the discriminator must work with the new representation. The representation is learned to be helpful for the discri"&amp;"minator under the constraint of an upper bound on the mutual information between the representation and the original data points. The choice of upper bound determines how much information the discriminator is allowed to access, which in turn determines ho"&amp;"w powerful the discriminator is.
They apply this idea to imitation learning (GAIL), inverse reinforcement learning (AIRL), and image generation (GANs), and find that it improves results.")</f>
        <v>Adversarial learning techniques require a delicate balance between the generator and the discriminator. If the discriminator is too weak, it cannot tell the difference between generated samples and true samples, and it cannot provide a learning signal for the generator. If the discriminator is too strong, small changes to the generator are not going to fool the discriminator, and so again the gradient is uninformative. This paper proposes to control the power of the discriminator using an _information bottleneck_.
Instead of providing data points directly to the discriminator, the data points are first encoded into a new representation, and the discriminator must work with the new representation. The representation is learned to be helpful for the discriminator under the constraint of an upper bound on the mutual information between the representation and the original data points. The choice of upper bound determines how much information the discriminator is allowed to access, which in turn determines how powerful the discriminator is.
They apply this idea to imitation learning (GAIL), inverse reinforcement learning (AIRL), and image generation (GANs), and find that it improves results.</v>
      </c>
    </row>
    <row r="880">
      <c r="A880" t="str">
        <f>IFERROR(__xludf.DUMMYFUNCTION("""COMPUTED_VALUE"""),"Learning human intent")</f>
        <v>Learning human intent</v>
      </c>
      <c r="B880" t="str">
        <f>IFERROR(__xludf.DUMMYFUNCTION("""COMPUTED_VALUE"""),"")</f>
        <v/>
      </c>
      <c r="C880" s="3" t="str">
        <f>IFERROR(__xludf.DUMMYFUNCTION("""COMPUTED_VALUE"""),"Guiding Policies with Language via Meta-Learning")</f>
        <v>Guiding Policies with Language via Meta-Learning</v>
      </c>
      <c r="D880" t="str">
        <f>IFERROR(__xludf.DUMMYFUNCTION("""COMPUTED_VALUE"""),"John D. Co-Reyes")</f>
        <v>John D. Co-Reyes</v>
      </c>
      <c r="E880" t="str">
        <f>IFERROR(__xludf.DUMMYFUNCTION("""COMPUTED_VALUE"""),"arXiv")</f>
        <v>arXiv</v>
      </c>
      <c r="F880">
        <f>IFERROR(__xludf.DUMMYFUNCTION("""COMPUTED_VALUE"""),2018.0)</f>
        <v>2018</v>
      </c>
      <c r="H880" s="3" t="str">
        <f>IFERROR(__xludf.DUMMYFUNCTION("""COMPUTED_VALUE"""),"AN #35")</f>
        <v>AN #35</v>
      </c>
      <c r="I880" t="str">
        <f>IFERROR(__xludf.DUMMYFUNCTION("""COMPUTED_VALUE"""),"Richard")</f>
        <v>Richard</v>
      </c>
      <c r="J880" t="str">
        <f>IFERROR(__xludf.DUMMYFUNCTION("""COMPUTED_VALUE"""),"The authors train an agent to perform tasks specified in natural language, with a ""correction"" after each attempt (also in natural language). They formulate this as a meta-learning problem: for each instruction, several attempt-correction cycles are all"&amp;"owed. Each attempt takes into account previous attempts to achieve the same instruction by passing each previous trajectory and its corresponding correction through a CNN, then using the mean of all outputs as an input to a policy module.
In their experi"&amp;"ments, all instructions and corrections are generated automatically, and test-time performance is evaluated as a function of how many corrections are allowed. In one experiment, the tasks is to navigate rooms to reach a goal, where the correction is the n"&amp;"ext subgoal required. Given 4 corrections, their agent outperforms a baseline which was given all 5 subgoals at the beginning of the task. In another experiment, the task is to move a block to an ambiguously-specified location, and the corrections narrow "&amp;"down the target area; their trained agent scores 0.9, as opposed to 0.96 for an agent given the exact target location.")</f>
        <v>The authors train an agent to perform tasks specified in natural language, with a "correction" after each attempt (also in natural language). They formulate this as a meta-learning problem: for each instruction, several attempt-correction cycles are allowed. Each attempt takes into account previous attempts to achieve the same instruction by passing each previous trajectory and its corresponding correction through a CNN, then using the mean of all outputs as an input to a policy module.
In their experiments, all instructions and corrections are generated automatically, and test-time performance is evaluated as a function of how many corrections are allowed. In one experiment, the tasks is to navigate rooms to reach a goal, where the correction is the next subgoal required. Given 4 corrections, their agent outperforms a baseline which was given all 5 subgoals at the beginning of the task. In another experiment, the task is to move a block to an ambiguously-specified location, and the corrections narrow down the target area; their trained agent scores 0.9, as opposed to 0.96 for an agent given the exact target location.</v>
      </c>
      <c r="K880" t="str">
        <f>IFERROR(__xludf.DUMMYFUNCTION("""COMPUTED_VALUE"""),"This paper explores an important idea: correcting poorly-specified instructions using human-in-the-loop feedback. The second task in particular is a nice toy example of iterative preference clarification. I'm not sure whether their meta-learning approach "&amp;"is directly relevant to safety, particularly because each correction is only ""in scope"" for a single episode, and also only occurs after a bad attempt has finished. However, the broad idea of correction-based learning seems promising.")</f>
        <v>This paper explores an important idea: correcting poorly-specified instructions using human-in-the-loop feedback. The second task in particular is a nice toy example of iterative preference clarification. I'm not sure whether their meta-learning approach is directly relevant to safety, particularly because each correction is only "in scope" for a single episode, and also only occurs after a bad attempt has finished. However, the broad idea of correction-based learning seems promising.</v>
      </c>
    </row>
    <row r="881">
      <c r="A881" t="str">
        <f>IFERROR(__xludf.DUMMYFUNCTION("""COMPUTED_VALUE"""),"Learning human intent")</f>
        <v>Learning human intent</v>
      </c>
      <c r="B881" t="str">
        <f>IFERROR(__xludf.DUMMYFUNCTION("""COMPUTED_VALUE"""),"")</f>
        <v/>
      </c>
      <c r="C881" s="3" t="str">
        <f>IFERROR(__xludf.DUMMYFUNCTION("""COMPUTED_VALUE"""),"BabyAI: First Steps Towards Grounded Language Learning With a Human In the Loop")</f>
        <v>BabyAI: First Steps Towards Grounded Language Learning With a Human In the Loop</v>
      </c>
      <c r="D881" t="str">
        <f>IFERROR(__xludf.DUMMYFUNCTION("""COMPUTED_VALUE"""),"Maxime Chevalier-Boisvert, Dzmitry Bahdanau, Salem Lahlou, Lucas Willems, Chitwan Saharia, Thien Huu Nguyen, Yoshua Bengio")</f>
        <v>Maxime Chevalier-Boisvert, Dzmitry Bahdanau, Salem Lahlou, Lucas Willems, Chitwan Saharia, Thien Huu Nguyen, Yoshua Bengio</v>
      </c>
      <c r="E881" t="str">
        <f>IFERROR(__xludf.DUMMYFUNCTION("""COMPUTED_VALUE"""),"arXiv")</f>
        <v>arXiv</v>
      </c>
      <c r="F881">
        <f>IFERROR(__xludf.DUMMYFUNCTION("""COMPUTED_VALUE"""),2018.0)</f>
        <v>2018</v>
      </c>
      <c r="H881" s="3" t="str">
        <f>IFERROR(__xludf.DUMMYFUNCTION("""COMPUTED_VALUE"""),"AN #31")</f>
        <v>AN #31</v>
      </c>
      <c r="I881" t="str">
        <f>IFERROR(__xludf.DUMMYFUNCTION("""COMPUTED_VALUE"""),"Rohin")</f>
        <v>Rohin</v>
      </c>
      <c r="J881" t="str">
        <f>IFERROR(__xludf.DUMMYFUNCTION("""COMPUTED_VALUE"""),"See [Import AI](https://jack-clark.net/2018/10/30/import-ai-118-airbnb-splices-neural-net-into-its-search-engine-simulating-robots-that-touch-with-unrealrox-and-how-long-it-takes-to-build-a-quadcopter-from-scratch/).")</f>
        <v>See [Import AI](https://jack-clark.net/2018/10/30/import-ai-118-airbnb-splices-neural-net-into-its-search-engine-simulating-robots-that-touch-with-unrealrox-and-how-long-it-takes-to-build-a-quadcopter-from-scratch/).</v>
      </c>
    </row>
    <row r="882">
      <c r="A882" t="str">
        <f>IFERROR(__xludf.DUMMYFUNCTION("""COMPUTED_VALUE"""),"Learning human intent")</f>
        <v>Learning human intent</v>
      </c>
      <c r="B882" t="str">
        <f>IFERROR(__xludf.DUMMYFUNCTION("""COMPUTED_VALUE"""),"")</f>
        <v/>
      </c>
      <c r="C882" s="3" t="str">
        <f>IFERROR(__xludf.DUMMYFUNCTION("""COMPUTED_VALUE"""),"Learning under Misspecified Objective Spaces")</f>
        <v>Learning under Misspecified Objective Spaces</v>
      </c>
      <c r="D882" t="str">
        <f>IFERROR(__xludf.DUMMYFUNCTION("""COMPUTED_VALUE"""),"Andreea Bobu, Andrea Bajcsy, Jaime F. Fisac, Anca D. Dragan")</f>
        <v>Andreea Bobu, Andrea Bajcsy, Jaime F. Fisac, Anca D. Dragan</v>
      </c>
      <c r="E882" t="str">
        <f>IFERROR(__xludf.DUMMYFUNCTION("""COMPUTED_VALUE"""),"arXiv")</f>
        <v>arXiv</v>
      </c>
      <c r="F882">
        <f>IFERROR(__xludf.DUMMYFUNCTION("""COMPUTED_VALUE"""),2018.0)</f>
        <v>2018</v>
      </c>
      <c r="H882" s="3" t="str">
        <f>IFERROR(__xludf.DUMMYFUNCTION("""COMPUTED_VALUE"""),"AN #28")</f>
        <v>AN #28</v>
      </c>
      <c r="I882" t="str">
        <f>IFERROR(__xludf.DUMMYFUNCTION("""COMPUTED_VALUE"""),"Rohin")</f>
        <v>Rohin</v>
      </c>
      <c r="J882" t="str">
        <f>IFERROR(__xludf.DUMMYFUNCTION("""COMPUTED_VALUE"""),"What can you do if the true objective that you are trying to infer is outside of your hypothesis space? The key insight of this paper is that in this scenario, the human feedback that you get will likely not make sense for _any_ reward function in your hy"&amp;"pothesis space, which allows you to notice when this is happening. This is operationalized using a Bayesian model in which a latent binary variable represents whether or not the true objective is in the hypothesis space. If it is, then the rationality con"&amp;"stant β will be large (i.e. the human appears to be rational), whereas if it is not, then β will be small (i.e. the human appears to be noisy). The authors evaluate with real humans correcting the trajectory of a robotic arm.")</f>
        <v>What can you do if the true objective that you are trying to infer is outside of your hypothesis space? The key insight of this paper is that in this scenario, the human feedback that you get will likely not make sense for _any_ reward function in your hypothesis space, which allows you to notice when this is happening. This is operationalized using a Bayesian model in which a latent binary variable represents whether or not the true objective is in the hypothesis space. If it is, then the rationality constant β will be large (i.e. the human appears to be rational), whereas if it is not, then β will be small (i.e. the human appears to be noisy). The authors evaluate with real humans correcting the trajectory of a robotic arm.</v>
      </c>
    </row>
    <row r="883">
      <c r="A883" t="str">
        <f>IFERROR(__xludf.DUMMYFUNCTION("""COMPUTED_VALUE"""),"Learning human intent")</f>
        <v>Learning human intent</v>
      </c>
      <c r="B883" t="str">
        <f>IFERROR(__xludf.DUMMYFUNCTION("""COMPUTED_VALUE"""),"")</f>
        <v/>
      </c>
      <c r="C883" s="3" t="str">
        <f>IFERROR(__xludf.DUMMYFUNCTION("""COMPUTED_VALUE"""),"Learning Task Specifications from Demonstrations")</f>
        <v>Learning Task Specifications from Demonstrations</v>
      </c>
      <c r="D883" t="str">
        <f>IFERROR(__xludf.DUMMYFUNCTION("""COMPUTED_VALUE"""),"Marcell Vazquez-Chanlatte, Susmit Jha, Ashish Tiwari, Mark K. Ho, Sanjit A. Seshia")</f>
        <v>Marcell Vazquez-Chanlatte, Susmit Jha, Ashish Tiwari, Mark K. Ho, Sanjit A. Seshia</v>
      </c>
      <c r="E883" t="str">
        <f>IFERROR(__xludf.DUMMYFUNCTION("""COMPUTED_VALUE"""),"NIPS 2018")</f>
        <v>NIPS 2018</v>
      </c>
      <c r="F883">
        <f>IFERROR(__xludf.DUMMYFUNCTION("""COMPUTED_VALUE"""),2018.0)</f>
        <v>2018</v>
      </c>
      <c r="H883" s="3" t="str">
        <f>IFERROR(__xludf.DUMMYFUNCTION("""COMPUTED_VALUE"""),"AN #26")</f>
        <v>AN #26</v>
      </c>
    </row>
    <row r="884">
      <c r="A884" t="str">
        <f>IFERROR(__xludf.DUMMYFUNCTION("""COMPUTED_VALUE"""),"Learning human intent")</f>
        <v>Learning human intent</v>
      </c>
      <c r="B884" t="str">
        <f>IFERROR(__xludf.DUMMYFUNCTION("""COMPUTED_VALUE"""),"")</f>
        <v/>
      </c>
      <c r="C884" s="3" t="str">
        <f>IFERROR(__xludf.DUMMYFUNCTION("""COMPUTED_VALUE"""),"Adapting Language Models for Zero-shot Learning by Meta-tuning on Dataset and Prompt Collections")</f>
        <v>Adapting Language Models for Zero-shot Learning by Meta-tuning on Dataset and Prompt Collections</v>
      </c>
      <c r="D884" t="str">
        <f>IFERROR(__xludf.DUMMYFUNCTION("""COMPUTED_VALUE"""),"Ruiqi Zhong, Kristy Lee, Zheng Zhang, Dan Klein")</f>
        <v>Ruiqi Zhong, Kristy Lee, Zheng Zhang, Dan Klein</v>
      </c>
      <c r="E884" t="str">
        <f>IFERROR(__xludf.DUMMYFUNCTION("""COMPUTED_VALUE"""),"arXiv")</f>
        <v>arXiv</v>
      </c>
      <c r="F884">
        <f>IFERROR(__xludf.DUMMYFUNCTION("""COMPUTED_VALUE"""),2021.0)</f>
        <v>2021</v>
      </c>
      <c r="H884" s="3" t="str">
        <f>IFERROR(__xludf.DUMMYFUNCTION("""COMPUTED_VALUE"""),"AN #165")</f>
        <v>AN #165</v>
      </c>
      <c r="I884" t="str">
        <f>IFERROR(__xludf.DUMMYFUNCTION("""COMPUTED_VALUE"""),"Rohin")</f>
        <v>Rohin</v>
      </c>
      <c r="J884" t="str">
        <f>IFERROR(__xludf.DUMMYFUNCTION("""COMPUTED_VALUE"""),"&lt;@Large language models@&gt;(@Language Models are Few-Shot Learners@) can be prompted to perform classification tasks. However, you may not want to simply phrase the prompt as a question like “Does the following tweet have positive or negative sentiment?” be"&amp;"cause in the training set such questions may have been followed by something other than an answer (for example, an elaboration of the question, or a denial that the question is important), and the model may end up choosing one of these alternatives as the"&amp;" most likely completion.
The natural solution is to collect a question-answering dataset and finetune on it. The core idea of this paper is that we can convert existing NLP classification datasets into a question-answering format, which we can then finet"&amp;"une on. For example, given a dataset for movie review classification (where the goal is to predict whether a review is positive or negative), we produce questions like “Is the review positive?” or “Does the user find this movie bad?” The entire classifica"&amp;"tion dataset can then be turned into question-answer pairs to train on.
The authors do this for several datasets, producing 441 question types in total. They then finetune the 0.77B parameter T5 model on a training set of questions and evaluate it on que"&amp;"stions that come from datasets not seen during training. Among other things, they find:
1. Their model does better than [UnifiedQA](https://arxiv.org/abs/2005.00700), which was also trained for question answering using a similar idea.
2. Pretraining is v"&amp;"ery important: performance crashes if you “finetune” on top of a randomly initialized model. This suggests that the model already “knows” the relevant information, and finetuning ensures that it uses this knowledge appropriately.
3. If you ensemble multip"&amp;"le questions that get at the same underlying classification task, you can do better than any of the questions individually.
4. It is possible to overfit: if you train too long, performance does decrease.")</f>
        <v>&lt;@Large language models@&gt;(@Language Models are Few-Shot Learners@) can be prompted to perform classification tasks. However, you may not want to simply phrase the prompt as a question like “Does the following tweet have positive or negative sentiment?” because in the training set such questions may have been followed by something other than an answer (for example, an elaboration of the question, or a denial that the question is important), and the model may end up choosing one of these alternatives as the most likely completion.
The natural solution is to collect a question-answering dataset and finetune on it. The core idea of this paper is that we can convert existing NLP classification datasets into a question-answering format, which we can then finetune on. For example, given a dataset for movie review classification (where the goal is to predict whether a review is positive or negative), we produce questions like “Is the review positive?” or “Does the user find this movie bad?” The entire classification dataset can then be turned into question-answer pairs to train on.
The authors do this for several datasets, producing 441 question types in total. They then finetune the 0.77B parameter T5 model on a training set of questions and evaluate it on questions that come from datasets not seen during training. Among other things, they find:
1. Their model does better than [UnifiedQA](https://arxiv.org/abs/2005.00700), which was also trained for question answering using a similar idea.
2. Pretraining is very important: performance crashes if you “finetune” on top of a randomly initialized model. This suggests that the model already “knows” the relevant information, and finetuning ensures that it uses this knowledge appropriately.
3. If you ensemble multiple questions that get at the same underlying classification task, you can do better than any of the questions individually.
4. It is possible to overfit: if you train too long, performance does decrease.</v>
      </c>
    </row>
    <row r="885">
      <c r="A885" t="str">
        <f>IFERROR(__xludf.DUMMYFUNCTION("""COMPUTED_VALUE"""),"Learning human intent")</f>
        <v>Learning human intent</v>
      </c>
      <c r="B885" t="str">
        <f>IFERROR(__xludf.DUMMYFUNCTION("""COMPUTED_VALUE"""),"")</f>
        <v/>
      </c>
      <c r="C885" s="3" t="str">
        <f>IFERROR(__xludf.DUMMYFUNCTION("""COMPUTED_VALUE"""),"Finetuned Language Models Are Zero-Shot Learners")</f>
        <v>Finetuned Language Models Are Zero-Shot Learners</v>
      </c>
      <c r="D885" t="str">
        <f>IFERROR(__xludf.DUMMYFUNCTION("""COMPUTED_VALUE"""),"Jason Wei*, Maarten Bosma*, Vincent Y. Zhao*, Kelvin Guu*, Adams Wei Yu, Brian Lester, Nan Du, Andrew M. Dai, Quoc V. Le")</f>
        <v>Jason Wei*, Maarten Bosma*, Vincent Y. Zhao*, Kelvin Guu*, Adams Wei Yu, Brian Lester, Nan Du, Andrew M. Dai, Quoc V. Le</v>
      </c>
      <c r="E885" t="str">
        <f>IFERROR(__xludf.DUMMYFUNCTION("""COMPUTED_VALUE"""),"arXiv")</f>
        <v>arXiv</v>
      </c>
      <c r="F885">
        <f>IFERROR(__xludf.DUMMYFUNCTION("""COMPUTED_VALUE"""),2021.0)</f>
        <v>2021</v>
      </c>
      <c r="H885" s="3" t="str">
        <f>IFERROR(__xludf.DUMMYFUNCTION("""COMPUTED_VALUE"""),"AN #165")</f>
        <v>AN #165</v>
      </c>
      <c r="I885" t="str">
        <f>IFERROR(__xludf.DUMMYFUNCTION("""COMPUTED_VALUE"""),"Rohin")</f>
        <v>Rohin</v>
      </c>
      <c r="J885" t="str">
        <f>IFERROR(__xludf.DUMMYFUNCTION("""COMPUTED_VALUE"""),"This paper applies the approach from the previous paper on a much larger 137B parameter model to produce a model that _follows instructions_ (rather than just _answering questions_). Since they are focused on instruction following, they don’t limit themse"&amp;"lves to classification tasks: they also want to have generative tasks, and so include e.g. summarization datasets. They also generate such tasks automatically by “inverting” the classification task: given the label y, the goal is to generate the input x. "&amp;"For example, for the movie review classification dataset, they might provide the instruction “Write a negative movie review”, and then provide one of the movie reviews classified as negative as an example of what the model should write in that situation.
"&amp;"
A natural approach to classification with a language model is to ask a question like “Is this movie review positive?” and then checking the probability assigned to “Yes” and “No” and returning whichever one was higher. The authors note that this can be v"&amp;"ulnerable to what we might call “probability splitting” (analogously to [vote splitting](https://en.wikipedia.org/wiki/Vote_splitting)). Even if the correct answer is “Yes”, the model might split probability across “Yes”, “Yup”, “Definitely”, “Absolutely”"&amp;", etc such that “No” ends up having higher probability than “Yes”. To solve this problem, in classification questions they add a postscript specifying what the options are. During finetuning, the model should quickly learn that the next word is always cho"&amp;"sen from one of these options, and so will stop assigning probability to other words, preventing probability splitting.
They find that the finetuned model does much better on held-out tasks than the original model (both evaluated zero-shot). The finetune"&amp;"d model also beats zero-shot GPT-3 on 19 of 25 tasks, and few-shot GPT-3 on 10 of 25 tasks. The finetuned model is always used zero-shot; unfortunately they don’t report results when using the finetuned model in a few-shot setting.
They also study the im"&amp;"pact of instruction tuning over various model sizes. At every model size, instruction tuning helps significantly on the tasks that were seen during finetuning, as you would expect. However, when considering tasks that were _not_ seen during finetuning, in"&amp;"struction tuning actually _hurts_ performance up to models with 8B parameters, and only helps for the 68B and 137B models (where it raises performance by about 15 percentage points on average across heldout tasks).")</f>
        <v>This paper applies the approach from the previous paper on a much larger 137B parameter model to produce a model that _follows instructions_ (rather than just _answering questions_). Since they are focused on instruction following, they don’t limit themselves to classification tasks: they also want to have generative tasks, and so include e.g. summarization datasets. They also generate such tasks automatically by “inverting” the classification task: given the label y, the goal is to generate the input x. For example, for the movie review classification dataset, they might provide the instruction “Write a negative movie review”, and then provide one of the movie reviews classified as negative as an example of what the model should write in that situation.
A natural approach to classification with a language model is to ask a question like “Is this movie review positive?” and then checking the probability assigned to “Yes” and “No” and returning whichever one was higher. The authors note that this can be vulnerable to what we might call “probability splitting” (analogously to [vote splitting](https://en.wikipedia.org/wiki/Vote_splitting)). Even if the correct answer is “Yes”, the model might split probability across “Yes”, “Yup”, “Definitely”, “Absolutely”, etc such that “No” ends up having higher probability than “Yes”. To solve this problem, in classification questions they add a postscript specifying what the options are. During finetuning, the model should quickly learn that the next word is always chosen from one of these options, and so will stop assigning probability to other words, preventing probability splitting.
They find that the finetuned model does much better on held-out tasks than the original model (both evaluated zero-shot). The finetuned model also beats zero-shot GPT-3 on 19 of 25 tasks, and few-shot GPT-3 on 10 of 25 tasks. The finetuned model is always used zero-shot; unfortunately they don’t report results when using the finetuned model in a few-shot setting.
They also study the impact of instruction tuning over various model sizes. At every model size, instruction tuning helps significantly on the tasks that were seen during finetuning, as you would expect. However, when considering tasks that were _not_ seen during finetuning, instruction tuning actually _hurts_ performance up to models with 8B parameters, and only helps for the 68B and 137B models (where it raises performance by about 15 percentage points on average across heldout tasks).</v>
      </c>
      <c r="K885" t="str">
        <f>IFERROR(__xludf.DUMMYFUNCTION("""COMPUTED_VALUE"""),"I’m particularly interested in cases where, after crossing a certain size or capability threshold, models become capable of transferring knowledge between domains, for example:
1. Intuitively, the goal of this paper is to get the model to follow the gene"&amp;"ral rule “understand the semantic content of the instruction and then follow it”. Models only become able to successfully generalize this rule from training tasks to heldout tasks somewhere in the 8B - 68B range.
2. In the previous paper, the 0.77B model "&amp;"was able to successfully generalize the rule “answer questions well” from training tasks to heldout tasks. Presumably some smaller model would not have been able to do this.
3. &lt;@Last week’s highlight@&gt;(@Program Synthesis with Large Language Models@) show"&amp;"ed that the 137B model was able to transfer knowledge from _code execution_ to _program synthesis_, while the 8B model was unable to do this.
Notably, the only major difference in these cases is the size of the model: the training method and dataset are "&amp;"the same. This seems like it is telling us something about how neural net generalization works and/or how it arises. I don’t have anything particularly interesting to say about it, but it seems like a phenomenon worth investigating in more detail.")</f>
        <v>I’m particularly interested in cases where, after crossing a certain size or capability threshold, models become capable of transferring knowledge between domains, for example:
1. Intuitively, the goal of this paper is to get the model to follow the general rule “understand the semantic content of the instruction and then follow it”. Models only become able to successfully generalize this rule from training tasks to heldout tasks somewhere in the 8B - 68B range.
2. In the previous paper, the 0.77B model was able to successfully generalize the rule “answer questions well” from training tasks to heldout tasks. Presumably some smaller model would not have been able to do this.
3. &lt;@Last week’s highlight@&gt;(@Program Synthesis with Large Language Models@) showed that the 137B model was able to transfer knowledge from _code execution_ to _program synthesis_, while the 8B model was unable to do this.
Notably, the only major difference in these cases is the size of the model: the training method and dataset are the same. This seems like it is telling us something about how neural net generalization works and/or how it arises. I don’t have anything particularly interesting to say about it, but it seems like a phenomenon worth investigating in more detail.</v>
      </c>
    </row>
    <row r="886">
      <c r="A886" t="str">
        <f>IFERROR(__xludf.DUMMYFUNCTION("""COMPUTED_VALUE"""),"Learning human intent")</f>
        <v>Learning human intent</v>
      </c>
      <c r="B886" t="str">
        <f>IFERROR(__xludf.DUMMYFUNCTION("""COMPUTED_VALUE"""),"")</f>
        <v/>
      </c>
      <c r="C886" s="3" t="str">
        <f>IFERROR(__xludf.DUMMYFUNCTION("""COMPUTED_VALUE"""),"What Matters in Learning from Offline Human Demonstrations for Robot Manipulation")</f>
        <v>What Matters in Learning from Offline Human Demonstrations for Robot Manipulation</v>
      </c>
      <c r="D886" t="str">
        <f>IFERROR(__xludf.DUMMYFUNCTION("""COMPUTED_VALUE"""),"Ajay Mandlekar, Danfei Xu, Josiah Wong, Soroush Nasiriany, Chen Wang, Rohun Kulkarni, Li Fei-Fei, Silvio Savarese, Yuke Zhu, Roberto Martín-Martín")</f>
        <v>Ajay Mandlekar, Danfei Xu, Josiah Wong, Soroush Nasiriany, Chen Wang, Rohun Kulkarni, Li Fei-Fei, Silvio Savarese, Yuke Zhu, Roberto Martín-Martín</v>
      </c>
      <c r="E886" t="str">
        <f>IFERROR(__xludf.DUMMYFUNCTION("""COMPUTED_VALUE"""),"arXiv")</f>
        <v>arXiv</v>
      </c>
      <c r="F886">
        <f>IFERROR(__xludf.DUMMYFUNCTION("""COMPUTED_VALUE"""),2021.0)</f>
        <v>2021</v>
      </c>
      <c r="H886" s="3" t="str">
        <f>IFERROR(__xludf.DUMMYFUNCTION("""COMPUTED_VALUE"""),"AN #161")</f>
        <v>AN #161</v>
      </c>
      <c r="I886" t="str">
        <f>IFERROR(__xludf.DUMMYFUNCTION("""COMPUTED_VALUE"""),"Rohin")</f>
        <v>Rohin</v>
      </c>
      <c r="J886" t="str">
        <f>IFERROR(__xludf.DUMMYFUNCTION("""COMPUTED_VALUE"""),"As you might expect from the title, this paper tests imitation learning and offline RL algorithms on a benchmark of robotic manipulation tasks in which the agent must learn to perform the task from human demonstrations. Most of the experiments were done i"&amp;"n simulation, but they did do a final training run on a real robot using hyperparameters chosen in simulation, to demonstrate that their preferred algorithms could work in such a setting as well. Some findings I found particularly interesting:
1. It is i"&amp;"mportant to have models with memory: behavioral cloning (BC) does significantly better on human demonstrations when it is training an RNN model (which has memory), especially on longer-horizon tasks. This is presumably because the humans providing the dem"&amp;"onstrations chose actions based not only on the current state but also what had happened in the past, i.e. they were non-Markovian. To test this hypothesis, we could look at machine-generated demonstrations, where you get demonstrations from an expert age"&amp;"nt trained using RL, which I _think_ are guaranteed to be Markovian by construction. Unfortunately, we can only get reasonable RL experts on the shorter-horizon tasks where the effect is less pronounced; in these cases BC-RNN still outperforms BC without "&amp;"the RNN, weakly suggesting that it isn’t just about Markovian vs. non-Markovian data.
2. Offline RL algorithms work quite well on the machine-generated data, but don’t work very well on human demonstrations. It isn’t particularly clear why this is the ca"&amp;"se.
3. In addition, offline RL struggles when used on datasets where the demonstrations are of mixed quality; in comparison BC-RNN does quite well.
4. Policy selection is a challenging problem: in these settings, the training objective (e.g. predict the"&amp;" expert actions) is usually not the thing you actually care about (e.g. did you successfully pick up the cup). Ideally, you would evaluate many model checkpoints throughout the training process on the metric you actually care about and then choose the one"&amp;" that performs best. If you instead select the model checkpoint that achieved the lowest validation loss, performance on the correct metric can decrease by 50-100%; if you always use the last checkpoint (i.e. at the end of training), performance can decre"&amp;"ase by 10-30%. This demonstrates that it is important to choose the right model during training – but there’s no clear way to do this, as often the evaluation of a policy is non-trivial.
5. The observation space (e.g. pixel observations vs. observations "&amp;"of joint angles and forces) and hyperparameters (e.g. learning rate) both matter quite a lot. For example, adding information about end effectors can drop performance by 49-88% (presumably due to overfitting).
6. For complex tasks, more data provides sig"&amp;"nificant improvements.")</f>
        <v>As you might expect from the title, this paper tests imitation learning and offline RL algorithms on a benchmark of robotic manipulation tasks in which the agent must learn to perform the task from human demonstrations. Most of the experiments were done in simulation, but they did do a final training run on a real robot using hyperparameters chosen in simulation, to demonstrate that their preferred algorithms could work in such a setting as well. Some findings I found particularly interesting:
1. It is important to have models with memory: behavioral cloning (BC) does significantly better on human demonstrations when it is training an RNN model (which has memory), especially on longer-horizon tasks. This is presumably because the humans providing the demonstrations chose actions based not only on the current state but also what had happened in the past, i.e. they were non-Markovian. To test this hypothesis, we could look at machine-generated demonstrations, where you get demonstrations from an expert agent trained using RL, which I _think_ are guaranteed to be Markovian by construction. Unfortunately, we can only get reasonable RL experts on the shorter-horizon tasks where the effect is less pronounced; in these cases BC-RNN still outperforms BC without the RNN, weakly suggesting that it isn’t just about Markovian vs. non-Markovian data.
2. Offline RL algorithms work quite well on the machine-generated data, but don’t work very well on human demonstrations. It isn’t particularly clear why this is the case.
3. In addition, offline RL struggles when used on datasets where the demonstrations are of mixed quality; in comparison BC-RNN does quite well.
4. Policy selection is a challenging problem: in these settings, the training objective (e.g. predict the expert actions) is usually not the thing you actually care about (e.g. did you successfully pick up the cup). Ideally, you would evaluate many model checkpoints throughout the training process on the metric you actually care about and then choose the one that performs best. If you instead select the model checkpoint that achieved the lowest validation loss, performance on the correct metric can decrease by 50-100%; if you always use the last checkpoint (i.e. at the end of training), performance can decrease by 10-30%. This demonstrates that it is important to choose the right model during training – but there’s no clear way to do this, as often the evaluation of a policy is non-trivial.
5. The observation space (e.g. pixel observations vs. observations of joint angles and forces) and hyperparameters (e.g. learning rate) both matter quite a lot. For example, adding information about end effectors can drop performance by 49-88% (presumably due to overfitting).
6. For complex tasks, more data provides significant improvements.</v>
      </c>
      <c r="K886" t="str">
        <f>IFERROR(__xludf.DUMMYFUNCTION("""COMPUTED_VALUE"""),"I like these sorts of empirical benchmark papers; it feels so much easier to learn what works from such papers (relative to reading the papers in which the algorithms were introduced). This paper in particular was also especially clear and easy to read; m"&amp;"y summary of the results is in large part just a restatement of Section 5 of the paper.")</f>
        <v>I like these sorts of empirical benchmark papers; it feels so much easier to learn what works from such papers (relative to reading the papers in which the algorithms were introduced). This paper in particular was also especially clear and easy to read; my summary of the results is in large part just a restatement of Section 5 of the paper.</v>
      </c>
    </row>
    <row r="887">
      <c r="A887" t="str">
        <f>IFERROR(__xludf.DUMMYFUNCTION("""COMPUTED_VALUE"""),"Learning human intent")</f>
        <v>Learning human intent</v>
      </c>
      <c r="B887" t="str">
        <f>IFERROR(__xludf.DUMMYFUNCTION("""COMPUTED_VALUE"""),"")</f>
        <v/>
      </c>
      <c r="C887" s="3" t="str">
        <f>IFERROR(__xludf.DUMMYFUNCTION("""COMPUTED_VALUE"""),"What Matters for Adversarial Imitation Learning?")</f>
        <v>What Matters for Adversarial Imitation Learning?</v>
      </c>
      <c r="D887" t="str">
        <f>IFERROR(__xludf.DUMMYFUNCTION("""COMPUTED_VALUE"""),"Manu Orsini*, Anton Raichuk*, Léonard Hussenot*, Damien Vincent, Robert Dadashi, Sertan Girgin, Matthieu Geist, Olivier Bachem, Olivier Pietquin, Marcin Andrychowicz")</f>
        <v>Manu Orsini*, Anton Raichuk*, Léonard Hussenot*, Damien Vincent, Robert Dadashi, Sertan Girgin, Matthieu Geist, Olivier Bachem, Olivier Pietquin, Marcin Andrychowicz</v>
      </c>
      <c r="E887" t="str">
        <f>IFERROR(__xludf.DUMMYFUNCTION("""COMPUTED_VALUE"""),"arXiv")</f>
        <v>arXiv</v>
      </c>
      <c r="F887">
        <f>IFERROR(__xludf.DUMMYFUNCTION("""COMPUTED_VALUE"""),2021.0)</f>
        <v>2021</v>
      </c>
      <c r="H887" s="3" t="str">
        <f>IFERROR(__xludf.DUMMYFUNCTION("""COMPUTED_VALUE"""),"AN #155")</f>
        <v>AN #155</v>
      </c>
      <c r="I887" t="str">
        <f>IFERROR(__xludf.DUMMYFUNCTION("""COMPUTED_VALUE"""),"Rohin")</f>
        <v>Rohin</v>
      </c>
      <c r="J887" t="str">
        <f>IFERROR(__xludf.DUMMYFUNCTION("""COMPUTED_VALUE"""),"This paper takes adversarial imitation learning algorithms (think &lt;@GAIL@&gt;(@Generative Adversarial Imitation Learning@) and &lt;@AIRL@&gt;(@Learning Robust Rewards with Adversarial Inverse Reinforcement Learning@)) and tests the effect of various hyperparameter"&amp;"s, including the loss function, the discriminator regularization scheme, the discriminator learning rate, etc. They first run a large, shallow hyperparameter sweep to identify reasonable ranges of values for the various hyperparameters, and then run a lar"&amp;"ger hyperparameter sweep within these ranges to get a lot of data that they can then analyze. All the experiments are done on two continuous control benchmarks: the MuJoCo environments in OpenAI Gym and manipulation environments from Adroit.
Obviously th"&amp;"ey have a lot of findings, and if you spend time working with adversarial imitation learning algorithms, I’d recommend reading through the full paper, but the ones they highlight are:
1. Even though some papers have proposed regularization techniques that"&amp;" are specific to imitation learning, standard supervised learning techniques like dropout work just as well.
2. There are significant differences in the results when using synthetic demonstrations vs. human demonstrations. (A synthetic demonstration is on"&amp;"e provided by an RL agent trained on the true reward.) For example, the optimal choice of loss function is different for synthetic demos vs. human demos. Qualitatively, human demonstrations are not Markovian and are often multimodal (especially when the h"&amp;"uman waits and thinks for some time: in this case one mode is “noop” and the other mode is the desired action).")</f>
        <v>This paper takes adversarial imitation learning algorithms (think &lt;@GAIL@&gt;(@Generative Adversarial Imitation Learning@) and &lt;@AIRL@&gt;(@Learning Robust Rewards with Adversarial Inverse Reinforcement Learning@)) and tests the effect of various hyperparameters, including the loss function, the discriminator regularization scheme, the discriminator learning rate, etc. They first run a large, shallow hyperparameter sweep to identify reasonable ranges of values for the various hyperparameters, and then run a larger hyperparameter sweep within these ranges to get a lot of data that they can then analyze. All the experiments are done on two continuous control benchmarks: the MuJoCo environments in OpenAI Gym and manipulation environments from Adroit.
Obviously they have a lot of findings, and if you spend time working with adversarial imitation learning algorithms, I’d recommend reading through the full paper, but the ones they highlight are:
1. Even though some papers have proposed regularization techniques that are specific to imitation learning, standard supervised learning techniques like dropout work just as well.
2. There are significant differences in the results when using synthetic demonstrations vs. human demonstrations. (A synthetic demonstration is one provided by an RL agent trained on the true reward.) For example, the optimal choice of loss function is different for synthetic demos vs. human demos. Qualitatively, human demonstrations are not Markovian and are often multimodal (especially when the human waits and thinks for some time: in this case one mode is “noop” and the other mode is the desired action).</v>
      </c>
      <c r="K887" t="str">
        <f>IFERROR(__xludf.DUMMYFUNCTION("""COMPUTED_VALUE"""),"I really like this sort of empirical analysis: it seems incredibly useful for understanding what does and doesn’t work.
Note that I haven’t looked deeply into their results and analysis, and am instead reporting what they said on faith. (With most papers"&amp;" I at least look through the experiments to see if the graphs tell a different story or if there were some unusual choices not mentioned in the introduction, but that was a bit of a daunting task for this paper, given how many experiments and graphs it ha"&amp;"d.)")</f>
        <v>I really like this sort of empirical analysis: it seems incredibly useful for understanding what does and doesn’t work.
Note that I haven’t looked deeply into their results and analysis, and am instead reporting what they said on faith. (With most papers I at least look through the experiments to see if the graphs tell a different story or if there were some unusual choices not mentioned in the introduction, but that was a bit of a daunting task for this paper, given how many experiments and graphs it had.)</v>
      </c>
    </row>
    <row r="888">
      <c r="A888" t="str">
        <f>IFERROR(__xludf.DUMMYFUNCTION("""COMPUTED_VALUE"""),"Learning human intent")</f>
        <v>Learning human intent</v>
      </c>
      <c r="B888" t="str">
        <f>IFERROR(__xludf.DUMMYFUNCTION("""COMPUTED_VALUE"""),"")</f>
        <v/>
      </c>
      <c r="C888" s="3" t="str">
        <f>IFERROR(__xludf.DUMMYFUNCTION("""COMPUTED_VALUE"""),"Prompting: Better Ways of Using Language Models for NLP Tasks")</f>
        <v>Prompting: Better Ways of Using Language Models for NLP Tasks</v>
      </c>
      <c r="D888" t="str">
        <f>IFERROR(__xludf.DUMMYFUNCTION("""COMPUTED_VALUE"""),"Tianyu Gao")</f>
        <v>Tianyu Gao</v>
      </c>
      <c r="E888" t="str">
        <f>IFERROR(__xludf.DUMMYFUNCTION("""COMPUTED_VALUE"""),"The Gradient")</f>
        <v>The Gradient</v>
      </c>
      <c r="F888">
        <f>IFERROR(__xludf.DUMMYFUNCTION("""COMPUTED_VALUE"""),2021.0)</f>
        <v>2021</v>
      </c>
      <c r="H888" s="3" t="str">
        <f>IFERROR(__xludf.DUMMYFUNCTION("""COMPUTED_VALUE"""),"AN #155")</f>
        <v>AN #155</v>
      </c>
      <c r="I888" t="str">
        <f>IFERROR(__xludf.DUMMYFUNCTION("""COMPUTED_VALUE"""),"Rohin")</f>
        <v>Rohin</v>
      </c>
      <c r="J888" t="str">
        <f>IFERROR(__xludf.DUMMYFUNCTION("""COMPUTED_VALUE"""),"Since the publication of &lt;@GPT-3@&gt;(@Language Models are Few-Shot Learners@), many papers have been written about how to select the best prompt for large language models to have them solve particular tasks of interest. This post gives an overview of this l"&amp;"iterature. The papers can be roughly divided into two approaches: first, we have discrete prompts, where you search for a sequence of words that forms an effective prompt; these are “discrete” since words are discrete. Second, we have soft prompts, where "&amp;"you search within the space of embeddings of words for an embedding that forms an effective prompt; since embeddings are vectors of real numbers they are continuous (or “soft”) and can be optimized through gradient descent (unlike discrete prompts).")</f>
        <v>Since the publication of &lt;@GPT-3@&gt;(@Language Models are Few-Shot Learners@), many papers have been written about how to select the best prompt for large language models to have them solve particular tasks of interest. This post gives an overview of this literature. The papers can be roughly divided into two approaches: first, we have discrete prompts, where you search for a sequence of words that forms an effective prompt; these are “discrete” since words are discrete. Second, we have soft prompts, where you search within the space of embeddings of words for an embedding that forms an effective prompt; since embeddings are vectors of real numbers they are continuous (or “soft”) and can be optimized through gradient descent (unlike discrete prompts).</v>
      </c>
    </row>
    <row r="889">
      <c r="A889" t="str">
        <f>IFERROR(__xludf.DUMMYFUNCTION("""COMPUTED_VALUE"""),"Learning human intent")</f>
        <v>Learning human intent</v>
      </c>
      <c r="B889" t="str">
        <f>IFERROR(__xludf.DUMMYFUNCTION("""COMPUTED_VALUE"""),"")</f>
        <v/>
      </c>
      <c r="C889" s="3" t="str">
        <f>IFERROR(__xludf.DUMMYFUNCTION("""COMPUTED_VALUE"""),"AXRP Episode 8 - Assistance Games")</f>
        <v>AXRP Episode 8 - Assistance Games</v>
      </c>
      <c r="D889" t="str">
        <f>IFERROR(__xludf.DUMMYFUNCTION("""COMPUTED_VALUE"""),"Daniel Filan and Dylan Hadfield-Menell")</f>
        <v>Daniel Filan and Dylan Hadfield-Menell</v>
      </c>
      <c r="E889" t="str">
        <f>IFERROR(__xludf.DUMMYFUNCTION("""COMPUTED_VALUE"""),"AXRP Podcast")</f>
        <v>AXRP Podcast</v>
      </c>
      <c r="F889">
        <f>IFERROR(__xludf.DUMMYFUNCTION("""COMPUTED_VALUE"""),2021.0)</f>
        <v>2021</v>
      </c>
      <c r="H889" s="3" t="str">
        <f>IFERROR(__xludf.DUMMYFUNCTION("""COMPUTED_VALUE"""),"AN #154")</f>
        <v>AN #154</v>
      </c>
      <c r="I889" t="str">
        <f>IFERROR(__xludf.DUMMYFUNCTION("""COMPUTED_VALUE"""),"Rohin")</f>
        <v>Rohin</v>
      </c>
      <c r="J889" t="str">
        <f>IFERROR(__xludf.DUMMYFUNCTION("""COMPUTED_VALUE"""),"As with most other podcasts, I will primarily link you to my past summaries of the papers discussed in the episode. In this case they were all discussed in the special issue [AN #69](https://mailchi.mp/59ddebcb3b9a/an-69-stuart-russells-new-book-on-why-we"&amp;"-need-to-replace-the-standard-model-of-ai) on Human Compatible and the various papers relevant to it. Some points that I haven’t previously summarized:
1. The interviewee thinks of assistance games as an _analytical tool_ that allows us to study the proc"&amp;"ess by which humans convey normative information (such as goals) to an AI system. Normally, the math we write down takes the objective as given, whereas an assistance game uses math that assumes there is a human with a communication channel to the AI syst"&amp;"em. We can thus talk mathematically about how the human communicates with the AI system.
2. This then allows us to talk about issues that might arise. For example, &lt;@assistive bandits@&gt;(@The Assistive Multi-Armed Bandit@) considers the fact that humans m"&amp;"ight be learning over time (rather than starting out as optimal).
3. By using assistance games, we build the expectation that our AI systems will have ongoing oversight and adaptation directly into the math, which seems significantly better than doing th"&amp;"is on an ad hoc basis (as is currently the case). This should help both near-term and long-term systems.
4. One core question is how we can specify a communication mechanism that is robust to misspecification. We can operationalize this as: if your AI sy"&amp;"stem is missing some relevant features about the world, how bad could outcomes be? For example, it seems like demonstrating what you want (i.e. imitation learning) is more robust than directly saying what the goal is.
5. One piece of advice for deep lear"&amp;"ning practitioners is to think about where the normative information for your AI system is coming from, and whether it is sufficient to convey what you want. For example, large language models have trillions of parameters, but only hundreds of decisions i"&amp;"nform the choice of what data to train them on -- is that enough? The language we train on has lots of normative content -- does that compensate?
6. Dylan says: “if you’re interested in doing this type of work and you thought this conversation was fun an"&amp;"d you’d like to have more conversations like it with me, I’ll invite you to [apply to MIT’s EECS PhD program](https://gradapply.mit.edu/eecs/apply/login/?next=/eecs/) next year and mention me in your application.”")</f>
        <v>As with most other podcasts, I will primarily link you to my past summaries of the papers discussed in the episode. In this case they were all discussed in the special issue [AN #69](https://mailchi.mp/59ddebcb3b9a/an-69-stuart-russells-new-book-on-why-we-need-to-replace-the-standard-model-of-ai) on Human Compatible and the various papers relevant to it. Some points that I haven’t previously summarized:
1. The interviewee thinks of assistance games as an _analytical tool_ that allows us to study the process by which humans convey normative information (such as goals) to an AI system. Normally, the math we write down takes the objective as given, whereas an assistance game uses math that assumes there is a human with a communication channel to the AI system. We can thus talk mathematically about how the human communicates with the AI system.
2. This then allows us to talk about issues that might arise. For example, &lt;@assistive bandits@&gt;(@The Assistive Multi-Armed Bandit@) considers the fact that humans might be learning over time (rather than starting out as optimal).
3. By using assistance games, we build the expectation that our AI systems will have ongoing oversight and adaptation directly into the math, which seems significantly better than doing this on an ad hoc basis (as is currently the case). This should help both near-term and long-term systems.
4. One core question is how we can specify a communication mechanism that is robust to misspecification. We can operationalize this as: if your AI system is missing some relevant features about the world, how bad could outcomes be? For example, it seems like demonstrating what you want (i.e. imitation learning) is more robust than directly saying what the goal is.
5. One piece of advice for deep learning practitioners is to think about where the normative information for your AI system is coming from, and whether it is sufficient to convey what you want. For example, large language models have trillions of parameters, but only hundreds of decisions inform the choice of what data to train them on -- is that enough? The language we train on has lots of normative content -- does that compensate?
6. Dylan says: “if you’re interested in doing this type of work and you thought this conversation was fun and you’d like to have more conversations like it with me, I’ll invite you to [apply to MIT’s EECS PhD program](https://gradapply.mit.edu/eecs/apply/login/?next=/eecs/) next year and mention me in your application.”</v>
      </c>
      <c r="K889" t="str">
        <f>IFERROR(__xludf.DUMMYFUNCTION("""COMPUTED_VALUE"""),"I’m a big fan of thinking about how normative information is transferred from us to our agents -- I frequently ask myself questions like “how does the agent get the information to know X”, where X is something normative like “wireheading is bad”.
In the "&amp;"case of large neural nets, I generally like assistance games as an analysis tool for thinking about how such AI systems should behave at deployment time, for the reasons outlined in the podcast. It’s less clear what the framework has to say about what sho"&amp;"uld be done about training time, when we don’t expect to have a human in the loop (or we expect that to be a relative minority of our training data).
To be clear, this should be taken as an endorsement of thinking about assistance games: my point is just"&amp;" that (according to me) it is best to think of them in relation to deployment, not training. A framework doesn’t have to apply to everything in order to be well worth thinking about.")</f>
        <v>I’m a big fan of thinking about how normative information is transferred from us to our agents -- I frequently ask myself questions like “how does the agent get the information to know X”, where X is something normative like “wireheading is bad”.
In the case of large neural nets, I generally like assistance games as an analysis tool for thinking about how such AI systems should behave at deployment time, for the reasons outlined in the podcast. It’s less clear what the framework has to say about what should be done about training time, when we don’t expect to have a human in the loop (or we expect that to be a relative minority of our training data).
To be clear, this should be taken as an endorsement of thinking about assistance games: my point is just that (according to me) it is best to think of them in relation to deployment, not training. A framework doesn’t have to apply to everything in order to be well worth thinking about.</v>
      </c>
    </row>
    <row r="890">
      <c r="A890" t="str">
        <f>IFERROR(__xludf.DUMMYFUNCTION("""COMPUTED_VALUE"""),"Learning human intent")</f>
        <v>Learning human intent</v>
      </c>
      <c r="B890" t="str">
        <f>IFERROR(__xludf.DUMMYFUNCTION("""COMPUTED_VALUE"""),"")</f>
        <v/>
      </c>
      <c r="C890" s="3" t="str">
        <f>IFERROR(__xludf.DUMMYFUNCTION("""COMPUTED_VALUE"""),"Transfer Reinforcement Learning across Homotopy Classes")</f>
        <v>Transfer Reinforcement Learning across Homotopy Classes</v>
      </c>
      <c r="D890" t="str">
        <f>IFERROR(__xludf.DUMMYFUNCTION("""COMPUTED_VALUE"""),"Zhangjie Cao*, Minae Kwon*, Dorsa Sadigh")</f>
        <v>Zhangjie Cao*, Minae Kwon*, Dorsa Sadigh</v>
      </c>
      <c r="E890" t="str">
        <f>IFERROR(__xludf.DUMMYFUNCTION("""COMPUTED_VALUE"""),"IEEE Robotics and Automation Letters 2021")</f>
        <v>IEEE Robotics and Automation Letters 2021</v>
      </c>
      <c r="F890">
        <f>IFERROR(__xludf.DUMMYFUNCTION("""COMPUTED_VALUE"""),2021.0)</f>
        <v>2021</v>
      </c>
      <c r="H890" s="3" t="str">
        <f>IFERROR(__xludf.DUMMYFUNCTION("""COMPUTED_VALUE"""),"AN #149")</f>
        <v>AN #149</v>
      </c>
      <c r="I890" t="str">
        <f>IFERROR(__xludf.DUMMYFUNCTION("""COMPUTED_VALUE"""),"Rohin")</f>
        <v>Rohin</v>
      </c>
      <c r="J890" t="str">
        <f>IFERROR(__xludf.DUMMYFUNCTION("""COMPUTED_VALUE"""),"Suppose a robot walks past a person and it chooses to pass them on the right side. Imagine that we want to make the robot instead pass on the left side, and our tool for doing this was to keep nudging the robot's trajectory until it did what we wanted. In"&amp;" this case, we're screwed: there is no way to ``nudge'' the trajectory from passing on the right to passing on the left without going through a trajectory that crashes straight into the person.
The core claim of this paper is that the same sort of situat"&amp;"ion applies to finetuning for RL agents. Suppose we train an agent for one task where there is lots of data, and then we want to finetune it to another task. Let's assume that the new task is in a different _homotopy class_ than the original task, which r"&amp;"oughly means that you can't nudge the trajectory from the old task to the new task without going through a very low reward trajectory (in our example, crashing into the person). However, finetuning uses gradient descent, which nudges model parameters; and"&amp;" intuitively, a nudge to model parameters would likely correspond to a nudge to the trajectory as well. Since the new task is in a different homotopy class, this means that gradient descent would have to go through a region in which the trajectory gets ve"&amp;"ry low reward. This is not the sort of thing gradient descent is likely to do, and so we should expect finetuning to fail in this case.
The authors recommend that in such cases, we first train in a simulated version of the task in which the large negativ"&amp;"e reward is removed, allowing the finetuning to ``cross the gap''. Once this has been done, we can then reintroduce the large negative reward through a curriculum -- either by gradually increasing the magnitude of the negative reward, or by gradually incr"&amp;"easing the number of states that have large negative reward. They run several robotics experiments demonstrating that this approach leads to significantly faster finetuning than other methods.")</f>
        <v>Suppose a robot walks past a person and it chooses to pass them on the right side. Imagine that we want to make the robot instead pass on the left side, and our tool for doing this was to keep nudging the robot's trajectory until it did what we wanted. In this case, we're screwed: there is no way to ``nudge'' the trajectory from passing on the right to passing on the left without going through a trajectory that crashes straight into the person.
The core claim of this paper is that the same sort of situation applies to finetuning for RL agents. Suppose we train an agent for one task where there is lots of data, and then we want to finetune it to another task. Let's assume that the new task is in a different _homotopy class_ than the original task, which roughly means that you can't nudge the trajectory from the old task to the new task without going through a very low reward trajectory (in our example, crashing into the person). However, finetuning uses gradient descent, which nudges model parameters; and intuitively, a nudge to model parameters would likely correspond to a nudge to the trajectory as well. Since the new task is in a different homotopy class, this means that gradient descent would have to go through a region in which the trajectory gets very low reward. This is not the sort of thing gradient descent is likely to do, and so we should expect finetuning to fail in this case.
The authors recommend that in such cases, we first train in a simulated version of the task in which the large negative reward is removed, allowing the finetuning to ``cross the gap''. Once this has been done, we can then reintroduce the large negative reward through a curriculum -- either by gradually increasing the magnitude of the negative reward, or by gradually increasing the number of states that have large negative reward. They run several robotics experiments demonstrating that this approach leads to significantly faster finetuning than other methods.</v>
      </c>
      <c r="K890" t="str">
        <f>IFERROR(__xludf.DUMMYFUNCTION("""COMPUTED_VALUE"""),"This seems like an interesting point to be thinking about. The part I'm most interested in is whether it is true that small changes in the neural net parameters must lead to small changes in the resulting trajectory. It seems plausible to me that this is "&amp;"true for small neural nets but ends up becoming less true as neural nets become larger and data becomes more diverse. In our running example, if the neural net was implementing some decision process that considered both left and right as options, and then"&amp;" ""chose'' to go right, then it seems plausible that a small change to the weights could cause it to choose to go left instead, allowing gradient descent to switch across trajectory homotopy classes with a small nudge to model parameters.")</f>
        <v>This seems like an interesting point to be thinking about. The part I'm most interested in is whether it is true that small changes in the neural net parameters must lead to small changes in the resulting trajectory. It seems plausible to me that this is true for small neural nets but ends up becoming less true as neural nets become larger and data becomes more diverse. In our running example, if the neural net was implementing some decision process that considered both left and right as options, and then "chose'' to go right, then it seems plausible that a small change to the weights could cause it to choose to go left instead, allowing gradient descent to switch across trajectory homotopy classes with a small nudge to model parameters.</v>
      </c>
    </row>
    <row r="891">
      <c r="A891" t="str">
        <f>IFERROR(__xludf.DUMMYFUNCTION("""COMPUTED_VALUE"""),"Learning human intent")</f>
        <v>Learning human intent</v>
      </c>
      <c r="B891" t="str">
        <f>IFERROR(__xludf.DUMMYFUNCTION("""COMPUTED_VALUE"""),"")</f>
        <v/>
      </c>
      <c r="C891" s="3" t="str">
        <f>IFERROR(__xludf.DUMMYFUNCTION("""COMPUTED_VALUE"""),"TuringAdvice: A Generative and Dynamic Evaluation of Language Use")</f>
        <v>TuringAdvice: A Generative and Dynamic Evaluation of Language Use</v>
      </c>
      <c r="D891" t="str">
        <f>IFERROR(__xludf.DUMMYFUNCTION("""COMPUTED_VALUE"""),"Rowan Zellers, Ari Holtzman, Elizabeth Clark, Lianhui Qin, Ali Farhadi, Yejin Choi")</f>
        <v>Rowan Zellers, Ari Holtzman, Elizabeth Clark, Lianhui Qin, Ali Farhadi, Yejin Choi</v>
      </c>
      <c r="E891" t="str">
        <f>IFERROR(__xludf.DUMMYFUNCTION("""COMPUTED_VALUE"""),"arXiv")</f>
        <v>arXiv</v>
      </c>
      <c r="F891">
        <f>IFERROR(__xludf.DUMMYFUNCTION("""COMPUTED_VALUE"""),2021.0)</f>
        <v>2021</v>
      </c>
      <c r="H891" s="3" t="str">
        <f>IFERROR(__xludf.DUMMYFUNCTION("""COMPUTED_VALUE"""),"AN #147")</f>
        <v>AN #147</v>
      </c>
      <c r="I891" t="str">
        <f>IFERROR(__xludf.DUMMYFUNCTION("""COMPUTED_VALUE"""),"Rohin")</f>
        <v>Rohin</v>
      </c>
      <c r="J891" t="str">
        <f>IFERROR(__xludf.DUMMYFUNCTION("""COMPUTED_VALUE"""),"There are two main ways in which current NLP models are evaluated: quality of generations (how sensible the generated language looks), and correctness (given some crisp question or task, does the model output the right answer). However, we often care abou"&amp;"t using models for tasks in which there is no literally correct answer. This paper introduces an evaluation method for this setting: TuringAdvice. Models are presented with a situation in which a human is asking for advice, and the model must provide a he"&amp;"lpful response. To score models, the resulting responses are compared against good human responses. The model’s response is successful if its advice is at least as helpful to the advice-seeker as human-written advice.
The authors collect a dataset of sit"&amp;"uations from Reddit, and for the human-written advice they take the most upvoted top-level comment on the post. A finetuned T5 model achieves a score of 14%, while prompted GPT-3 achieves a score of 4%. In contrast, taking the _secondmost_ upvoted top-lev"&amp;"el comment would give a score of 41%, and a model that gave advice about as good as the typical best advice from a human would get 50%. The paper also presents several qualitative failures in which the models seem to have significant misunderstandings of "&amp;"the situation (though I can’t tell how cherrypicked these are).")</f>
        <v>There are two main ways in which current NLP models are evaluated: quality of generations (how sensible the generated language looks), and correctness (given some crisp question or task, does the model output the right answer). However, we often care about using models for tasks in which there is no literally correct answer. This paper introduces an evaluation method for this setting: TuringAdvice. Models are presented with a situation in which a human is asking for advice, and the model must provide a helpful response. To score models, the resulting responses are compared against good human responses. The model’s response is successful if its advice is at least as helpful to the advice-seeker as human-written advice.
The authors collect a dataset of situations from Reddit, and for the human-written advice they take the most upvoted top-level comment on the post. A finetuned T5 model achieves a score of 14%, while prompted GPT-3 achieves a score of 4%. In contrast, taking the _secondmost_ upvoted top-level comment would give a score of 41%, and a model that gave advice about as good as the typical best advice from a human would get 50%. The paper also presents several qualitative failures in which the models seem to have significant misunderstandings of the situation (though I can’t tell how cherrypicked these are).</v>
      </c>
      <c r="K891" t="str">
        <f>IFERROR(__xludf.DUMMYFUNCTION("""COMPUTED_VALUE"""),"I really like the fact that we’re studying a fuzzy task directly, and using human evaluation to determine how well the model performs. (Though note that this is not the first benchmark to do so.)")</f>
        <v>I really like the fact that we’re studying a fuzzy task directly, and using human evaluation to determine how well the model performs. (Though note that this is not the first benchmark to do so.)</v>
      </c>
    </row>
    <row r="892">
      <c r="A892" t="str">
        <f>IFERROR(__xludf.DUMMYFUNCTION("""COMPUTED_VALUE"""),"Learning human intent")</f>
        <v>Learning human intent</v>
      </c>
      <c r="B892" t="str">
        <f>IFERROR(__xludf.DUMMYFUNCTION("""COMPUTED_VALUE"""),"")</f>
        <v/>
      </c>
      <c r="C892" s="3" t="str">
        <f>IFERROR(__xludf.DUMMYFUNCTION("""COMPUTED_VALUE"""),"Imitative Generalisation (AKA 'Learning the Prior')")</f>
        <v>Imitative Generalisation (AKA 'Learning the Prior')</v>
      </c>
      <c r="D892" t="str">
        <f>IFERROR(__xludf.DUMMYFUNCTION("""COMPUTED_VALUE"""),"Beth Barnes")</f>
        <v>Beth Barnes</v>
      </c>
      <c r="E892" t="str">
        <f>IFERROR(__xludf.DUMMYFUNCTION("""COMPUTED_VALUE"""),"Alignment Forum")</f>
        <v>Alignment Forum</v>
      </c>
      <c r="F892">
        <f>IFERROR(__xludf.DUMMYFUNCTION("""COMPUTED_VALUE"""),2021.0)</f>
        <v>2021</v>
      </c>
      <c r="H892" s="3" t="str">
        <f>IFERROR(__xludf.DUMMYFUNCTION("""COMPUTED_VALUE"""),"AN #133")</f>
        <v>AN #133</v>
      </c>
      <c r="I892" t="str">
        <f>IFERROR(__xludf.DUMMYFUNCTION("""COMPUTED_VALUE"""),"Rohin")</f>
        <v>Rohin</v>
      </c>
      <c r="J892" t="str">
        <f>IFERROR(__xludf.DUMMYFUNCTION("""COMPUTED_VALUE"""),"This post explains a simplified version of the scheme in [Learning the prior](https://www.alignmentforum.org/posts/SL9mKhgdmDKXmxwE4/learning-the-prior) ([AN #109](https://mailchi.mp/ee62c1c9e331/an-109teaching-neural-nets-to-generalize-the-way-humans-wou"&amp;"ld)) with an image classification example.
A key issue for distributional shift is that neural nets assign significant “probability” to “crazy” hypotheses. Imagine that we want to train a neural net to classify dog breeds, and in our training dataset D a"&amp;"ll huskies are on snow, but on the test dataset D’ they may also be on grass. Then a neural net is perfectly happy with the hypothesis “if most of the bottom half of the image is white, then it is a husky”, whereas humans would see that as crazy and would"&amp;" much prefer the hypothesis “a husky is a large, fluffy, wolf-like dog”, _even if they don’t know what a husky looks like_.
Thus, we might say that the human “prior” over hypotheses is much better than the corresponding neural net “prior”. So, let’s opti"&amp;"mize our model using the human prior instead. In particular, we search for a hypothesis such that 1) humans think the hypothesis is likely (high human prior), and 2) the hypothesis leads humans to make good predictions on the training dataset D. Once we h"&amp;"ave this hypothesis, we have humans make predictions using that hypothesis on the test distribution D’, and train a model to imitate these predictions. We can then use this model to predict for the rest of D’. Notably, this model is now being used in an i"&amp;"id way (i.e. no distribution shift).
A key challenge here is how to represent the hypotheses that we’re optimizing over -- they need to be amenable to ML-based optimization, but they also need to be interpretable to humans. A text-based hypothesis would "&amp;"likely be too cumbersome; it is possible that neural-net-based hypotheses could work if augmented by interpretability tools that let the humans understand the “knowledge” in the neural net (this is similar in spirit to &lt;@Microscope AI@&gt;(@Chris Olah’s view"&amp;"s on AGI safety@)).
For more details on the setup, see the full post, or my [previous summary](https://mailchi.mp/ee62c1c9e331/an-109teaching-neural-nets-to-generalize-the-way-humans-would).")</f>
        <v>This post explains a simplified version of the scheme in [Learning the prior](https://www.alignmentforum.org/posts/SL9mKhgdmDKXmxwE4/learning-the-prior) ([AN #109](https://mailchi.mp/ee62c1c9e331/an-109teaching-neural-nets-to-generalize-the-way-humans-would)) with an image classification example.
A key issue for distributional shift is that neural nets assign significant “probability” to “crazy” hypotheses. Imagine that we want to train a neural net to classify dog breeds, and in our training dataset D all huskies are on snow, but on the test dataset D’ they may also be on grass. Then a neural net is perfectly happy with the hypothesis “if most of the bottom half of the image is white, then it is a husky”, whereas humans would see that as crazy and would much prefer the hypothesis “a husky is a large, fluffy, wolf-like dog”, _even if they don’t know what a husky looks like_.
Thus, we might say that the human “prior” over hypotheses is much better than the corresponding neural net “prior”. So, let’s optimize our model using the human prior instead. In particular, we search for a hypothesis such that 1) humans think the hypothesis is likely (high human prior), and 2) the hypothesis leads humans to make good predictions on the training dataset D. Once we have this hypothesis, we have humans make predictions using that hypothesis on the test distribution D’, and train a model to imitate these predictions. We can then use this model to predict for the rest of D’. Notably, this model is now being used in an iid way (i.e. no distribution shift).
A key challenge here is how to represent the hypotheses that we’re optimizing over -- they need to be amenable to ML-based optimization, but they also need to be interpretable to humans. A text-based hypothesis would likely be too cumbersome; it is possible that neural-net-based hypotheses could work if augmented by interpretability tools that let the humans understand the “knowledge” in the neural net (this is similar in spirit to &lt;@Microscope AI@&gt;(@Chris Olah’s views on AGI safety@)).
For more details on the setup, see the full post, or my [previous summary](https://mailchi.mp/ee62c1c9e331/an-109teaching-neural-nets-to-generalize-the-way-humans-would).</v>
      </c>
    </row>
    <row r="893">
      <c r="A893" t="str">
        <f>IFERROR(__xludf.DUMMYFUNCTION("""COMPUTED_VALUE"""),"Learning human intent")</f>
        <v>Learning human intent</v>
      </c>
      <c r="B893" t="str">
        <f>IFERROR(__xludf.DUMMYFUNCTION("""COMPUTED_VALUE"""),"")</f>
        <v/>
      </c>
      <c r="C893" s="3" t="str">
        <f>IFERROR(__xludf.DUMMYFUNCTION("""COMPUTED_VALUE"""),"DERAIL: Diagnostic Environments for Reward And Imitation Learning")</f>
        <v>DERAIL: Diagnostic Environments for Reward And Imitation Learning</v>
      </c>
      <c r="D893" t="str">
        <f>IFERROR(__xludf.DUMMYFUNCTION("""COMPUTED_VALUE"""),"Pedro Freire, Adam Gleave, Sam Toyer, Stuart Russell")</f>
        <v>Pedro Freire, Adam Gleave, Sam Toyer, Stuart Russell</v>
      </c>
      <c r="E893" t="str">
        <f>IFERROR(__xludf.DUMMYFUNCTION("""COMPUTED_VALUE"""),"arXiv")</f>
        <v>arXiv</v>
      </c>
      <c r="F893">
        <f>IFERROR(__xludf.DUMMYFUNCTION("""COMPUTED_VALUE"""),2020.0)</f>
        <v>2020</v>
      </c>
      <c r="H893" s="3" t="str">
        <f>IFERROR(__xludf.DUMMYFUNCTION("""COMPUTED_VALUE"""),"AN #132")</f>
        <v>AN #132</v>
      </c>
      <c r="I893" t="str">
        <f>IFERROR(__xludf.DUMMYFUNCTION("""COMPUTED_VALUE"""),"Rohin")</f>
        <v>Rohin</v>
      </c>
      <c r="J893" t="str">
        <f>IFERROR(__xludf.DUMMYFUNCTION("""COMPUTED_VALUE"""),"Most deep RL algorithms are quite sensitive to implementation and hyperparameters, and this applies to imitation learning as well. So, it would be useful to have some simple sanity checks that an algorithm works well, before throwing algorithms at challen"&amp;"ging benchmarks trying to beat the state of the art. This paper presents a suite of simple environments that each aim to test a single aspect of an algorithm, in a similar spirit to unit testing.
For example, RiskyPath is a very simple four-state stochas"&amp;"tic MDP, in which the agent can take a long, safe path to the reward, or a short, risky path. While it is always better in expectation to take the safer path, properly reasoning about stochasticity can be subtle, and some published algorithms, like &lt;@Maxi"&amp;"mum Entropy IRL@&gt;(@Maximum Entropy Inverse Reinforcement Learning@), always choose the risky path (this can be fixed by using &lt;@causal entropy@&gt;(@Modeling Interaction via the Principle of Maximum Causal Entropy@)). By isolating the issue, RiskyPath can be"&amp;" used as a quick test to detect this behavior in new algorithms.
The paper also presents a case study in tuning an implementation of [Deep RL from Human Preferences](https://deepmind.com/blog/learning-through-human-feedback/), in which a sparse explorati"&amp;"on task suggested that the comparison queries were insufficiently diverse to guarantee stability.")</f>
        <v>Most deep RL algorithms are quite sensitive to implementation and hyperparameters, and this applies to imitation learning as well. So, it would be useful to have some simple sanity checks that an algorithm works well, before throwing algorithms at challenging benchmarks trying to beat the state of the art. This paper presents a suite of simple environments that each aim to test a single aspect of an algorithm, in a similar spirit to unit testing.
For example, RiskyPath is a very simple four-state stochastic MDP, in which the agent can take a long, safe path to the reward, or a short, risky path. While it is always better in expectation to take the safer path, properly reasoning about stochasticity can be subtle, and some published algorithms, like &lt;@Maximum Entropy IRL@&gt;(@Maximum Entropy Inverse Reinforcement Learning@), always choose the risky path (this can be fixed by using &lt;@causal entropy@&gt;(@Modeling Interaction via the Principle of Maximum Causal Entropy@)). By isolating the issue, RiskyPath can be used as a quick test to detect this behavior in new algorithms.
The paper also presents a case study in tuning an implementation of [Deep RL from Human Preferences](https://deepmind.com/blog/learning-through-human-feedback/), in which a sparse exploration task suggested that the comparison queries were insufficiently diverse to guarantee stability.</v>
      </c>
    </row>
    <row r="894">
      <c r="A894" t="str">
        <f>IFERROR(__xludf.DUMMYFUNCTION("""COMPUTED_VALUE"""),"Learning human intent")</f>
        <v>Learning human intent</v>
      </c>
      <c r="B894" t="str">
        <f>IFERROR(__xludf.DUMMYFUNCTION("""COMPUTED_VALUE"""),"")</f>
        <v/>
      </c>
      <c r="C894" s="3" t="str">
        <f>IFERROR(__xludf.DUMMYFUNCTION("""COMPUTED_VALUE"""),"Bayesian Inverse Reinforcement Learning")</f>
        <v>Bayesian Inverse Reinforcement Learning</v>
      </c>
      <c r="D894" t="str">
        <f>IFERROR(__xludf.DUMMYFUNCTION("""COMPUTED_VALUE"""),"Deepak Ramachandran, Eyal Amir")</f>
        <v>Deepak Ramachandran, Eyal Amir</v>
      </c>
      <c r="E894" t="str">
        <f>IFERROR(__xludf.DUMMYFUNCTION("""COMPUTED_VALUE"""),"IJCAI 2007")</f>
        <v>IJCAI 2007</v>
      </c>
      <c r="F894">
        <f>IFERROR(__xludf.DUMMYFUNCTION("""COMPUTED_VALUE"""),2007.0)</f>
        <v>2007</v>
      </c>
      <c r="H894" s="3" t="str">
        <f>IFERROR(__xludf.DUMMYFUNCTION("""COMPUTED_VALUE"""),"AN #132")</f>
        <v>AN #132</v>
      </c>
      <c r="I894" t="str">
        <f>IFERROR(__xludf.DUMMYFUNCTION("""COMPUTED_VALUE"""),"Rohin")</f>
        <v>Rohin</v>
      </c>
      <c r="J894" t="str">
        <f>IFERROR(__xludf.DUMMYFUNCTION("""COMPUTED_VALUE"""),"Unlike many other methods, [Bayesian Inverse Reinforcement Learning](https://www.aaai.org/Papers/IJCAI/2007/IJCAI07-416.pdf) produces a _posterior distribution_ over the reward functions that would explain the observed demonstrations. This distribution ca"&amp;"n be used for e.g. planning in a risk-averse manner. It works by starting with some randomly chosen reward function, and then repeating the following steps:
1. Perturb the reward function randomly
2. Solve for the optimal policy for that reward function
"&amp;"3. Use the learned policy to see how likely the demonstrations would be for the reward function
4. Use the likelihood to determine whether to take this new reward function, or return to the old one.
(This is the application of a standard MCMC sampling al"&amp;"gorithm to the likelihood model used in IRL.)")</f>
        <v>Unlike many other methods, [Bayesian Inverse Reinforcement Learning](https://www.aaai.org/Papers/IJCAI/2007/IJCAI07-416.pdf) produces a _posterior distribution_ over the reward functions that would explain the observed demonstrations. This distribution can be used for e.g. planning in a risk-averse manner. It works by starting with some randomly chosen reward function, and then repeating the following steps:
1. Perturb the reward function randomly
2. Solve for the optimal policy for that reward function
3. Use the learned policy to see how likely the demonstrations would be for the reward function
4. Use the likelihood to determine whether to take this new reward function, or return to the old one.
(This is the application of a standard MCMC sampling algorithm to the likelihood model used in IRL.)</v>
      </c>
    </row>
    <row r="895">
      <c r="A895" t="str">
        <f>IFERROR(__xludf.DUMMYFUNCTION("""COMPUTED_VALUE"""),"Learning human intent")</f>
        <v>Learning human intent</v>
      </c>
      <c r="B895" t="str">
        <f>IFERROR(__xludf.DUMMYFUNCTION("""COMPUTED_VALUE"""),"")</f>
        <v/>
      </c>
      <c r="C895" s="3" t="str">
        <f>IFERROR(__xludf.DUMMYFUNCTION("""COMPUTED_VALUE"""),"AXRP 2: Learning Human Biases")</f>
        <v>AXRP 2: Learning Human Biases</v>
      </c>
      <c r="D895" t="str">
        <f>IFERROR(__xludf.DUMMYFUNCTION("""COMPUTED_VALUE"""),"Daniel Filan and Rohin Shah")</f>
        <v>Daniel Filan and Rohin Shah</v>
      </c>
      <c r="E895" t="str">
        <f>IFERROR(__xludf.DUMMYFUNCTION("""COMPUTED_VALUE"""),"AXRP Podcast")</f>
        <v>AXRP Podcast</v>
      </c>
      <c r="F895">
        <f>IFERROR(__xludf.DUMMYFUNCTION("""COMPUTED_VALUE"""),2020.0)</f>
        <v>2020</v>
      </c>
      <c r="H895" s="3" t="str">
        <f>IFERROR(__xludf.DUMMYFUNCTION("""COMPUTED_VALUE"""),"AN #130")</f>
        <v>AN #130</v>
      </c>
      <c r="I895" t="str">
        <f>IFERROR(__xludf.DUMMYFUNCTION("""COMPUTED_VALUE"""),"Rohin")</f>
        <v>Rohin</v>
      </c>
      <c r="J895" t="str">
        <f>IFERROR(__xludf.DUMMYFUNCTION("""COMPUTED_VALUE"""),"After talking about &lt;@my paper on learning biases@&gt;(@Learning biases and rewards simultaneously@) (for which I refer you to the linked blog post and past AN summary), Daniel and I talked about the implications of inverse reinforcement learning for AI safe"&amp;"ty, and in particular how we would want AI systems to be architected at a high level.
My position was that we want intelligent AI systems to be trying to help their users: they are explicitly interacting with humans in order to clarify what they should d"&amp;"o, perhaps by explicitly asking questions, or by watching other human decisions and making inferences about what humans must care about. (However, this isn’t the vast majority of what they do; it is probably significantly less than one-fifth of “everythin"&amp;"g they do”.)
In contrast, Daniel would prefer for a superintelligent AI system to be pursuing a well-defined task, such as “build a thriving city”. He has three reasons for this:
1. When our goal is to build AI systems that can pursue a relatively well-"&amp;"defined task, it is much easier for us to tell whether we are succeeding, and we can be much clearer about what it is we are trying to accomplish.
2. We can increase the difficulty of well-specified tasks over time, rising in tandem with the capabilities "&amp;"of AI systems. In contrast, if our AI system is supposed to generically make our life better, that seems like a fixed task that is fairly difficult and requires quite a high minimum threshold of capabilities.
3. It seems easier to tell whether your AI sys"&amp;"tem has built a good city, than to tell whether an AI system has generically improved your life.
In the podcast, I don’t think I really engaged properly with the first two points, so I’ll talk about that in the opinion. I did disagree with the third poin"&amp;"t -- I don’t see why it should be harder to evaluate whether my life has been generically improved; for example, I expect that we are capable of telling apart good and bad personal assistants.
Daniel also asked why it helps to aim for “AI systems that ar"&amp;"e trying to help you” -- how has that made the problem any simpler? It seems to me that the notion of “helpfulness” is domain-independent: once you have the concept of being helpful, it can be applied in different domains. One hopes that we could then tra"&amp;"in lots of AI systems that are specialized to particular domains, but all of them are still trying to be helpful.")</f>
        <v>After talking about &lt;@my paper on learning biases@&gt;(@Learning biases and rewards simultaneously@) (for which I refer you to the linked blog post and past AN summary), Daniel and I talked about the implications of inverse reinforcement learning for AI safety, and in particular how we would want AI systems to be architected at a high level.
My position was that we want intelligent AI systems to be trying to help their users: they are explicitly interacting with humans in order to clarify what they should do, perhaps by explicitly asking questions, or by watching other human decisions and making inferences about what humans must care about. (However, this isn’t the vast majority of what they do; it is probably significantly less than one-fifth of “everything they do”.)
In contrast, Daniel would prefer for a superintelligent AI system to be pursuing a well-defined task, such as “build a thriving city”. He has three reasons for this:
1. When our goal is to build AI systems that can pursue a relatively well-defined task, it is much easier for us to tell whether we are succeeding, and we can be much clearer about what it is we are trying to accomplish.
2. We can increase the difficulty of well-specified tasks over time, rising in tandem with the capabilities of AI systems. In contrast, if our AI system is supposed to generically make our life better, that seems like a fixed task that is fairly difficult and requires quite a high minimum threshold of capabilities.
3. It seems easier to tell whether your AI system has built a good city, than to tell whether an AI system has generically improved your life.
In the podcast, I don’t think I really engaged properly with the first two points, so I’ll talk about that in the opinion. I did disagree with the third point -- I don’t see why it should be harder to evaluate whether my life has been generically improved; for example, I expect that we are capable of telling apart good and bad personal assistants.
Daniel also asked why it helps to aim for “AI systems that are trying to help you” -- how has that made the problem any simpler? It seems to me that the notion of “helpfulness” is domain-independent: once you have the concept of being helpful, it can be applied in different domains. One hopes that we could then train lots of AI systems that are specialized to particular domains, but all of them are still trying to be helpful.</v>
      </c>
      <c r="K895" t="str">
        <f>IFERROR(__xludf.DUMMYFUNCTION("""COMPUTED_VALUE"""),"I think I broadly agree with Daniel’s first two points in support of the task-based approach, and I was somewhat talking past him during the podcast. I generally _do_ agree that individual AI systems should be specialized to particular tasks or domains, a"&amp;"nd should not be “generically improving one’s life”. I agree with Daniel that at least outwardly it seems like most of the AI alignment field seems to be about building AI systems that can generically optimize your entire life, or even more ambitiously, t"&amp;"he lot of humanity; I also agree that this is weird and probably not the right thing to do.
My optimism about helpfulness is not predicated on an idea that we’ll build AI systems that are generically trying to make all aspects of your life better: I do t"&amp;"hink that we still want our AI systems to be domain-specific, such as (say) a financial advisor AI system. The idea is more that if we can design domain-general _techniques_ that allow us to train domain-specific _systems_ that are trying to be helpful, t"&amp;"hat seems like it would be a solution to the AI alignment problem (the problem of how to prevent an AI from adversarially optimizing against its user).")</f>
        <v>I think I broadly agree with Daniel’s first two points in support of the task-based approach, and I was somewhat talking past him during the podcast. I generally _do_ agree that individual AI systems should be specialized to particular tasks or domains, and should not be “generically improving one’s life”. I agree with Daniel that at least outwardly it seems like most of the AI alignment field seems to be about building AI systems that can generically optimize your entire life, or even more ambitiously, the lot of humanity; I also agree that this is weird and probably not the right thing to do.
My optimism about helpfulness is not predicated on an idea that we’ll build AI systems that are generically trying to make all aspects of your life better: I do think that we still want our AI systems to be domain-specific, such as (say) a financial advisor AI system. The idea is more that if we can design domain-general _techniques_ that allow us to train domain-specific _systems_ that are trying to be helpful, that seems like it would be a solution to the AI alignment problem (the problem of how to prevent an AI from adversarially optimizing against its user).</v>
      </c>
    </row>
    <row r="896">
      <c r="A896" t="str">
        <f>IFERROR(__xludf.DUMMYFUNCTION("""COMPUTED_VALUE"""),"Learning human intent")</f>
        <v>Learning human intent</v>
      </c>
      <c r="B896" t="str">
        <f>IFERROR(__xludf.DUMMYFUNCTION("""COMPUTED_VALUE"""),"")</f>
        <v/>
      </c>
      <c r="C896" s="3" t="str">
        <f>IFERROR(__xludf.DUMMYFUNCTION("""COMPUTED_VALUE"""),"I Know What You Meant: Learning Human Objectives by (Under)estimating Their Choice Set")</f>
        <v>I Know What You Meant: Learning Human Objectives by (Under)estimating Their Choice Set</v>
      </c>
      <c r="D896" t="str">
        <f>IFERROR(__xludf.DUMMYFUNCTION("""COMPUTED_VALUE"""),"Ananth Jonnavittula, Dylan P. Losey")</f>
        <v>Ananth Jonnavittula, Dylan P. Losey</v>
      </c>
      <c r="E896" t="str">
        <f>IFERROR(__xludf.DUMMYFUNCTION("""COMPUTED_VALUE"""),"arXiv")</f>
        <v>arXiv</v>
      </c>
      <c r="F896">
        <f>IFERROR(__xludf.DUMMYFUNCTION("""COMPUTED_VALUE"""),2020.0)</f>
        <v>2020</v>
      </c>
      <c r="H896" s="3" t="str">
        <f>IFERROR(__xludf.DUMMYFUNCTION("""COMPUTED_VALUE"""),"AN #126")</f>
        <v>AN #126</v>
      </c>
      <c r="I896" t="str">
        <f>IFERROR(__xludf.DUMMYFUNCTION("""COMPUTED_VALUE"""),"Rohin")</f>
        <v>Rohin</v>
      </c>
      <c r="J896" t="str">
        <f>IFERROR(__xludf.DUMMYFUNCTION("""COMPUTED_VALUE"""),"&lt;@Misspecification in reward learning@&gt;(@Model Mis-specification and Inverse Reinforcement Learning@) can be quite bad, and seems nearly inevitable to happen. The key insight of this paper is that we can mitigate its effects by ensuring that we err on the"&amp;" side of _underestimating_ the demonstrator’s capabilities.
Consider inverse reinforcement learning (IRL), where we get demonstrations of good behavior. In practice, there are some demonstrations that humans can’t give: for example, when teleoperating a "&amp;"complex robot arm, humans might find it challenging to move a coffee cup without tilting it. Ideally, we would estimate the set of possible trajectories the demonstrator could have given, known as their choice set, and only model them as noisily rational "&amp;"across trajectories from that set.
However, we won’t perfectly estimate this choice set, and so there will be some misspecification. If we overestimate the demonstrator’s capabilities, for example by assuming they could move the coffee cup perfectly stra"&amp;"ightly, then since that _isn’t_ the demonstration we get we would infer that the human couldn’t have cared about keeping the cup upright. However, if we underestimate the demonstrator’s capabilities, there’s no such issue.
If we make the theoretical simp"&amp;"lification that the demonstrator chooses the actual best trajectory out of their choice set, then we can prove that in the case of underestimation, you will always assign as much probability to the true reward function as you would if you had the correct "&amp;"choice set. (Intuitively, this is because for reward r, if the trajectory is optimal under the true choice set, then it must also be optimal under the underestimated choice set.)
Okay, but how do we ensure we have underestimated the choice set? This pape"&amp;"r suggests that we augment the demonstrations that we do observe. For example, we can take the real demonstration, and inject noise into it, along the lines of &lt;@D-REX@&gt;(@Ranking-Based Reward Extrapolation without Rankings@). Alternatively, we can repeat "&amp;"actions -- the idea is that it is easier for a human to give consistent inputs than to change the actions constantly. Finally, we can make the demonstration sparser, i.e. reduce the magnitude of the actions (in the robotics setting).
The authors run expe"&amp;"riments in simulated domains as well as with a user study and report good results.")</f>
        <v>&lt;@Misspecification in reward learning@&gt;(@Model Mis-specification and Inverse Reinforcement Learning@) can be quite bad, and seems nearly inevitable to happen. The key insight of this paper is that we can mitigate its effects by ensuring that we err on the side of _underestimating_ the demonstrator’s capabilities.
Consider inverse reinforcement learning (IRL), where we get demonstrations of good behavior. In practice, there are some demonstrations that humans can’t give: for example, when teleoperating a complex robot arm, humans might find it challenging to move a coffee cup without tilting it. Ideally, we would estimate the set of possible trajectories the demonstrator could have given, known as their choice set, and only model them as noisily rational across trajectories from that set.
However, we won’t perfectly estimate this choice set, and so there will be some misspecification. If we overestimate the demonstrator’s capabilities, for example by assuming they could move the coffee cup perfectly straightly, then since that _isn’t_ the demonstration we get we would infer that the human couldn’t have cared about keeping the cup upright. However, if we underestimate the demonstrator’s capabilities, there’s no such issue.
If we make the theoretical simplification that the demonstrator chooses the actual best trajectory out of their choice set, then we can prove that in the case of underestimation, you will always assign as much probability to the true reward function as you would if you had the correct choice set. (Intuitively, this is because for reward r, if the trajectory is optimal under the true choice set, then it must also be optimal under the underestimated choice set.)
Okay, but how do we ensure we have underestimated the choice set? This paper suggests that we augment the demonstrations that we do observe. For example, we can take the real demonstration, and inject noise into it, along the lines of &lt;@D-REX@&gt;(@Ranking-Based Reward Extrapolation without Rankings@). Alternatively, we can repeat actions -- the idea is that it is easier for a human to give consistent inputs than to change the actions constantly. Finally, we can make the demonstration sparser, i.e. reduce the magnitude of the actions (in the robotics setting).
The authors run experiments in simulated domains as well as with a user study and report good results.</v>
      </c>
      <c r="K896" t="str">
        <f>IFERROR(__xludf.DUMMYFUNCTION("""COMPUTED_VALUE"""),"I really liked the insight: because IRL provides information about the maximum of a set, it is generally safe to underestimate that set (i.e. work with a subset), but is not safe to overestimate that set (i.e. work with a superset). It’s simple and intuit"&amp;"ive but can plausibly provide significant benefits in practice.")</f>
        <v>I really liked the insight: because IRL provides information about the maximum of a set, it is generally safe to underestimate that set (i.e. work with a subset), but is not safe to overestimate that set (i.e. work with a superset). It’s simple and intuitive but can plausibly provide significant benefits in practice.</v>
      </c>
    </row>
    <row r="897">
      <c r="A897" t="str">
        <f>IFERROR(__xludf.DUMMYFUNCTION("""COMPUTED_VALUE"""),"Learning human intent")</f>
        <v>Learning human intent</v>
      </c>
      <c r="B897" t="str">
        <f>IFERROR(__xludf.DUMMYFUNCTION("""COMPUTED_VALUE"""),"")</f>
        <v/>
      </c>
      <c r="C897" s="3" t="str">
        <f>IFERROR(__xludf.DUMMYFUNCTION("""COMPUTED_VALUE"""),"Imitation Learning in the Low-Data Regime")</f>
        <v>Imitation Learning in the Low-Data Regime</v>
      </c>
      <c r="D897" t="str">
        <f>IFERROR(__xludf.DUMMYFUNCTION("""COMPUTED_VALUE"""),"Robert Dadashi, Léonard Hussenot, Matthieu Geist, Olivier Pietquin")</f>
        <v>Robert Dadashi, Léonard Hussenot, Matthieu Geist, Olivier Pietquin</v>
      </c>
      <c r="E897" t="str">
        <f>IFERROR(__xludf.DUMMYFUNCTION("""COMPUTED_VALUE"""),"arXiv")</f>
        <v>arXiv</v>
      </c>
      <c r="F897">
        <f>IFERROR(__xludf.DUMMYFUNCTION("""COMPUTED_VALUE"""),2020.0)</f>
        <v>2020</v>
      </c>
      <c r="H897" s="3" t="str">
        <f>IFERROR(__xludf.DUMMYFUNCTION("""COMPUTED_VALUE"""),"AN #124")</f>
        <v>AN #124</v>
      </c>
      <c r="I897" t="str">
        <f>IFERROR(__xludf.DUMMYFUNCTION("""COMPUTED_VALUE"""),"Zach")</f>
        <v>Zach</v>
      </c>
      <c r="J897" t="str">
        <f>IFERROR(__xludf.DUMMYFUNCTION("""COMPUTED_VALUE"""),"&lt;@Non-Adversarial Imitation Learning@&gt;(@Non-Adversarial Imitation Learning and its Connections to Adversarial Methods@) has become more popular recently due to the fact that GAN style architectures can be notoriously unstable during training. This paper m"&amp;"akes a contribution by introducing an imitation learning strategy that relies on minimizing an upper bound on the Wasserstein distance between the imitator and expert state visitation distributions. The Wasserstein distance can be understood using the 'Ea"&amp;"rth Mover's Analogy'. In this interpretation, we view the distance as the cost of the most efficient transport strategy to move probability mass from the imitator distribution to the expert distribution. The advantage of such an approach is that the metri"&amp;"c can be calculated in an offline way. If we calculate the distance for partial rollouts then we can create a dense, albeit non-stationary, reward for the imitator. In experiments, agents trained using the Wasserstein distance are able to learn control ta"&amp;"sks using only a single trajectory. ")</f>
        <v>&lt;@Non-Adversarial Imitation Learning@&gt;(@Non-Adversarial Imitation Learning and its Connections to Adversarial Methods@) has become more popular recently due to the fact that GAN style architectures can be notoriously unstable during training. This paper makes a contribution by introducing an imitation learning strategy that relies on minimizing an upper bound on the Wasserstein distance between the imitator and expert state visitation distributions. The Wasserstein distance can be understood using the 'Earth Mover's Analogy'. In this interpretation, we view the distance as the cost of the most efficient transport strategy to move probability mass from the imitator distribution to the expert distribution. The advantage of such an approach is that the metric can be calculated in an offline way. If we calculate the distance for partial rollouts then we can create a dense, albeit non-stationary, reward for the imitator. In experiments, agents trained using the Wasserstein distance are able to learn control tasks using only a single trajectory. </v>
      </c>
      <c r="K897" t="str">
        <f>IFERROR(__xludf.DUMMYFUNCTION("""COMPUTED_VALUE"""),"With this paper, I conclude that IRL works for Mujoco-style control tasks. The performance of this method is similar to offline GAIL but is better justified and more stable. However, ultimately, I'm a bit skeptical of their claim that the method will gene"&amp;"ralize to other tasks. Results for GAIL/DAC are quite poor in Atari-like environments whereas pair-wise reward modeling seems to perform quite well. This would suggest a reward modeling approach would scale much better in more complicated settings.")</f>
        <v>With this paper, I conclude that IRL works for Mujoco-style control tasks. The performance of this method is similar to offline GAIL but is better justified and more stable. However, ultimately, I'm a bit skeptical of their claim that the method will generalize to other tasks. Results for GAIL/DAC are quite poor in Atari-like environments whereas pair-wise reward modeling seems to perform quite well. This would suggest a reward modeling approach would scale much better in more complicated settings.</v>
      </c>
      <c r="M897" s="3" t="str">
        <f>IFERROR(__xludf.DUMMYFUNCTION("""COMPUTED_VALUE"""),"Paper: Primal Wasserstein Imitation Learning")</f>
        <v>Paper: Primal Wasserstein Imitation Learning</v>
      </c>
    </row>
    <row r="898">
      <c r="A898" t="str">
        <f>IFERROR(__xludf.DUMMYFUNCTION("""COMPUTED_VALUE"""),"Learning human intent")</f>
        <v>Learning human intent</v>
      </c>
      <c r="B898" t="str">
        <f>IFERROR(__xludf.DUMMYFUNCTION("""COMPUTED_VALUE"""),"")</f>
        <v/>
      </c>
      <c r="C898" s="3" t="str">
        <f>IFERROR(__xludf.DUMMYFUNCTION("""COMPUTED_VALUE"""),"Dynamical Distance Learning for Semi-Supervised and Unsupervised Skill Discovery")</f>
        <v>Dynamical Distance Learning for Semi-Supervised and Unsupervised Skill Discovery</v>
      </c>
      <c r="D898" t="str">
        <f>IFERROR(__xludf.DUMMYFUNCTION("""COMPUTED_VALUE"""),"Kristian Hartikainen, Xinyang Geng, Tuomas Haarnoja, Sergey Levine")</f>
        <v>Kristian Hartikainen, Xinyang Geng, Tuomas Haarnoja, Sergey Levine</v>
      </c>
      <c r="E898" t="str">
        <f>IFERROR(__xludf.DUMMYFUNCTION("""COMPUTED_VALUE"""),"ICLR 2020")</f>
        <v>ICLR 2020</v>
      </c>
      <c r="F898">
        <f>IFERROR(__xludf.DUMMYFUNCTION("""COMPUTED_VALUE"""),2020.0)</f>
        <v>2020</v>
      </c>
      <c r="H898" s="3" t="str">
        <f>IFERROR(__xludf.DUMMYFUNCTION("""COMPUTED_VALUE"""),"AN #120")</f>
        <v>AN #120</v>
      </c>
      <c r="I898" t="str">
        <f>IFERROR(__xludf.DUMMYFUNCTION("""COMPUTED_VALUE"""),"Robert")</f>
        <v>Robert</v>
      </c>
      <c r="J898" t="str">
        <f>IFERROR(__xludf.DUMMYFUNCTION("""COMPUTED_VALUE"""),"In reinforcement learning (RL), reward function specification is a central problem in training a successful policy. For a large class of tasks, we can frame the problem as goal-directed RL: giving a policy a representation of a goal (for example coordinat"&amp;"es in a map, or a picture of a location) and training the policy to reach this goal. In this setting, the naive reward function would be to give a reward of 1 when the policy reaches the goal state (or very close to it), and a reward of 0 otherwise. Howev"&amp;"er, this makes it difficult to train the correct policy, as it will need to explore randomly for a long time before finding the true reward. Instead, if we had a notion of distance within the environment, we could use the negative distance from the goal s"&amp;"tate as the reward function - this would give the policy good information about which direction it should be moving in, even if it hasn't yet found the reward.
This paper is about how to learn a distance function in an unsupervised manner, such that it's"&amp;" useful for shaping the reward of an RL policy. Given an environment without a reward function, and starting with a random goal-directed policy, they alternate between (1) choosing a state **s** to train the policy to reach, and (2) training a distance fu"&amp;"nction **d(s*, s')** which measures the minimum number of environment steps it takes for the policy to reach a state **s*** from a different state **s'**. This distance function is trained with supervised learning using data collected by the policy acting"&amp;" in the environment, and is called the __Dynamical Distance__, as it measures the distance with respect to the environment dynamics and policy behaviour.
The key choice in implementing this algorithm is how states are chosen to train the policy (step 1)."&amp;" In the first implementation, the authors choose the state which is farthest from the current state or the starting state, to encourage better long-term planning and skills in the policy and better generalisation in the agent. In the second (and more rele"&amp;"vant) implementation, the state is chosen from a selection of random states by a human who is trying to express a preference for a given goal state. This effectively trains the policy to be able to reach states which match humans preferences. This second "&amp;"method outperforms [Deep RL from Human Preferences](https://arxiv.org/abs/1706.03741) in terms of sample efficiency of human queries in learning human preferences across a range of locomotion tasks.")</f>
        <v>In reinforcement learning (RL), reward function specification is a central problem in training a successful policy. For a large class of tasks, we can frame the problem as goal-directed RL: giving a policy a representation of a goal (for example coordinates in a map, or a picture of a location) and training the policy to reach this goal. In this setting, the naive reward function would be to give a reward of 1 when the policy reaches the goal state (or very close to it), and a reward of 0 otherwise. However, this makes it difficult to train the correct policy, as it will need to explore randomly for a long time before finding the true reward. Instead, if we had a notion of distance within the environment, we could use the negative distance from the goal state as the reward function - this would give the policy good information about which direction it should be moving in, even if it hasn't yet found the reward.
This paper is about how to learn a distance function in an unsupervised manner, such that it's useful for shaping the reward of an RL policy. Given an environment without a reward function, and starting with a random goal-directed policy, they alternate between (1) choosing a state **s** to train the policy to reach, and (2) training a distance function **d(s*, s')** which measures the minimum number of environment steps it takes for the policy to reach a state **s*** from a different state **s'**. This distance function is trained with supervised learning using data collected by the policy acting in the environment, and is called the __Dynamical Distance__, as it measures the distance with respect to the environment dynamics and policy behaviour.
The key choice in implementing this algorithm is how states are chosen to train the policy (step 1). In the first implementation, the authors choose the state which is farthest from the current state or the starting state, to encourage better long-term planning and skills in the policy and better generalisation in the agent. In the second (and more relevant) implementation, the state is chosen from a selection of random states by a human who is trying to express a preference for a given goal state. This effectively trains the policy to be able to reach states which match humans preferences. This second method outperforms [Deep RL from Human Preferences](https://arxiv.org/abs/1706.03741) in terms of sample efficiency of human queries in learning human preferences across a range of locomotion tasks.</v>
      </c>
      <c r="K898" t="str">
        <f>IFERROR(__xludf.DUMMYFUNCTION("""COMPUTED_VALUE"""),"What's most interesting about this paper (from an alignment perspective) is the increased sample efficiency of the learning of human preferences, by limiting the type of preferences that can be expressed to preferences over goal states in a goal-directed "&amp;"setting. While not all preferences could be captured this way, I think a large amount of them in a large number of settings could be - it might come down to creating a clever encoding of the task as goal-directed in a way an RL policy could learn.")</f>
        <v>What's most interesting about this paper (from an alignment perspective) is the increased sample efficiency of the learning of human preferences, by limiting the type of preferences that can be expressed to preferences over goal states in a goal-directed setting. While not all preferences could be captured this way, I think a large amount of them in a large number of settings could be - it might come down to creating a clever encoding of the task as goal-directed in a way an RL policy could learn.</v>
      </c>
    </row>
    <row r="899">
      <c r="A899" t="str">
        <f>IFERROR(__xludf.DUMMYFUNCTION("""COMPUTED_VALUE"""),"Learning human intent")</f>
        <v>Learning human intent</v>
      </c>
      <c r="B899" t="str">
        <f>IFERROR(__xludf.DUMMYFUNCTION("""COMPUTED_VALUE"""),"")</f>
        <v/>
      </c>
      <c r="C899" s="3" t="str">
        <f>IFERROR(__xludf.DUMMYFUNCTION("""COMPUTED_VALUE"""),"Learning to Summarize with Human Feedback")</f>
        <v>Learning to Summarize with Human Feedback</v>
      </c>
      <c r="D899" t="str">
        <f>IFERROR(__xludf.DUMMYFUNCTION("""COMPUTED_VALUE"""),"Nisan Stiennon*, Long Ouyang*, Jeff Wu*, Daniel M. Ziegler*, Ryan Lowe, Chelsea Voss, Alec Radford, Dario Amodei, Paul Christiano")</f>
        <v>Nisan Stiennon*, Long Ouyang*, Jeff Wu*, Daniel M. Ziegler*, Ryan Lowe, Chelsea Voss, Alec Radford, Dario Amodei, Paul Christiano</v>
      </c>
      <c r="E899" t="str">
        <f>IFERROR(__xludf.DUMMYFUNCTION("""COMPUTED_VALUE"""),"OpenAI Blog")</f>
        <v>OpenAI Blog</v>
      </c>
      <c r="F899">
        <f>IFERROR(__xludf.DUMMYFUNCTION("""COMPUTED_VALUE"""),2020.0)</f>
        <v>2020</v>
      </c>
      <c r="H899" s="3" t="str">
        <f>IFERROR(__xludf.DUMMYFUNCTION("""COMPUTED_VALUE"""),"AN #116")</f>
        <v>AN #116</v>
      </c>
      <c r="I899" t="str">
        <f>IFERROR(__xludf.DUMMYFUNCTION("""COMPUTED_VALUE"""),"Rohin")</f>
        <v>Rohin</v>
      </c>
      <c r="J899" t="str">
        <f>IFERROR(__xludf.DUMMYFUNCTION("""COMPUTED_VALUE"""),"OpenAI has been working on &lt;@finetuning language models from human preferences@&gt;(@Fine-Tuning GPT-2 from Human Preferences@). This blog post and paper show the progress they have made on text summarization in particular since their last release.
As a rem"&amp;"inder, the basic setup is similar to that of [Deep RL from Human Preferences](https://deepmind.com/blog/learning-through-human-feedback/): we get candidate summaries by executing the policy, have humans compare which of two summaries is better, and use th"&amp;"is feedback to train a reward model that can then be used to improve the policy. The main differences in this paper are:
1. They put in a lot of effort to ensure high data quality. Rather than having MTurk workers compare between summaries, they hire a f"&amp;"ew contractors who are paid a flat hourly rate, and they put a lot of effort into communicating what they care about to ensure high agreement between labelers and researchers.
2. Rather than collecting preferences in an online training setup, they collect"&amp;" large batches at a time, and run a relatively small number of iterations of alternating between training the reward model and training the policy. My understanding is that this primarily makes it simpler from a practical perspective, e.g. you can look at"&amp;" the large batch of data you collected from humans and analyze it as a unit.
3. They initialize the policy from a model that is first pretrained in an unsupervised manner (as in &lt;@GPT-3@&gt;(@Language Models are Few-Shot Learners@)) and then finetuned on the"&amp;" reference summaries using supervised learning.
On the Reddit task they train on, their summaries are preferred over the reference summaries (though since the reference summaries have varying quality, this does not imply that their model is superhuman). "&amp;"They also transfer the policy to summarize CNN / DailyMail news articles and find that it still outperforms the supervised model, despite not being trained at all for this setting (except inasmuch as the unsupervised pretraining step saw CNN / DailyMail a"&amp;"rticles).
An important ingredient to this success is that they ensure their policy doesn’t overoptimize the reward, by adding a term to the reward function that penalizes deviation from the supervised learning baseline. They show that if they put a very "&amp;"low weight on this term, the model overfits to the reward model and starts producing bad outputs.")</f>
        <v>OpenAI has been working on &lt;@finetuning language models from human preferences@&gt;(@Fine-Tuning GPT-2 from Human Preferences@). This blog post and paper show the progress they have made on text summarization in particular since their last release.
As a reminder, the basic setup is similar to that of [Deep RL from Human Preferences](https://deepmind.com/blog/learning-through-human-feedback/): we get candidate summaries by executing the policy, have humans compare which of two summaries is better, and use this feedback to train a reward model that can then be used to improve the policy. The main differences in this paper are:
1. They put in a lot of effort to ensure high data quality. Rather than having MTurk workers compare between summaries, they hire a few contractors who are paid a flat hourly rate, and they put a lot of effort into communicating what they care about to ensure high agreement between labelers and researchers.
2. Rather than collecting preferences in an online training setup, they collect large batches at a time, and run a relatively small number of iterations of alternating between training the reward model and training the policy. My understanding is that this primarily makes it simpler from a practical perspective, e.g. you can look at the large batch of data you collected from humans and analyze it as a unit.
3. They initialize the policy from a model that is first pretrained in an unsupervised manner (as in &lt;@GPT-3@&gt;(@Language Models are Few-Shot Learners@)) and then finetuned on the reference summaries using supervised learning.
On the Reddit task they train on, their summaries are preferred over the reference summaries (though since the reference summaries have varying quality, this does not imply that their model is superhuman). They also transfer the policy to summarize CNN / DailyMail news articles and find that it still outperforms the supervised model, despite not being trained at all for this setting (except inasmuch as the unsupervised pretraining step saw CNN / DailyMail articles).
An important ingredient to this success is that they ensure their policy doesn’t overoptimize the reward, by adding a term to the reward function that penalizes deviation from the supervised learning baseline. They show that if they put a very low weight on this term, the model overfits to the reward model and starts producing bad outputs.</v>
      </c>
      <c r="K899" t="str">
        <f>IFERROR(__xludf.DUMMYFUNCTION("""COMPUTED_VALUE"""),"This paper is a great look at what reward learning would look like at scale. The most salient takeaways for me were that data quality becomes very important and having very large models does not mean that the reward can now be optimized arbitrarily.")</f>
        <v>This paper is a great look at what reward learning would look like at scale. The most salient takeaways for me were that data quality becomes very important and having very large models does not mean that the reward can now be optimized arbitrarily.</v>
      </c>
      <c r="M899" s="3" t="str">
        <f>IFERROR(__xludf.DUMMYFUNCTION("""COMPUTED_VALUE"""),"Paper: Learning to summarize from human feedback")</f>
        <v>Paper: Learning to summarize from human feedback</v>
      </c>
    </row>
    <row r="900">
      <c r="A900" t="str">
        <f>IFERROR(__xludf.DUMMYFUNCTION("""COMPUTED_VALUE"""),"Learning human intent")</f>
        <v>Learning human intent</v>
      </c>
      <c r="B900" t="str">
        <f>IFERROR(__xludf.DUMMYFUNCTION("""COMPUTED_VALUE"""),"")</f>
        <v/>
      </c>
      <c r="C900" s="3" t="str">
        <f>IFERROR(__xludf.DUMMYFUNCTION("""COMPUTED_VALUE"""),"Multi-Principal Assistance Games")</f>
        <v>Multi-Principal Assistance Games</v>
      </c>
      <c r="D900" t="str">
        <f>IFERROR(__xludf.DUMMYFUNCTION("""COMPUTED_VALUE"""),"Arnaud Fickinger, Simon Zhuang, Dylan Hadfield-Menell, Stuart Russell")</f>
        <v>Arnaud Fickinger, Simon Zhuang, Dylan Hadfield-Menell, Stuart Russell</v>
      </c>
      <c r="E900" t="str">
        <f>IFERROR(__xludf.DUMMYFUNCTION("""COMPUTED_VALUE"""),"Workshop on Incentives in Machine Learning, ICML 2020")</f>
        <v>Workshop on Incentives in Machine Learning, ICML 2020</v>
      </c>
      <c r="F900">
        <f>IFERROR(__xludf.DUMMYFUNCTION("""COMPUTED_VALUE"""),2020.0)</f>
        <v>2020</v>
      </c>
      <c r="H900" s="3" t="str">
        <f>IFERROR(__xludf.DUMMYFUNCTION("""COMPUTED_VALUE"""),"AN #110")</f>
        <v>AN #110</v>
      </c>
      <c r="I900" t="str">
        <f>IFERROR(__xludf.DUMMYFUNCTION("""COMPUTED_VALUE"""),"Rohin")</f>
        <v>Rohin</v>
      </c>
      <c r="J900" t="str">
        <f>IFERROR(__xludf.DUMMYFUNCTION("""COMPUTED_VALUE"""),"So far the work in the &lt;@assistance games framework@&gt;(@Human Compatible: Artificial Intelligence and the Problem of Control@) (previously called CIRL) has focused on the case where there is a single human and a single AI assistant. Once we have multiple h"&amp;"umans (or _principals_, as the paper calls them), things get much trickier.
One problem is that we don’t know how to aggregate the values across different principals. Rather than taking a stance on the problem, this paper assumes that we have some mechan"&amp;"ism that can combine reward functions in some reasonable way. It instead focuses on a second problem: while previously we could trust the human to report their preferences accurately (as the human and agent were aligned), when there are multiple principal"&amp;"s whose preference will be aggregated, the principals have an incentive to misrepresent their preferences (which we’ll call non-straightforward play).
Let’s consider the case where the principals provide demonstrations, _and get reward for those demonstr"&amp;"ations_. For now our agent will assume that the principals are playing straightforwardly, and so the agent simply infers their preferences, aggregates them, and optimizes the results. In this setting, if the agent will act far more often than the principa"&amp;"ls provide demonstrations (so that the reward of the demonstrations is almost irrelevant), we can apply the Gibbard-Satterthwaite theorem to show that any non-trivial mechanism will be vulnerable to non-straightforward play. In contrast, if the principals"&amp;" provide lots of demonstrations, while the agent only acts for a short period of time, then optimal principals primarily want to ensure their demonstrations are good, and so will be straightforward most of the time (provably). In the middle, the fact that"&amp;" principals get rewarded for demonstrations does help reduce non-straightforward play, but does not eliminate it.
Now let’s consider the case where the agent can design a mechanism. Here, when the principals are providing demonstrations, the agent can ov"&amp;"erride their action choice with one of its own (a setting considered &lt;@previously@&gt;(@The Assistive Multi-Armed Bandit@)). Roughly speaking, the algorithm only executes a proposed human action if it hasn’t executed it before. By doing so, it incentivizes t"&amp;"he principals to report second-best actions, and so on, giving the agent more information about the principals' utility functions. The mechanism incentivizes straightforward play, and is approximately efficient (i.e. there is an upper bound on the worst c"&amp;"ase social welfare achieved).")</f>
        <v>So far the work in the &lt;@assistance games framework@&gt;(@Human Compatible: Artificial Intelligence and the Problem of Control@) (previously called CIRL) has focused on the case where there is a single human and a single AI assistant. Once we have multiple humans (or _principals_, as the paper calls them), things get much trickier.
One problem is that we don’t know how to aggregate the values across different principals. Rather than taking a stance on the problem, this paper assumes that we have some mechanism that can combine reward functions in some reasonable way. It instead focuses on a second problem: while previously we could trust the human to report their preferences accurately (as the human and agent were aligned), when there are multiple principals whose preference will be aggregated, the principals have an incentive to misrepresent their preferences (which we’ll call non-straightforward play).
Let’s consider the case where the principals provide demonstrations, _and get reward for those demonstrations_. For now our agent will assume that the principals are playing straightforwardly, and so the agent simply infers their preferences, aggregates them, and optimizes the results. In this setting, if the agent will act far more often than the principals provide demonstrations (so that the reward of the demonstrations is almost irrelevant), we can apply the Gibbard-Satterthwaite theorem to show that any non-trivial mechanism will be vulnerable to non-straightforward play. In contrast, if the principals provide lots of demonstrations, while the agent only acts for a short period of time, then optimal principals primarily want to ensure their demonstrations are good, and so will be straightforward most of the time (provably). In the middle, the fact that principals get rewarded for demonstrations does help reduce non-straightforward play, but does not eliminate it.
Now let’s consider the case where the agent can design a mechanism. Here, when the principals are providing demonstrations, the agent can override their action choice with one of its own (a setting considered &lt;@previously@&gt;(@The Assistive Multi-Armed Bandit@)). Roughly speaking, the algorithm only executes a proposed human action if it hasn’t executed it before. By doing so, it incentivizes the principals to report second-best actions, and so on, giving the agent more information about the principals' utility functions. The mechanism incentivizes straightforward play, and is approximately efficient (i.e. there is an upper bound on the worst case social welfare achieved).</v>
      </c>
      <c r="K900" t="str">
        <f>IFERROR(__xludf.DUMMYFUNCTION("""COMPUTED_VALUE"""),"According to me, the main insight of this paper is that it is both necessary and difficult to design mechanisms that incentivize principals to report not just the best thing to do, but a comparison amongst different alternatives. Within the formalism of p"&amp;"aper, this is done by overriding a principal’s action unless it is a novel action, but I expect in practice we’ll do this in some other way (it seems rather unusual to imagine the agent overriding a human, I’d be surprised if that was how we ended up buil"&amp;"ding our AI systems).")</f>
        <v>According to me, the main insight of this paper is that it is both necessary and difficult to design mechanisms that incentivize principals to report not just the best thing to do, but a comparison amongst different alternatives. Within the formalism of paper, this is done by overriding a principal’s action unless it is a novel action, but I expect in practice we’ll do this in some other way (it seems rather unusual to imagine the agent overriding a human, I’d be surprised if that was how we ended up building our AI systems).</v>
      </c>
    </row>
    <row r="901">
      <c r="A901" t="str">
        <f>IFERROR(__xludf.DUMMYFUNCTION("""COMPUTED_VALUE"""),"Learning human intent")</f>
        <v>Learning human intent</v>
      </c>
      <c r="B901" t="str">
        <f>IFERROR(__xludf.DUMMYFUNCTION("""COMPUTED_VALUE"""),"")</f>
        <v/>
      </c>
      <c r="C901" s="3" t="str">
        <f>IFERROR(__xludf.DUMMYFUNCTION("""COMPUTED_VALUE"""),"Adversarial Soft Advantage Fitting: Imitation Learning without Policy Optimization")</f>
        <v>Adversarial Soft Advantage Fitting: Imitation Learning without Policy Optimization</v>
      </c>
      <c r="D901" t="str">
        <f>IFERROR(__xludf.DUMMYFUNCTION("""COMPUTED_VALUE"""),"Paul Barde*, Julien Roy*, Wonseok Jeon*, Joelle Pineau, Christopher Pal, Derek Nowrouzezahrai")</f>
        <v>Paul Barde*, Julien Roy*, Wonseok Jeon*, Joelle Pineau, Christopher Pal, Derek Nowrouzezahrai</v>
      </c>
      <c r="E901" t="str">
        <f>IFERROR(__xludf.DUMMYFUNCTION("""COMPUTED_VALUE"""),"arXiv")</f>
        <v>arXiv</v>
      </c>
      <c r="F901">
        <f>IFERROR(__xludf.DUMMYFUNCTION("""COMPUTED_VALUE"""),2020.0)</f>
        <v>2020</v>
      </c>
      <c r="H901" s="3" t="str">
        <f>IFERROR(__xludf.DUMMYFUNCTION("""COMPUTED_VALUE"""),"AN #110")</f>
        <v>AN #110</v>
      </c>
      <c r="I901" t="str">
        <f>IFERROR(__xludf.DUMMYFUNCTION("""COMPUTED_VALUE"""),"Sudhanshu")</f>
        <v>Sudhanshu</v>
      </c>
      <c r="J901" t="str">
        <f>IFERROR(__xludf.DUMMYFUNCTION("""COMPUTED_VALUE"""),"This work aims to simplify algorithms for adversarial imitation learning by using a _structured_ discriminator, which is parameterised by the current generator and a learned policy. They prove that if so formulated, the policy that yields the optimal disc"&amp;"riminator is exactly the same as the policy that generated the expert data, which is also precisely what we hope the generator will learn. As long as the discriminator's learned policy is parameterised correctly such that it can be sampled and evaluated, "&amp;"this eliminates the need for a reinforcement learning outer loop for policy improvement, as this learned policy can be substituted in for the generator's policy in the next training iteration. They empirically show the competitiveness of their method with"&amp;" state-of-the-art algorithms across a small but increasingly complex suite of tasks.")</f>
        <v>This work aims to simplify algorithms for adversarial imitation learning by using a _structured_ discriminator, which is parameterised by the current generator and a learned policy. They prove that if so formulated, the policy that yields the optimal discriminator is exactly the same as the policy that generated the expert data, which is also precisely what we hope the generator will learn. As long as the discriminator's learned policy is parameterised correctly such that it can be sampled and evaluated, this eliminates the need for a reinforcement learning outer loop for policy improvement, as this learned policy can be substituted in for the generator's policy in the next training iteration. They empirically show the competitiveness of their method with state-of-the-art algorithms across a small but increasingly complex suite of tasks.</v>
      </c>
      <c r="K901" t="str">
        <f>IFERROR(__xludf.DUMMYFUNCTION("""COMPUTED_VALUE"""),"Since their theoretical results are only for optimal values, it's unclear whether starting from random initial policies will necessarily converge to these optimal values -- indeed, they make this point themselves, that they do not train to convergence as "&amp;"gradient descent cannot hope to find the global optimum for GAN-like non-convex loss functions. In light of that, it's not evident *why* their algorithms outperform the competition. Additionally, they do not report computational speed-up or wall-clock com"&amp;"parisons, which to me felt like the broad motivation behind this work. Nonetheless, the work illuminates new territory in adversarial imitation learning, provides positive evidence for a novel technique, and raises interesting questions for future work, s"&amp;"uch as how to learn robust reward functions via this method, or what kind of convergence properties can be expected.")</f>
        <v>Since their theoretical results are only for optimal values, it's unclear whether starting from random initial policies will necessarily converge to these optimal values -- indeed, they make this point themselves, that they do not train to convergence as gradient descent cannot hope to find the global optimum for GAN-like non-convex loss functions. In light of that, it's not evident *why* their algorithms outperform the competition. Additionally, they do not report computational speed-up or wall-clock comparisons, which to me felt like the broad motivation behind this work. Nonetheless, the work illuminates new territory in adversarial imitation learning, provides positive evidence for a novel technique, and raises interesting questions for future work, such as how to learn robust reward functions via this method, or what kind of convergence properties can be expected.</v>
      </c>
    </row>
    <row r="902">
      <c r="A902" t="str">
        <f>IFERROR(__xludf.DUMMYFUNCTION("""COMPUTED_VALUE"""),"Learning human intent")</f>
        <v>Learning human intent</v>
      </c>
      <c r="B902" t="str">
        <f>IFERROR(__xludf.DUMMYFUNCTION("""COMPUTED_VALUE"""),"")</f>
        <v/>
      </c>
      <c r="C902" s="3" t="str">
        <f>IFERROR(__xludf.DUMMYFUNCTION("""COMPUTED_VALUE"""),"Safe Imitation Learning via Fast Bayesian Reward Inference from Preferences")</f>
        <v>Safe Imitation Learning via Fast Bayesian Reward Inference from Preferences</v>
      </c>
      <c r="D902" t="str">
        <f>IFERROR(__xludf.DUMMYFUNCTION("""COMPUTED_VALUE"""),"Daniel S. Brown, Russell Coleman, Ravi Srinivasan, Scott Niekum")</f>
        <v>Daniel S. Brown, Russell Coleman, Ravi Srinivasan, Scott Niekum</v>
      </c>
      <c r="E902" t="str">
        <f>IFERROR(__xludf.DUMMYFUNCTION("""COMPUTED_VALUE"""),"arXiv")</f>
        <v>arXiv</v>
      </c>
      <c r="F902">
        <f>IFERROR(__xludf.DUMMYFUNCTION("""COMPUTED_VALUE"""),2020.0)</f>
        <v>2020</v>
      </c>
      <c r="H902" s="3" t="str">
        <f>IFERROR(__xludf.DUMMYFUNCTION("""COMPUTED_VALUE"""),"AN #105")</f>
        <v>AN #105</v>
      </c>
      <c r="I902" t="str">
        <f>IFERROR(__xludf.DUMMYFUNCTION("""COMPUTED_VALUE"""),"Zach")</f>
        <v>Zach</v>
      </c>
      <c r="J902" t="str">
        <f>IFERROR(__xludf.DUMMYFUNCTION("""COMPUTED_VALUE"""),"Bayesian reward learning would allow for rigorous safety analysis when performing imitation learning. However, Bayesian reward learning methods are typically computationally expensive to use. This is because a separate MDP needs to be solved for each rewa"&amp;"rd hypothesis. The main contribution of this work is a proposal for a more efficient reward evaluation scheme called Bayesian REX (see also an &lt;@earlier version@&gt;(@Deep Bayesian Reward Learning from Preferences@)). It works by pre-training a low-dimension"&amp;"al feature encoding of the observation space which allows reward hypotheses to be evaluated as a linear combination over the learned features. Demonstrations are ranked using pair-wise preference which is relativistic and thus conceptually easier for a hu"&amp;"man to evaluate. Using this method, sampling and evaluating reward hypotheses is extremely fast: 100,000 samples in only 5 minutes using a PC. Moreover, Bayesian REX can be used to play Atari games by finding a most likely or mean reward hypothesis that b"&amp;"est explains the ranked preferences and then using that hypothesis as a reward function for the agent.")</f>
        <v>Bayesian reward learning would allow for rigorous safety analysis when performing imitation learning. However, Bayesian reward learning methods are typically computationally expensive to use. This is because a separate MDP needs to be solved for each reward hypothesis. The main contribution of this work is a proposal for a more efficient reward evaluation scheme called Bayesian REX (see also an &lt;@earlier version@&gt;(@Deep Bayesian Reward Learning from Preferences@)). It works by pre-training a low-dimensional feature encoding of the observation space which allows reward hypotheses to be evaluated as a linear combination over the learned features. Demonstrations are ranked using pair-wise preference which is relativistic and thus conceptually easier for a human to evaluate. Using this method, sampling and evaluating reward hypotheses is extremely fast: 100,000 samples in only 5 minutes using a PC. Moreover, Bayesian REX can be used to play Atari games by finding a most likely or mean reward hypothesis that best explains the ranked preferences and then using that hypothesis as a reward function for the agent.</v>
      </c>
      <c r="K902" t="str">
        <f>IFERROR(__xludf.DUMMYFUNCTION("""COMPUTED_VALUE"""),"It's worth emphasizing that this isn't quite a pure IRL method. They use preferences over demonstrations in addition to the demonstrations themselves and so they have more information than would be available in a pure IRL context. However, it’s also worth"&amp;" emphasizing that (as the authors show) pixel-level features make it difficult to use IRL or GAIL to learn an imitation policy, which means I wasn’t expecting a pure IRL approach to work here. Conceptually, what's interesting about the Bayesian approach i"&amp;"s that uncertainty in the reward distribution translates into confidence intervals on expected performance. This means that Bayesian REX is fairly robust to direct attempts at reward hacking due to the ability to directly measure overfitting to the reward"&amp;" function as high variance in the expected reward.")</f>
        <v>It's worth emphasizing that this isn't quite a pure IRL method. They use preferences over demonstrations in addition to the demonstrations themselves and so they have more information than would be available in a pure IRL context. However, it’s also worth emphasizing that (as the authors show) pixel-level features make it difficult to use IRL or GAIL to learn an imitation policy, which means I wasn’t expecting a pure IRL approach to work here. Conceptually, what's interesting about the Bayesian approach is that uncertainty in the reward distribution translates into confidence intervals on expected performance. This means that Bayesian REX is fairly robust to direct attempts at reward hacking due to the ability to directly measure overfitting to the reward function as high variance in the expected reward.</v>
      </c>
      <c r="L902" s="3" t="str">
        <f>IFERROR(__xludf.DUMMYFUNCTION("""COMPUTED_VALUE"""),"T-REX")</f>
        <v>T-REX</v>
      </c>
    </row>
    <row r="903">
      <c r="A903" t="str">
        <f>IFERROR(__xludf.DUMMYFUNCTION("""COMPUTED_VALUE"""),"Learning human intent")</f>
        <v>Learning human intent</v>
      </c>
      <c r="B903" t="str">
        <f>IFERROR(__xludf.DUMMYFUNCTION("""COMPUTED_VALUE"""),"")</f>
        <v/>
      </c>
      <c r="C903" s="3" t="str">
        <f>IFERROR(__xludf.DUMMYFUNCTION("""COMPUTED_VALUE"""),"Learning to Complement Humans")</f>
        <v>Learning to Complement Humans</v>
      </c>
      <c r="D903" t="str">
        <f>IFERROR(__xludf.DUMMYFUNCTION("""COMPUTED_VALUE"""),"Bryan Wilder, Eric Horvitz, Ece Kamar")</f>
        <v>Bryan Wilder, Eric Horvitz, Ece Kamar</v>
      </c>
      <c r="E903" t="str">
        <f>IFERROR(__xludf.DUMMYFUNCTION("""COMPUTED_VALUE"""),"arXiv")</f>
        <v>arXiv</v>
      </c>
      <c r="F903">
        <f>IFERROR(__xludf.DUMMYFUNCTION("""COMPUTED_VALUE"""),2020.0)</f>
        <v>2020</v>
      </c>
      <c r="H903" s="3" t="str">
        <f>IFERROR(__xludf.DUMMYFUNCTION("""COMPUTED_VALUE"""),"AN #101")</f>
        <v>AN #101</v>
      </c>
      <c r="I903" t="str">
        <f>IFERROR(__xludf.DUMMYFUNCTION("""COMPUTED_VALUE"""),"Rohin")</f>
        <v>Rohin</v>
      </c>
      <c r="J903" t="str">
        <f>IFERROR(__xludf.DUMMYFUNCTION("""COMPUTED_VALUE"""),"Many current AI systems aim to assist humans in complex tasks such as medical diagnoses. Given that AI systems have a very different range of capabilities than humans, there has been a lot of interest in detecting “hard” examples and showing them to human"&amp;"s. This paper demonstrates how this can be done in an end-to-end way.
The authors assume they have access to an augmented supervised learning dataset of triples (x, y, h), where x is the input, y is the label, and h is the human prediction. A traditional"&amp;" approach would be to first train a model to predict y given x, and then come up with a new algorithm or model to predict when you should ask the human instead of querying the model. In contrast, they create a single model that first decides whether to lo"&amp;"ok at h (for some fixed cost c), and then make a prediction given x (and h, if the model chose to look at it). They have two versions: a classic discriminative approach (very similar to e.g. image classifiers) and a decision-theoretic approach (where the "&amp;"model uses several probabilistic models and then calculates the value of information (VOI) of h to decide whether to query the human).
The end-to-end training confers two main benefits:
1. The models automatically learn to focus their learning capability"&amp;" on examples that are hard for humans.
2. The models ignore examples where they are going to ask a human anyway (rather than e.g. learning enough to make a 50% confident prediction).")</f>
        <v>Many current AI systems aim to assist humans in complex tasks such as medical diagnoses. Given that AI systems have a very different range of capabilities than humans, there has been a lot of interest in detecting “hard” examples and showing them to humans. This paper demonstrates how this can be done in an end-to-end way.
The authors assume they have access to an augmented supervised learning dataset of triples (x, y, h), where x is the input, y is the label, and h is the human prediction. A traditional approach would be to first train a model to predict y given x, and then come up with a new algorithm or model to predict when you should ask the human instead of querying the model. In contrast, they create a single model that first decides whether to look at h (for some fixed cost c), and then make a prediction given x (and h, if the model chose to look at it). They have two versions: a classic discriminative approach (very similar to e.g. image classifiers) and a decision-theoretic approach (where the model uses several probabilistic models and then calculates the value of information (VOI) of h to decide whether to query the human).
The end-to-end training confers two main benefits:
1. The models automatically learn to focus their learning capability on examples that are hard for humans.
2. The models ignore examples where they are going to ask a human anyway (rather than e.g. learning enough to make a 50% confident prediction).</v>
      </c>
      <c r="K903" t="str">
        <f>IFERROR(__xludf.DUMMYFUNCTION("""COMPUTED_VALUE"""),"This is a cool idea! Even if you only have a dataset with ground truth (x, y) pairs, you could assume that h = y, and while you wouldn’t get benefit 1, you would still get benefit 2 above. If you constructed your dataset by the common method of getting a "&amp;"bunch of human predictions and defining y to be the modal prediction, then you could automatically construct h by having it be the average across the human predictions, and get both benefits above.")</f>
        <v>This is a cool idea! Even if you only have a dataset with ground truth (x, y) pairs, you could assume that h = y, and while you wouldn’t get benefit 1, you would still get benefit 2 above. If you constructed your dataset by the common method of getting a bunch of human predictions and defining y to be the modal prediction, then you could automatically construct h by having it be the average across the human predictions, and get both benefits above.</v>
      </c>
    </row>
    <row r="904">
      <c r="A904" t="str">
        <f>IFERROR(__xludf.DUMMYFUNCTION("""COMPUTED_VALUE"""),"Learning human intent")</f>
        <v>Learning human intent</v>
      </c>
      <c r="B904" t="str">
        <f>IFERROR(__xludf.DUMMYFUNCTION("""COMPUTED_VALUE"""),"")</f>
        <v/>
      </c>
      <c r="C904" s="3" t="str">
        <f>IFERROR(__xludf.DUMMYFUNCTION("""COMPUTED_VALUE"""),"Showing versus doing: Teaching by demonstration")</f>
        <v>Showing versus doing: Teaching by demonstration</v>
      </c>
      <c r="D904" t="str">
        <f>IFERROR(__xludf.DUMMYFUNCTION("""COMPUTED_VALUE"""),"Mark K. Ho, Michael Littman, James MacGlashan, Fiery Cushman, Joseph L. Austerweil")</f>
        <v>Mark K. Ho, Michael Littman, James MacGlashan, Fiery Cushman, Joseph L. Austerweil</v>
      </c>
      <c r="E904" t="str">
        <f>IFERROR(__xludf.DUMMYFUNCTION("""COMPUTED_VALUE"""),"NIPS 2016")</f>
        <v>NIPS 2016</v>
      </c>
      <c r="F904">
        <f>IFERROR(__xludf.DUMMYFUNCTION("""COMPUTED_VALUE"""),2016.0)</f>
        <v>2016</v>
      </c>
      <c r="H904" s="3" t="str">
        <f>IFERROR(__xludf.DUMMYFUNCTION("""COMPUTED_VALUE"""),"AN #101")</f>
        <v>AN #101</v>
      </c>
      <c r="I904" t="str">
        <f>IFERROR(__xludf.DUMMYFUNCTION("""COMPUTED_VALUE"""),"Rohin")</f>
        <v>Rohin</v>
      </c>
      <c r="J904" t="str">
        <f>IFERROR(__xludf.DUMMYFUNCTION("""COMPUTED_VALUE"""),"This paper creates and validates a model of _pedagogy_ as applied to reward learning. Typically, inverse reinforcement learning (IRL) algorithms assume access to a set of demonstrations that are created from an approximately _optimal_ policy. However, in "&amp;"practice, when people are asked to _show_ a task, they don't give the optimal trajectory; they give the trajectory that helps the learner best _disambiguate_ between the possible tasks. They formalize this by creating a model in two steps:
1. A literal o"&amp;"r IRL robot is one which learns rewards under the model that the demonstrator is Boltzmann rational.
2. The pedagogic human shows trajectories in proportion to how likely a literal robot would think the true reward is upon seeing the trajectory.
They val"&amp;"idate this model with user studies and find that it predicts human demonstrations well.")</f>
        <v>This paper creates and validates a model of _pedagogy_ as applied to reward learning. Typically, inverse reinforcement learning (IRL) algorithms assume access to a set of demonstrations that are created from an approximately _optimal_ policy. However, in practice, when people are asked to _show_ a task, they don't give the optimal trajectory; they give the trajectory that helps the learner best _disambiguate_ between the possible tasks. They formalize this by creating a model in two steps:
1. A literal or IRL robot is one which learns rewards under the model that the demonstrator is Boltzmann rational.
2. The pedagogic human shows trajectories in proportion to how likely a literal robot would think the true reward is upon seeing the trajectory.
They validate this model with user studies and find that it predicts human demonstrations well.</v>
      </c>
      <c r="M904" t="str">
        <f>IFERROR(__xludf.DUMMYFUNCTION("""COMPUTED_VALUE"""),"&lt;@Literal or Pedagogic Human? Analyzing Human Model Misspecification in Objective Learning@&gt;")</f>
        <v>&lt;@Literal or Pedagogic Human? Analyzing Human Model Misspecification in Objective Learning@&gt;</v>
      </c>
    </row>
    <row r="905">
      <c r="A905" t="str">
        <f>IFERROR(__xludf.DUMMYFUNCTION("""COMPUTED_VALUE"""),"Learning human intent")</f>
        <v>Learning human intent</v>
      </c>
      <c r="B905" t="str">
        <f>IFERROR(__xludf.DUMMYFUNCTION("""COMPUTED_VALUE"""),"")</f>
        <v/>
      </c>
      <c r="C905" s="3" t="str">
        <f>IFERROR(__xludf.DUMMYFUNCTION("""COMPUTED_VALUE"""),"Active Reward Learning")</f>
        <v>Active Reward Learning</v>
      </c>
      <c r="D905" t="str">
        <f>IFERROR(__xludf.DUMMYFUNCTION("""COMPUTED_VALUE"""),"Christian Daniel, Malte Viering, Jan Metz, Oliver Kroemer, Jan Peters
")</f>
        <v>Christian Daniel, Malte Viering, Jan Metz, Oliver Kroemer, Jan Peters
</v>
      </c>
      <c r="E905" t="str">
        <f>IFERROR(__xludf.DUMMYFUNCTION("""COMPUTED_VALUE"""),"RSS 2014")</f>
        <v>RSS 2014</v>
      </c>
      <c r="F905">
        <f>IFERROR(__xludf.DUMMYFUNCTION("""COMPUTED_VALUE"""),2014.0)</f>
        <v>2014</v>
      </c>
      <c r="H905" s="3" t="str">
        <f>IFERROR(__xludf.DUMMYFUNCTION("""COMPUTED_VALUE"""),"Recon #5")</f>
        <v>Recon #5</v>
      </c>
      <c r="I905" t="str">
        <f>IFERROR(__xludf.DUMMYFUNCTION("""COMPUTED_VALUE"""),"Rohin")</f>
        <v>Rohin</v>
      </c>
      <c r="J905" t="str">
        <f>IFERROR(__xludf.DUMMYFUNCTION("""COMPUTED_VALUE"""),"Reward learning on continuous control tasks, when using Relative Entropy Policy Search (REPS) for the policy. (This paper is from 2014, before deep learning was applied to robotics tasks.) Their setup is similar to deep RL from human preferences, where th"&amp;"ey have a reward predictor, which they then use to train a policy, which then generates trajectories and sends it back to the reward predictor. The reward predictor chooses a few trajectories and asks the expert about them; the expert provides a rating (a"&amp;" number), not a preference. This is then used to update the reward predictor.")</f>
        <v>Reward learning on continuous control tasks, when using Relative Entropy Policy Search (REPS) for the policy. (This paper is from 2014, before deep learning was applied to robotics tasks.) Their setup is similar to deep RL from human preferences, where they have a reward predictor, which they then use to train a policy, which then generates trajectories and sends it back to the reward predictor. The reward predictor chooses a few trajectories and asks the expert about them; the expert provides a rating (a number), not a preference. This is then used to update the reward predictor.</v>
      </c>
      <c r="K905" t="str">
        <f>IFERROR(__xludf.DUMMYFUNCTION("""COMPUTED_VALUE"""),"It's another example to compare to deep RL from human preferences.")</f>
        <v>It's another example to compare to deep RL from human preferences.</v>
      </c>
      <c r="M905" s="3" t="str">
        <f>IFERROR(__xludf.DUMMYFUNCTION("""COMPUTED_VALUE"""),"Deep Reinforcement Learning from Human Preferences")</f>
        <v>Deep Reinforcement Learning from Human Preferences</v>
      </c>
    </row>
    <row r="906">
      <c r="A906" t="str">
        <f>IFERROR(__xludf.DUMMYFUNCTION("""COMPUTED_VALUE"""),"Learning human intent")</f>
        <v>Learning human intent</v>
      </c>
      <c r="B906" t="str">
        <f>IFERROR(__xludf.DUMMYFUNCTION("""COMPUTED_VALUE"""),"")</f>
        <v/>
      </c>
      <c r="C906" s="3" t="str">
        <f>IFERROR(__xludf.DUMMYFUNCTION("""COMPUTED_VALUE"""),"Active Preference-Based Learning of Reward Functions")</f>
        <v>Active Preference-Based Learning of Reward Functions</v>
      </c>
      <c r="D906" t="str">
        <f>IFERROR(__xludf.DUMMYFUNCTION("""COMPUTED_VALUE"""),"Dorsa Sadigh, Anca D. Dragan, Shankar Sastry, and Sanjit A. Seshia")</f>
        <v>Dorsa Sadigh, Anca D. Dragan, Shankar Sastry, and Sanjit A. Seshia</v>
      </c>
      <c r="E906" t="str">
        <f>IFERROR(__xludf.DUMMYFUNCTION("""COMPUTED_VALUE"""),"RSS 2017")</f>
        <v>RSS 2017</v>
      </c>
      <c r="F906">
        <f>IFERROR(__xludf.DUMMYFUNCTION("""COMPUTED_VALUE"""),2017.0)</f>
        <v>2017</v>
      </c>
      <c r="H906" s="3" t="str">
        <f>IFERROR(__xludf.DUMMYFUNCTION("""COMPUTED_VALUE"""),"Recon #5")</f>
        <v>Recon #5</v>
      </c>
      <c r="I906" t="str">
        <f>IFERROR(__xludf.DUMMYFUNCTION("""COMPUTED_VALUE"""),"Rohin")</f>
        <v>Rohin</v>
      </c>
      <c r="J906" t="str">
        <f>IFERROR(__xludf.DUMMYFUNCTION("""COMPUTED_VALUE"""),"In a continuous, dynamical system such as an autonomous car, how can we learn good behavior without hardcoding a reward function? It may be too hard to get demonstrations (humans could only show how they drive a car, not how they want the car to drive). T"&amp;"he authors propose presenting the human with two trajectories and asking her to choose which one is better, and using this information to infer the reward.")</f>
        <v>In a continuous, dynamical system such as an autonomous car, how can we learn good behavior without hardcoding a reward function? It may be too hard to get demonstrations (humans could only show how they drive a car, not how they want the car to drive). The authors propose presenting the human with two trajectories and asking her to choose which one is better, and using this information to infer the reward.</v>
      </c>
      <c r="K906" t="str">
        <f>IFERROR(__xludf.DUMMYFUNCTION("""COMPUTED_VALUE"""),"This paper is a good example of reward learning, and it's interesting to compare and contrast this more principled method to Deep RL from Human Preferences. For example, while they maintain a distribution over rewards and choose the most useful query, dee"&amp;"p RL from human preferences works with higher-dimensional reward functions where this would be too expensive, and so they instead train an ensemble of reward predictors and use disagreement between the reward predictors as a measurement of uncertainty.")</f>
        <v>This paper is a good example of reward learning, and it's interesting to compare and contrast this more principled method to Deep RL from Human Preferences. For example, while they maintain a distribution over rewards and choose the most useful query, deep RL from human preferences works with higher-dimensional reward functions where this would be too expensive, and so they instead train an ensemble of reward predictors and use disagreement between the reward predictors as a measurement of uncertainty.</v>
      </c>
      <c r="M906" s="3" t="str">
        <f>IFERROR(__xludf.DUMMYFUNCTION("""COMPUTED_VALUE"""),"Deep Reinforcement Learning from Human Preferences")</f>
        <v>Deep Reinforcement Learning from Human Preferences</v>
      </c>
    </row>
    <row r="907">
      <c r="A907" t="str">
        <f>IFERROR(__xludf.DUMMYFUNCTION("""COMPUTED_VALUE"""),"Learning human intent")</f>
        <v>Learning human intent</v>
      </c>
      <c r="B907" t="str">
        <f>IFERROR(__xludf.DUMMYFUNCTION("""COMPUTED_VALUE"""),"")</f>
        <v/>
      </c>
      <c r="C907" s="3" t="str">
        <f>IFERROR(__xludf.DUMMYFUNCTION("""COMPUTED_VALUE"""),"Machine Theory of Mind")</f>
        <v>Machine Theory of Mind</v>
      </c>
      <c r="D907" t="str">
        <f>IFERROR(__xludf.DUMMYFUNCTION("""COMPUTED_VALUE"""),"Neil C. Rabinowitz, Frank Perbet, H. Francis Song, Chiyuan Zhang, S.M. Ali Eslami, Matthew Botvinick")</f>
        <v>Neil C. Rabinowitz, Frank Perbet, H. Francis Song, Chiyuan Zhang, S.M. Ali Eslami, Matthew Botvinick</v>
      </c>
      <c r="E907" t="str">
        <f>IFERROR(__xludf.DUMMYFUNCTION("""COMPUTED_VALUE"""),"arXiv")</f>
        <v>arXiv</v>
      </c>
      <c r="F907">
        <f>IFERROR(__xludf.DUMMYFUNCTION("""COMPUTED_VALUE"""),2018.0)</f>
        <v>2018</v>
      </c>
      <c r="H907" s="3" t="str">
        <f>IFERROR(__xludf.DUMMYFUNCTION("""COMPUTED_VALUE"""),"Recon #4")</f>
        <v>Recon #4</v>
      </c>
      <c r="I907" t="str">
        <f>IFERROR(__xludf.DUMMYFUNCTION("""COMPUTED_VALUE"""),"Rohin")</f>
        <v>Rohin</v>
      </c>
    </row>
    <row r="908">
      <c r="A908" t="str">
        <f>IFERROR(__xludf.DUMMYFUNCTION("""COMPUTED_VALUE"""),"Learning human intent")</f>
        <v>Learning human intent</v>
      </c>
      <c r="B908" t="str">
        <f>IFERROR(__xludf.DUMMYFUNCTION("""COMPUTED_VALUE"""),"")</f>
        <v/>
      </c>
      <c r="C908" s="3" t="str">
        <f>IFERROR(__xludf.DUMMYFUNCTION("""COMPUTED_VALUE"""),"Policy Shaping: Integrating Human Feedback with Reinforcement Learning")</f>
        <v>Policy Shaping: Integrating Human Feedback with Reinforcement Learning</v>
      </c>
      <c r="D908" t="str">
        <f>IFERROR(__xludf.DUMMYFUNCTION("""COMPUTED_VALUE"""),"Shane Griffith, Kaushik Subramanian, Jonathan Scholz, Charles L. Isbell and  Andrea L. Thomaz")</f>
        <v>Shane Griffith, Kaushik Subramanian, Jonathan Scholz, Charles L. Isbell and  Andrea L. Thomaz</v>
      </c>
      <c r="E908" t="str">
        <f>IFERROR(__xludf.DUMMYFUNCTION("""COMPUTED_VALUE"""),"NIPS 2013")</f>
        <v>NIPS 2013</v>
      </c>
      <c r="F908">
        <f>IFERROR(__xludf.DUMMYFUNCTION("""COMPUTED_VALUE"""),2013.0)</f>
        <v>2013</v>
      </c>
      <c r="H908" t="str">
        <f>IFERROR(__xludf.DUMMYFUNCTION("""COMPUTED_VALUE"""),"N/A")</f>
        <v>N/A</v>
      </c>
    </row>
    <row r="909">
      <c r="A909" t="str">
        <f>IFERROR(__xludf.DUMMYFUNCTION("""COMPUTED_VALUE"""),"Learning human intent")</f>
        <v>Learning human intent</v>
      </c>
      <c r="B909" t="str">
        <f>IFERROR(__xludf.DUMMYFUNCTION("""COMPUTED_VALUE"""),"")</f>
        <v/>
      </c>
      <c r="C909" s="3" t="str">
        <f>IFERROR(__xludf.DUMMYFUNCTION("""COMPUTED_VALUE"""),"Imitation Learning via Off-Policy Distribution Matching")</f>
        <v>Imitation Learning via Off-Policy Distribution Matching</v>
      </c>
      <c r="D909" t="str">
        <f>IFERROR(__xludf.DUMMYFUNCTION("""COMPUTED_VALUE"""),"Ilya Kostrikov, Ofir Nachum, Jonathan Tompson")</f>
        <v>Ilya Kostrikov, Ofir Nachum, Jonathan Tompson</v>
      </c>
      <c r="E909" t="str">
        <f>IFERROR(__xludf.DUMMYFUNCTION("""COMPUTED_VALUE"""),"ICLR 2020")</f>
        <v>ICLR 2020</v>
      </c>
      <c r="F909">
        <f>IFERROR(__xludf.DUMMYFUNCTION("""COMPUTED_VALUE"""),2020.0)</f>
        <v>2020</v>
      </c>
      <c r="H909" s="3" t="str">
        <f>IFERROR(__xludf.DUMMYFUNCTION("""COMPUTED_VALUE"""),"AN #98")</f>
        <v>AN #98</v>
      </c>
      <c r="I909" t="str">
        <f>IFERROR(__xludf.DUMMYFUNCTION("""COMPUTED_VALUE"""),"Zach")</f>
        <v>Zach</v>
      </c>
      <c r="J909" t="str">
        <f>IFERROR(__xludf.DUMMYFUNCTION("""COMPUTED_VALUE"""),"One way to view imitation learning is as a distribution matching problem. In other words, the agent is rewarded based on how well it can imitate the state-distribution induced by the expert. In recent years, distribution matching via adversarial methods s"&amp;"uch as GAIL has become a popular approach to imitation learning. However, one weakness of these methods is that they require on-policy samples which means they require the agent to interact with the environment. In this paper, the authors present an off-p"&amp;"olicy method for distribution matching which can work without environment interaction. They do this by building on the prior work of DualDICE, a policy-agnostic method to estimate distribution ratios between agent and expert which can then be used to prov"&amp;"ide a reward to the agent. This allows the optimal policy to be estimated directly from demonstrations without any need for agent interaction. The authors run a few experiments and show that the method has comparable performance to behavioral cloning in t"&amp;"he off-policy setting and adversarial methods in the on-policy setting.")</f>
        <v>One way to view imitation learning is as a distribution matching problem. In other words, the agent is rewarded based on how well it can imitate the state-distribution induced by the expert. In recent years, distribution matching via adversarial methods such as GAIL has become a popular approach to imitation learning. However, one weakness of these methods is that they require on-policy samples which means they require the agent to interact with the environment. In this paper, the authors present an off-policy method for distribution matching which can work without environment interaction. They do this by building on the prior work of DualDICE, a policy-agnostic method to estimate distribution ratios between agent and expert which can then be used to provide a reward to the agent. This allows the optimal policy to be estimated directly from demonstrations without any need for agent interaction. The authors run a few experiments and show that the method has comparable performance to behavioral cloning in the off-policy setting and adversarial methods in the on-policy setting.</v>
      </c>
      <c r="K909" t="str">
        <f>IFERROR(__xludf.DUMMYFUNCTION("""COMPUTED_VALUE"""),"This is a cool application of density-estimation via DualDICE. While the experiments are a bit weak, the fact that an off-policy method exists to do distribution-matching is interesting in its own right. Moreover, the method seems able to compete with bot"&amp;"h BC and GAIL-like methods which is intriguing.")</f>
        <v>This is a cool application of density-estimation via DualDICE. While the experiments are a bit weak, the fact that an off-policy method exists to do distribution-matching is interesting in its own right. Moreover, the method seems able to compete with both BC and GAIL-like methods which is intriguing.</v>
      </c>
      <c r="L909" s="3" t="str">
        <f>IFERROR(__xludf.DUMMYFUNCTION("""COMPUTED_VALUE"""),"DualDICE")</f>
        <v>DualDICE</v>
      </c>
      <c r="M909" s="3" t="str">
        <f>IFERROR(__xludf.DUMMYFUNCTION("""COMPUTED_VALUE"""),"GAIL")</f>
        <v>GAIL</v>
      </c>
    </row>
    <row r="910">
      <c r="A910" t="str">
        <f>IFERROR(__xludf.DUMMYFUNCTION("""COMPUTED_VALUE"""),"Learning human intent")</f>
        <v>Learning human intent</v>
      </c>
      <c r="B910" t="str">
        <f>IFERROR(__xludf.DUMMYFUNCTION("""COMPUTED_VALUE"""),"")</f>
        <v/>
      </c>
      <c r="C910" s="3" t="str">
        <f>IFERROR(__xludf.DUMMYFUNCTION("""COMPUTED_VALUE"""),"State-only Imitation with Transition Dynamics Mismatch")</f>
        <v>State-only Imitation with Transition Dynamics Mismatch</v>
      </c>
      <c r="D910" t="str">
        <f>IFERROR(__xludf.DUMMYFUNCTION("""COMPUTED_VALUE"""),"Tanmay Gangwani, Jian Peng")</f>
        <v>Tanmay Gangwani, Jian Peng</v>
      </c>
      <c r="E910" t="str">
        <f>IFERROR(__xludf.DUMMYFUNCTION("""COMPUTED_VALUE"""),"ICLR 2020")</f>
        <v>ICLR 2020</v>
      </c>
      <c r="F910">
        <f>IFERROR(__xludf.DUMMYFUNCTION("""COMPUTED_VALUE"""),2020.0)</f>
        <v>2020</v>
      </c>
      <c r="H910" s="3" t="str">
        <f>IFERROR(__xludf.DUMMYFUNCTION("""COMPUTED_VALUE"""),"AN #94")</f>
        <v>AN #94</v>
      </c>
      <c r="I910" t="str">
        <f>IFERROR(__xludf.DUMMYFUNCTION("""COMPUTED_VALUE"""),"Zach")</f>
        <v>Zach</v>
      </c>
      <c r="J910" t="str">
        <f>IFERROR(__xludf.DUMMYFUNCTION("""COMPUTED_VALUE"""),"Most existing imitation learning algorithms rely on the availability of expert demonstrations that come from the *same* MDP as the one the imitator will be evaluated in. With the advent of &lt;@adversarial inverse reinforcement learning (AIRL)@&gt;(@Learning Ro"&amp;"bust Rewards with Adversarial Inverse Reinforcement Learning@), it has become possible to learn general behaviors. However, algorithms such as &lt;@GAIL@&gt;(@Generative Adversarial Imitation Learning@) are capable of learning with just state-information, somet"&amp;"hing that AIRL was not designed for. In this paper, the authors introduce indirect-imitation learning (I2L) to try and merge the benefits of both GAIL and AIRL. The basic sketch of the algorithm is to first use a generalization of AIRL to imitate demonstr"&amp;"ations via a buffer distribution and then focus on moving that buffer closer to the expert's demonstration distribution using a Wasserstein critic, a smoother way to train GAN networks. By combining these two approaches, agents trained with I2L learn how "&amp;"to control Ant in regular gravity and can *generalize* to perform in simulations with differing parameters for gravity. For the suite of Gym continuous domains, they show consistent advantages for I2L over other algorithms such as GAIL, BCO, and AIRL when"&amp;" parameters such as friction, density, and gravity are changed. ")</f>
        <v>Most existing imitation learning algorithms rely on the availability of expert demonstrations that come from the *same* MDP as the one the imitator will be evaluated in. With the advent of &lt;@adversarial inverse reinforcement learning (AIRL)@&gt;(@Learning Robust Rewards with Adversarial Inverse Reinforcement Learning@), it has become possible to learn general behaviors. However, algorithms such as &lt;@GAIL@&gt;(@Generative Adversarial Imitation Learning@) are capable of learning with just state-information, something that AIRL was not designed for. In this paper, the authors introduce indirect-imitation learning (I2L) to try and merge the benefits of both GAIL and AIRL. The basic sketch of the algorithm is to first use a generalization of AIRL to imitate demonstrations via a buffer distribution and then focus on moving that buffer closer to the expert's demonstration distribution using a Wasserstein critic, a smoother way to train GAN networks. By combining these two approaches, agents trained with I2L learn how to control Ant in regular gravity and can *generalize* to perform in simulations with differing parameters for gravity. For the suite of Gym continuous domains, they show consistent advantages for I2L over other algorithms such as GAIL, BCO, and AIRL when parameters such as friction, density, and gravity are changed. </v>
      </c>
      <c r="K910" t="str">
        <f>IFERROR(__xludf.DUMMYFUNCTION("""COMPUTED_VALUE"""),"The main contribution in this paper seems to be deriving a new bound so that AIRL can handle state-only imitation learning. The use of indirection via a buffer is also interesting and seems to be a good idea to provide stability in training. However, they"&amp;" did not do an ablation. Overall, it's aesthetically interesting that this paper is borrowing tricks, such as buffering and Wasserstein critic. Finally, the results seem promising, particularly for the sim-to-real problem. It would be interesting to see a"&amp;" follow-up to gauge whether or not I2L can help bridge this gap.")</f>
        <v>The main contribution in this paper seems to be deriving a new bound so that AIRL can handle state-only imitation learning. The use of indirection via a buffer is also interesting and seems to be a good idea to provide stability in training. However, they did not do an ablation. Overall, it's aesthetically interesting that this paper is borrowing tricks, such as buffering and Wasserstein critic. Finally, the results seem promising, particularly for the sim-to-real problem. It would be interesting to see a follow-up to gauge whether or not I2L can help bridge this gap.</v>
      </c>
      <c r="L910" s="3" t="str">
        <f>IFERROR(__xludf.DUMMYFUNCTION("""COMPUTED_VALUE"""),"Wasserstein GAN")</f>
        <v>Wasserstein GAN</v>
      </c>
      <c r="M910" s="3" t="str">
        <f>IFERROR(__xludf.DUMMYFUNCTION("""COMPUTED_VALUE"""),"Paper: Learning Robust Rewards With Adversarial Inverse Reinforcement Learning")</f>
        <v>Paper: Learning Robust Rewards With Adversarial Inverse Reinforcement Learning</v>
      </c>
    </row>
    <row r="911">
      <c r="A911" t="str">
        <f>IFERROR(__xludf.DUMMYFUNCTION("""COMPUTED_VALUE"""),"Learning human intent")</f>
        <v>Learning human intent</v>
      </c>
      <c r="B911" t="str">
        <f>IFERROR(__xludf.DUMMYFUNCTION("""COMPUTED_VALUE"""),"")</f>
        <v/>
      </c>
      <c r="C911" s="3" t="str">
        <f>IFERROR(__xludf.DUMMYFUNCTION("""COMPUTED_VALUE"""),"The MineRL Competition on Sample-Efficient Reinforcement Learning Using Human Priors: A Retrospective")</f>
        <v>The MineRL Competition on Sample-Efficient Reinforcement Learning Using Human Priors: A Retrospective</v>
      </c>
      <c r="D911" t="str">
        <f>IFERROR(__xludf.DUMMYFUNCTION("""COMPUTED_VALUE"""),"Stephanie Milani, Nicholay Topin, Brandon Houghton, William H. Guss, Sharada P. Mohanty, Oriol Vinyals, Noboru Sean Kuno")</f>
        <v>Stephanie Milani, Nicholay Topin, Brandon Houghton, William H. Guss, Sharada P. Mohanty, Oriol Vinyals, Noboru Sean Kuno</v>
      </c>
      <c r="E911" t="str">
        <f>IFERROR(__xludf.DUMMYFUNCTION("""COMPUTED_VALUE"""),"arXiv")</f>
        <v>arXiv</v>
      </c>
      <c r="F911">
        <f>IFERROR(__xludf.DUMMYFUNCTION("""COMPUTED_VALUE"""),2020.0)</f>
        <v>2020</v>
      </c>
      <c r="H911" s="3" t="str">
        <f>IFERROR(__xludf.DUMMYFUNCTION("""COMPUTED_VALUE"""),"AN #94")</f>
        <v>AN #94</v>
      </c>
      <c r="I911" t="str">
        <f>IFERROR(__xludf.DUMMYFUNCTION("""COMPUTED_VALUE"""),"Rohin")</f>
        <v>Rohin</v>
      </c>
      <c r="J911" t="str">
        <f>IFERROR(__xludf.DUMMYFUNCTION("""COMPUTED_VALUE"""),"This paper reports on the results of the &lt;@MineRL competition@&gt;(@NeurIPS 2019 Competition: The MineRL Competition on Sample Efficient Reinforcement Learning using Human Priors@), in which participants had to train agents to obtain a diamond in Minecraft u"&amp;"sing a limited amount of compute, environment interactions, and human demonstrations. While no team achieved this task, one team did make it to the penultimate milestone: obtaining an iron pickaxe.
The top nine teams all used some form of action reductio"&amp;"n: that is, they constrained their agents to only take a subset of all available actions, shaping the space in which the agent had to learn and explore. The top four teams all used some form of hierarchy in order to learn longer ""options"" that could the"&amp;"n be selected from. The second place team used pure imitation learning (and so required _no_ environment interactions), while the eighth and ninth place teams used pure reinforcement learning (and so required _no_ human demonstrations).")</f>
        <v>This paper reports on the results of the &lt;@MineRL competition@&gt;(@NeurIPS 2019 Competition: The MineRL Competition on Sample Efficient Reinforcement Learning using Human Priors@), in which participants had to train agents to obtain a diamond in Minecraft using a limited amount of compute, environment interactions, and human demonstrations. While no team achieved this task, one team did make it to the penultimate milestone: obtaining an iron pickaxe.
The top nine teams all used some form of action reduction: that is, they constrained their agents to only take a subset of all available actions, shaping the space in which the agent had to learn and explore. The top four teams all used some form of hierarchy in order to learn longer "options" that could then be selected from. The second place team used pure imitation learning (and so required _no_ environment interactions), while the eighth and ninth place teams used pure reinforcement learning (and so required _no_ human demonstrations).</v>
      </c>
      <c r="K911" t="str">
        <f>IFERROR(__xludf.DUMMYFUNCTION("""COMPUTED_VALUE"""),"I was surprised to see pure RL solutions rank in the leaderboard, given the limitations on compute and environment interactions. Notably though, while the second place team (pure imitation) got 42.41 points, the eighth place team (pure RL) only got 8.25 p"&amp;"oints.
More generally, I was excited to see an actual benchmark for techniques using human demonstrations: so far there hasn't been a good evaluation of such techniques. It does seem like Minecraft benefits a lot from hierarchy and action pruning, which "&amp;"we may not care about when evaluating algorithms.")</f>
        <v>I was surprised to see pure RL solutions rank in the leaderboard, given the limitations on compute and environment interactions. Notably though, while the second place team (pure imitation) got 42.41 points, the eighth place team (pure RL) only got 8.25 points.
More generally, I was excited to see an actual benchmark for techniques using human demonstrations: so far there hasn't been a good evaluation of such techniques. It does seem like Minecraft benefits a lot from hierarchy and action pruning, which we may not care about when evaluating algorithms.</v>
      </c>
    </row>
    <row r="912">
      <c r="A912" t="str">
        <f>IFERROR(__xludf.DUMMYFUNCTION("""COMPUTED_VALUE"""),"Learning human intent")</f>
        <v>Learning human intent</v>
      </c>
      <c r="B912" t="str">
        <f>IFERROR(__xludf.DUMMYFUNCTION("""COMPUTED_VALUE"""),"")</f>
        <v/>
      </c>
      <c r="C912" s="3" t="str">
        <f>IFERROR(__xludf.DUMMYFUNCTION("""COMPUTED_VALUE"""),"Learning Safe Policies with Expert Guidance")</f>
        <v>Learning Safe Policies with Expert Guidance</v>
      </c>
      <c r="D912" t="str">
        <f>IFERROR(__xludf.DUMMYFUNCTION("""COMPUTED_VALUE"""),"Jessie Huang, Fa Wu, Doina Precup, Yang Cai")</f>
        <v>Jessie Huang, Fa Wu, Doina Precup, Yang Cai</v>
      </c>
      <c r="E912" t="str">
        <f>IFERROR(__xludf.DUMMYFUNCTION("""COMPUTED_VALUE"""),"arXiv")</f>
        <v>arXiv</v>
      </c>
      <c r="F912">
        <f>IFERROR(__xludf.DUMMYFUNCTION("""COMPUTED_VALUE"""),2018.0)</f>
        <v>2018</v>
      </c>
      <c r="H912" s="3" t="str">
        <f>IFERROR(__xludf.DUMMYFUNCTION("""COMPUTED_VALUE"""),"AN #9")</f>
        <v>AN #9</v>
      </c>
      <c r="I912" t="str">
        <f>IFERROR(__xludf.DUMMYFUNCTION("""COMPUTED_VALUE"""),"Rohin")</f>
        <v>Rohin</v>
      </c>
      <c r="J912" t="str">
        <f>IFERROR(__xludf.DUMMYFUNCTION("""COMPUTED_VALUE"""),"Expert demonstrations can be consistent with many possible reward functions. Instead of simply trying to mimic the demonstration, the authors consider all possible rewards that are consistent with the demonstration, and then maximize the worst reward, lea"&amp;"ding to safe behavior.")</f>
        <v>Expert demonstrations can be consistent with many possible reward functions. Instead of simply trying to mimic the demonstration, the authors consider all possible rewards that are consistent with the demonstration, and then maximize the worst reward, leading to safe behavior.</v>
      </c>
      <c r="K912" t="str">
        <f>IFERROR(__xludf.DUMMYFUNCTION("""COMPUTED_VALUE"""),"This is very related to [Inverse Reward Design](https://arxiv.org/abs/1711.02827), where instead of maxmin planning we use risk-averse planning, and instead of considering all rewards compatible with an expert demonstration we consider all reward function"&amp;"s that are probable based on which reward function the designer wrote down.")</f>
        <v>This is very related to [Inverse Reward Design](https://arxiv.org/abs/1711.02827), where instead of maxmin planning we use risk-averse planning, and instead of considering all rewards compatible with an expert demonstration we consider all reward functions that are probable based on which reward function the designer wrote down.</v>
      </c>
    </row>
    <row r="913">
      <c r="A913" t="str">
        <f>IFERROR(__xludf.DUMMYFUNCTION("""COMPUTED_VALUE"""),"Learning human intent")</f>
        <v>Learning human intent</v>
      </c>
      <c r="B913" t="str">
        <f>IFERROR(__xludf.DUMMYFUNCTION("""COMPUTED_VALUE"""),"")</f>
        <v/>
      </c>
      <c r="C913" s="3" t="str">
        <f>IFERROR(__xludf.DUMMYFUNCTION("""COMPUTED_VALUE"""),"Goal-conditioned Imitation Learning")</f>
        <v>Goal-conditioned Imitation Learning</v>
      </c>
      <c r="D913" t="str">
        <f>IFERROR(__xludf.DUMMYFUNCTION("""COMPUTED_VALUE"""),"Yiming Ding*, Carlos Florensa*, Mariano Phielipp, Pieter Abbeel")</f>
        <v>Yiming Ding*, Carlos Florensa*, Mariano Phielipp, Pieter Abbeel</v>
      </c>
      <c r="E913" t="str">
        <f>IFERROR(__xludf.DUMMYFUNCTION("""COMPUTED_VALUE"""),"NeurIPS 2019")</f>
        <v>NeurIPS 2019</v>
      </c>
      <c r="F913">
        <f>IFERROR(__xludf.DUMMYFUNCTION("""COMPUTED_VALUE"""),2019.0)</f>
        <v>2019</v>
      </c>
      <c r="H913" s="3" t="str">
        <f>IFERROR(__xludf.DUMMYFUNCTION("""COMPUTED_VALUE"""),"AN #89")</f>
        <v>AN #89</v>
      </c>
      <c r="I913" t="str">
        <f>IFERROR(__xludf.DUMMYFUNCTION("""COMPUTED_VALUE"""),"Zach")</f>
        <v>Zach</v>
      </c>
      <c r="J913" t="str">
        <f>IFERROR(__xludf.DUMMYFUNCTION("""COMPUTED_VALUE"""),"Goal-conditioned tasks are objectives that can be specified at the start of an episode. Specifically, the objective is set to encourage the agent to reach an arbitrary state in the environment. **This paper investigates using goal-conditioning to improve "&amp;"the performance of imitation learning algorithms.** The authors build off of prior work into Hindsight-Experience Replay (HER), a method that allows standard RL algorithms to learn from failure by relabeling final states as goal states. One drawback of HE"&amp;"R is that the search process is breadth-first since we won't know which search directions are useful before we encounter the true goal state. This can complicate exploration. On the other hand, when we have access to expert demonstrations, such as in imit"&amp;"ation learning, we can generally avoid breadth-first search and instead focus on copying the demonstrations using a method such as generative adversarial imitation learning (GAIL). However, with GAIL we evaluate entire agent trajectories as either similar"&amp;"/dissimilar from the expert demonstration. Yet, it's also true that we could view different points along the trajectory as sub-goals which greatly augment the demonstration data-set. Using this insight, the authors extend goal-conditioning to the imitatio"&amp;"n learning setting. The authors test their goal-conditioned algorithm on a variety of basic manipulation tasks and show that with the goal relabeling the task is learned faster and at a higher quality than with other approaches such as GAIL or HER. ")</f>
        <v>Goal-conditioned tasks are objectives that can be specified at the start of an episode. Specifically, the objective is set to encourage the agent to reach an arbitrary state in the environment. **This paper investigates using goal-conditioning to improve the performance of imitation learning algorithms.** The authors build off of prior work into Hindsight-Experience Replay (HER), a method that allows standard RL algorithms to learn from failure by relabeling final states as goal states. One drawback of HER is that the search process is breadth-first since we won't know which search directions are useful before we encounter the true goal state. This can complicate exploration. On the other hand, when we have access to expert demonstrations, such as in imitation learning, we can generally avoid breadth-first search and instead focus on copying the demonstrations using a method such as generative adversarial imitation learning (GAIL). However, with GAIL we evaluate entire agent trajectories as either similar/dissimilar from the expert demonstration. Yet, it's also true that we could view different points along the trajectory as sub-goals which greatly augment the demonstration data-set. Using this insight, the authors extend goal-conditioning to the imitation learning setting. The authors test their goal-conditioned algorithm on a variety of basic manipulation tasks and show that with the goal relabeling the task is learned faster and at a higher quality than with other approaches such as GAIL or HER. </v>
      </c>
      <c r="K913" t="str">
        <f>IFERROR(__xludf.DUMMYFUNCTION("""COMPUTED_VALUE"""),"The basic idea of augmenting demonstration data by relabeling the goal is clever. While I understood HER suffered from being a breadth-first search algorithm, I hadn't considered the possibility that GAIL might be limited to only extracting direct informa"&amp;"tion from the demonstrations. Generalizing GAIL so that it can reach arbitrary states allows for a smooth transition between learning from demonstrations and achieving the desired outcome. ")</f>
        <v>The basic idea of augmenting demonstration data by relabeling the goal is clever. While I understood HER suffered from being a breadth-first search algorithm, I hadn't considered the possibility that GAIL might be limited to only extracting direct information from the demonstrations. Generalizing GAIL so that it can reach arbitrary states allows for a smooth transition between learning from demonstrations and achieving the desired outcome. </v>
      </c>
    </row>
    <row r="914">
      <c r="A914" t="str">
        <f>IFERROR(__xludf.DUMMYFUNCTION("""COMPUTED_VALUE"""),"Learning human intent")</f>
        <v>Learning human intent</v>
      </c>
      <c r="B914" t="str">
        <f>IFERROR(__xludf.DUMMYFUNCTION("""COMPUTED_VALUE"""),"")</f>
        <v/>
      </c>
      <c r="C914" s="3" t="str">
        <f>IFERROR(__xludf.DUMMYFUNCTION("""COMPUTED_VALUE"""),"The two-layer model of human values, and problems with synthesizing preferences")</f>
        <v>The two-layer model of human values, and problems with synthesizing preferences</v>
      </c>
      <c r="D914" t="str">
        <f>IFERROR(__xludf.DUMMYFUNCTION("""COMPUTED_VALUE"""),"Kaj Sotala")</f>
        <v>Kaj Sotala</v>
      </c>
      <c r="E914" t="str">
        <f>IFERROR(__xludf.DUMMYFUNCTION("""COMPUTED_VALUE"""),"LessWrong")</f>
        <v>LessWrong</v>
      </c>
      <c r="F914">
        <f>IFERROR(__xludf.DUMMYFUNCTION("""COMPUTED_VALUE"""),2020.0)</f>
        <v>2020</v>
      </c>
      <c r="H914" s="3" t="str">
        <f>IFERROR(__xludf.DUMMYFUNCTION("""COMPUTED_VALUE"""),"AN #89")</f>
        <v>AN #89</v>
      </c>
      <c r="I914" t="str">
        <f>IFERROR(__xludf.DUMMYFUNCTION("""COMPUTED_VALUE"""),"Rohin")</f>
        <v>Rohin</v>
      </c>
      <c r="J914" t="str">
        <f>IFERROR(__xludf.DUMMYFUNCTION("""COMPUTED_VALUE"""),"This post points out a problem with the recent &lt;@preference synthesis research agenda@&gt;(@Research Agenda v0.9: Synthesising a human's preferences into a utility function@) (and presumably other value learning agendas as well): these agendas tend to requir"&amp;"e simple models of how human behavior, speech, or mental models relate to human preferences. However, in reality, it seems likely that the brain is a big learning machine without any innate ""values"", and what we experience as our conscious selves is a "&amp;"""strategy"" chosen by this learning machine, and as such does not have a sensible interpretation as something that optimizes for ""values"". The author suggests that value learning agendas need to deal directly with the fact that there are these two ""la"&amp;"yers"" in humans, and presents some preliminary thoughts that don't reach any particular conclusions.")</f>
        <v>This post points out a problem with the recent &lt;@preference synthesis research agenda@&gt;(@Research Agenda v0.9: Synthesising a human's preferences into a utility function@) (and presumably other value learning agendas as well): these agendas tend to require simple models of how human behavior, speech, or mental models relate to human preferences. However, in reality, it seems likely that the brain is a big learning machine without any innate "values", and what we experience as our conscious selves is a "strategy" chosen by this learning machine, and as such does not have a sensible interpretation as something that optimizes for "values". The author suggests that value learning agendas need to deal directly with the fact that there are these two "layers" in humans, and presents some preliminary thoughts that don't reach any particular conclusions.</v>
      </c>
      <c r="K914" t="str">
        <f>IFERROR(__xludf.DUMMYFUNCTION("""COMPUTED_VALUE"""),"I think this is an important critique: it seems to me that the hardest part of the three principles suggested in &lt;@Human Compatible@&gt;(@Human Compatible: Artificial Intelligence and the Problem of Control@) is the one that requires human preferences to be "&amp;"tied to human behavior. It seems quite hard to make an accurate and robust model for this, for reasons like the ones given in this post.")</f>
        <v>I think this is an important critique: it seems to me that the hardest part of the three principles suggested in &lt;@Human Compatible@&gt;(@Human Compatible: Artificial Intelligence and the Problem of Control@) is the one that requires human preferences to be tied to human behavior. It seems quite hard to make an accurate and robust model for this, for reasons like the ones given in this post.</v>
      </c>
    </row>
    <row r="915">
      <c r="A915" t="str">
        <f>IFERROR(__xludf.DUMMYFUNCTION("""COMPUTED_VALUE"""),"Learning human intent")</f>
        <v>Learning human intent</v>
      </c>
      <c r="B915" t="str">
        <f>IFERROR(__xludf.DUMMYFUNCTION("""COMPUTED_VALUE"""),"")</f>
        <v/>
      </c>
      <c r="C915" s="3" t="str">
        <f>IFERROR(__xludf.DUMMYFUNCTION("""COMPUTED_VALUE"""),"Using vector fields to visualise preferences and make them consistent")</f>
        <v>Using vector fields to visualise preferences and make them consistent</v>
      </c>
      <c r="D915" t="str">
        <f>IFERROR(__xludf.DUMMYFUNCTION("""COMPUTED_VALUE"""),"Michael Aird, Justin Shovelain")</f>
        <v>Michael Aird, Justin Shovelain</v>
      </c>
      <c r="E915" t="str">
        <f>IFERROR(__xludf.DUMMYFUNCTION("""COMPUTED_VALUE"""),"LessWrong")</f>
        <v>LessWrong</v>
      </c>
      <c r="F915">
        <f>IFERROR(__xludf.DUMMYFUNCTION("""COMPUTED_VALUE"""),2020.0)</f>
        <v>2020</v>
      </c>
      <c r="H915" s="3" t="str">
        <f>IFERROR(__xludf.DUMMYFUNCTION("""COMPUTED_VALUE"""),"AN #89")</f>
        <v>AN #89</v>
      </c>
      <c r="I915" t="str">
        <f>IFERROR(__xludf.DUMMYFUNCTION("""COMPUTED_VALUE"""),"Rohin")</f>
        <v>Rohin</v>
      </c>
      <c r="J915" t="str">
        <f>IFERROR(__xludf.DUMMYFUNCTION("""COMPUTED_VALUE"""),"This post proposes that we represent a person's preferences as follows: for every state, we have a vector whose direction specifies how the person would most like the state to change, and whose magnitude specifies the intensity of the preference. Under su"&amp;"itable conditions on the state space, this defines a vector field. Intransitive or circular preferences correspond to the [curl](https://en.wikipedia.org/wiki/Curl_(mathematics)) of the vector field. The authors propose that a consistent set of preference"&amp;"s can then be inferred by ""removing the curl"", e.g. by using the [Helmholtz decomposition](https://en.wikipedia.org/wiki/Helmholtz_decomposition).")</f>
        <v>This post proposes that we represent a person's preferences as follows: for every state, we have a vector whose direction specifies how the person would most like the state to change, and whose magnitude specifies the intensity of the preference. Under suitable conditions on the state space, this defines a vector field. Intransitive or circular preferences correspond to the [curl](https://en.wikipedia.org/wiki/Curl_(mathematics)) of the vector field. The authors propose that a consistent set of preferences can then be inferred by "removing the curl", e.g. by using the [Helmholtz decomposition](https://en.wikipedia.org/wiki/Helmholtz_decomposition).</v>
      </c>
    </row>
    <row r="916">
      <c r="A916" t="str">
        <f>IFERROR(__xludf.DUMMYFUNCTION("""COMPUTED_VALUE"""),"Learning human intent")</f>
        <v>Learning human intent</v>
      </c>
      <c r="B916" t="str">
        <f>IFERROR(__xludf.DUMMYFUNCTION("""COMPUTED_VALUE"""),"")</f>
        <v/>
      </c>
      <c r="C916" s="3" t="str">
        <f>IFERROR(__xludf.DUMMYFUNCTION("""COMPUTED_VALUE"""),"A Framework for Data-Driven Robotics")</f>
        <v>A Framework for Data-Driven Robotics</v>
      </c>
      <c r="D916" t="str">
        <f>IFERROR(__xludf.DUMMYFUNCTION("""COMPUTED_VALUE"""),"Serkan Cabi, Sergio Gómez Colmenarejo, Alexander Novikov, Ksenia Konyushkova, Scott Reed, Rae Jeong, Konrad Zolna, Yusuf Aytar, David Budden, Mel Vecerik, Oleg Sushkov, David Barker, Jonathan Scholz, Misha Denil, Nando de Freitas, Ziyu Wang")</f>
        <v>Serkan Cabi, Sergio Gómez Colmenarejo, Alexander Novikov, Ksenia Konyushkova, Scott Reed, Rae Jeong, Konrad Zolna, Yusuf Aytar, David Budden, Mel Vecerik, Oleg Sushkov, David Barker, Jonathan Scholz, Misha Denil, Nando de Freitas, Ziyu Wang</v>
      </c>
      <c r="E916" t="str">
        <f>IFERROR(__xludf.DUMMYFUNCTION("""COMPUTED_VALUE"""),"arXiv")</f>
        <v>arXiv</v>
      </c>
      <c r="F916">
        <f>IFERROR(__xludf.DUMMYFUNCTION("""COMPUTED_VALUE"""),2019.0)</f>
        <v>2019</v>
      </c>
      <c r="H916" s="3" t="str">
        <f>IFERROR(__xludf.DUMMYFUNCTION("""COMPUTED_VALUE"""),"AN #85")</f>
        <v>AN #85</v>
      </c>
      <c r="I916" t="str">
        <f>IFERROR(__xludf.DUMMYFUNCTION("""COMPUTED_VALUE"""),"Nicholas")</f>
        <v>Nicholas</v>
      </c>
      <c r="J916" t="str">
        <f>IFERROR(__xludf.DUMMYFUNCTION("""COMPUTED_VALUE"""),"This paper presents a framework for using a mix of task-agnostic data and task-specific rewards to learn new tasks. The process is as follows:
 1. A human teleoperates the robot to provide a *demonstration*.  This circumvents the exploration problem, by "&amp;"directly showing the robot the relevant states. 
 2. All of the robot's sensory input is saved to *NeverEnding Storage (NES)*, which stores data from all tasks for future use. 
 3. Humans annotate a subset of the *NES* data via task-specific *reward sketc"&amp;"hing*, where humans draw a curve showing progress towards the goal over time (see paper for more details on their interface).
 4. The labelled data is used to train a *reward model*.
 5. The agent is trained using **all** the *NES* data, with the *reward "&amp;"model* providing rewards.
 6. At test-time, the robot continues to save data to the *NES*.
They then use this approach with a robotic arm on a few object manipulation tasks, such as stacking the green object on top of the red one. They find that on these"&amp;" tasks, they can annotate rewards at hundreds of frames per minute.")</f>
        <v>This paper presents a framework for using a mix of task-agnostic data and task-specific rewards to learn new tasks. The process is as follows:
 1. A human teleoperates the robot to provide a *demonstration*.  This circumvents the exploration problem, by directly showing the robot the relevant states. 
 2. All of the robot's sensory input is saved to *NeverEnding Storage (NES)*, which stores data from all tasks for future use. 
 3. Humans annotate a subset of the *NES* data via task-specific *reward sketching*, where humans draw a curve showing progress towards the goal over time (see paper for more details on their interface).
 4. The labelled data is used to train a *reward model*.
 5. The agent is trained using **all** the *NES* data, with the *reward model* providing rewards.
 6. At test-time, the robot continues to save data to the *NES*.
They then use this approach with a robotic arm on a few object manipulation tasks, such as stacking the green object on top of the red one. They find that on these tasks, they can annotate rewards at hundreds of frames per minute.</v>
      </c>
      <c r="K916" t="str">
        <f>IFERROR(__xludf.DUMMYFUNCTION("""COMPUTED_VALUE"""),"I'm happy to see reward modeling being used to achieve new capabilities results, primarily because it may lead to more focus from the broader ML community on a problem that seems quite important for safety. Their reward sketching process is quite efficien"&amp;"t and having more reward data from humans should enable a more faithful model, at least on tasks where humans are able to annotate accurately.")</f>
        <v>I'm happy to see reward modeling being used to achieve new capabilities results, primarily because it may lead to more focus from the broader ML community on a problem that seems quite important for safety. Their reward sketching process is quite efficient and having more reward data from humans should enable a more faithful model, at least on tasks where humans are able to annotate accurately.</v>
      </c>
    </row>
    <row r="917">
      <c r="A917" t="str">
        <f>IFERROR(__xludf.DUMMYFUNCTION("""COMPUTED_VALUE"""),"Learning human intent")</f>
        <v>Learning human intent</v>
      </c>
      <c r="B917" t="str">
        <f>IFERROR(__xludf.DUMMYFUNCTION("""COMPUTED_VALUE"""),"")</f>
        <v/>
      </c>
      <c r="C917" s="3" t="str">
        <f>IFERROR(__xludf.DUMMYFUNCTION("""COMPUTED_VALUE"""),"Learning to Imitate Human Demonstrations via CycleGAN")</f>
        <v>Learning to Imitate Human Demonstrations via CycleGAN</v>
      </c>
      <c r="D917" t="str">
        <f>IFERROR(__xludf.DUMMYFUNCTION("""COMPUTED_VALUE"""),"Laura Smith, Nikita Dhawan, Marvin Zhang, Pieter Abbeel, Sergey Levine")</f>
        <v>Laura Smith, Nikita Dhawan, Marvin Zhang, Pieter Abbeel, Sergey Levine</v>
      </c>
      <c r="E917" t="str">
        <f>IFERROR(__xludf.DUMMYFUNCTION("""COMPUTED_VALUE"""),"BAIR Blog")</f>
        <v>BAIR Blog</v>
      </c>
      <c r="F917">
        <f>IFERROR(__xludf.DUMMYFUNCTION("""COMPUTED_VALUE"""),2019.0)</f>
        <v>2019</v>
      </c>
      <c r="H917" s="3" t="str">
        <f>IFERROR(__xludf.DUMMYFUNCTION("""COMPUTED_VALUE"""),"AN #82")</f>
        <v>AN #82</v>
      </c>
      <c r="I917" t="str">
        <f>IFERROR(__xludf.DUMMYFUNCTION("""COMPUTED_VALUE"""),"Zach")</f>
        <v>Zach</v>
      </c>
      <c r="J917" t="str">
        <f>IFERROR(__xludf.DUMMYFUNCTION("""COMPUTED_VALUE"""),"Most methods for imitation learning, where robots learn from a demonstration, assume that the actions of the demonstrator and robot are the same. This means that expensive techniques such as teleoperation have to be used to generate demonstrations. **This"&amp;" paper presents a method to engage in automated visual instruction-following with demonstrations (AVID) that works by translating video demonstrations done by a human into demonstrations done by a robot.** To do this, the authors use [CycleGAN](https://ju"&amp;"nyanz.github.io/CycleGAN/), a method to translate an image from one domain to another domain using unpaired images as training data. CycleGAN allows them to translate videos of humans performing the task into videos of the robot performing the task, which"&amp;" the robot can then imitate. In order to make learning tractable, the demonstrations had to be divided up into 'key stages' so that the robot can learn a sequence of more manageable tasks. In this setup, the robot only needs supervision to ensure that it'"&amp;"s copying each stage properly before moving on to the next one. To test the method, the authors have the robot retrieve a coffee cup and make coffee. AVID significantly outperforms other imitation learning methods and can achieve 70% / 80% success rate on"&amp;" the tasks, respectively.")</f>
        <v>Most methods for imitation learning, where robots learn from a demonstration, assume that the actions of the demonstrator and robot are the same. This means that expensive techniques such as teleoperation have to be used to generate demonstrations. **This paper presents a method to engage in automated visual instruction-following with demonstrations (AVID) that works by translating video demonstrations done by a human into demonstrations done by a robot.** To do this, the authors use [CycleGAN](https://junyanz.github.io/CycleGAN/), a method to translate an image from one domain to another domain using unpaired images as training data. CycleGAN allows them to translate videos of humans performing the task into videos of the robot performing the task, which the robot can then imitate. In order to make learning tractable, the demonstrations had to be divided up into 'key stages' so that the robot can learn a sequence of more manageable tasks. In this setup, the robot only needs supervision to ensure that it's copying each stage properly before moving on to the next one. To test the method, the authors have the robot retrieve a coffee cup and make coffee. AVID significantly outperforms other imitation learning methods and can achieve 70% / 80% success rate on the tasks, respectively.</v>
      </c>
      <c r="K917" t="str">
        <f>IFERROR(__xludf.DUMMYFUNCTION("""COMPUTED_VALUE"""),"In general, I like the idea of 'translating' demonstrations from one domain into another. It's worth noting that there do exist methods for translating visual demonstrations into latent policies. I'm a bit surprised that we didn't see any comparisons with"&amp;" other adversarial methods like [GAIfO](https://arxiv.org/pdf/1807.06158.pdf), but I understand that those methods have high sample complexity so perhaps the methods weren't useful in this context. It's also important to note that these other methods woul"&amp;"d still require demonstration translation. Another criticism is that AVID is not fully autonomous since it relies on human feedback to progress between stages. However, compared to kinetic teaching or teleoperation, sparse feedback from a human overseer i"&amp;"s a minor inconvenience. ")</f>
        <v>In general, I like the idea of 'translating' demonstrations from one domain into another. It's worth noting that there do exist methods for translating visual demonstrations into latent policies. I'm a bit surprised that we didn't see any comparisons with other adversarial methods like [GAIfO](https://arxiv.org/pdf/1807.06158.pdf), but I understand that those methods have high sample complexity so perhaps the methods weren't useful in this context. It's also important to note that these other methods would still require demonstration translation. Another criticism is that AVID is not fully autonomous since it relies on human feedback to progress between stages. However, compared to kinetic teaching or teleoperation, sparse feedback from a human overseer is a minor inconvenience. </v>
      </c>
      <c r="M917" s="3" t="str">
        <f>IFERROR(__xludf.DUMMYFUNCTION("""COMPUTED_VALUE"""),"Paper: AVID: Learning Multi-Stage Tasks via Pixel-Level Translation of Human Videos")</f>
        <v>Paper: AVID: Learning Multi-Stage Tasks via Pixel-Level Translation of Human Videos</v>
      </c>
    </row>
    <row r="918">
      <c r="A918" t="str">
        <f>IFERROR(__xludf.DUMMYFUNCTION("""COMPUTED_VALUE"""),"Learning human intent")</f>
        <v>Learning human intent</v>
      </c>
      <c r="B918" t="str">
        <f>IFERROR(__xludf.DUMMYFUNCTION("""COMPUTED_VALUE"""),"")</f>
        <v/>
      </c>
      <c r="C918" s="3" t="str">
        <f>IFERROR(__xludf.DUMMYFUNCTION("""COMPUTED_VALUE"""),"Machine Teaching for Inverse Reinforcement Learning: Algorithms and Applications")</f>
        <v>Machine Teaching for Inverse Reinforcement Learning: Algorithms and Applications</v>
      </c>
      <c r="D918" t="str">
        <f>IFERROR(__xludf.DUMMYFUNCTION("""COMPUTED_VALUE"""),"Daniel S. Brown, Scott Niekum")</f>
        <v>Daniel S. Brown, Scott Niekum</v>
      </c>
      <c r="E918" t="str">
        <f>IFERROR(__xludf.DUMMYFUNCTION("""COMPUTED_VALUE"""),"AAAI 2019")</f>
        <v>AAAI 2019</v>
      </c>
      <c r="F918">
        <f>IFERROR(__xludf.DUMMYFUNCTION("""COMPUTED_VALUE"""),2018.0)</f>
        <v>2018</v>
      </c>
      <c r="H918" s="3" t="str">
        <f>IFERROR(__xludf.DUMMYFUNCTION("""COMPUTED_VALUE"""),"AN #8")</f>
        <v>AN #8</v>
      </c>
    </row>
    <row r="919">
      <c r="A919" t="str">
        <f>IFERROR(__xludf.DUMMYFUNCTION("""COMPUTED_VALUE"""),"Learning human intent")</f>
        <v>Learning human intent</v>
      </c>
      <c r="B919" t="str">
        <f>IFERROR(__xludf.DUMMYFUNCTION("""COMPUTED_VALUE"""),"")</f>
        <v/>
      </c>
      <c r="C919" s="3" t="str">
        <f>IFERROR(__xludf.DUMMYFUNCTION("""COMPUTED_VALUE"""),"Maximum Causal Tsallis Entropy Imitation Learning")</f>
        <v>Maximum Causal Tsallis Entropy Imitation Learning</v>
      </c>
      <c r="D919" t="str">
        <f>IFERROR(__xludf.DUMMYFUNCTION("""COMPUTED_VALUE"""),"Kyungjae Lee, Sungjoon Choi, Songhwai Oh")</f>
        <v>Kyungjae Lee, Sungjoon Choi, Songhwai Oh</v>
      </c>
      <c r="E919" t="str">
        <f>IFERROR(__xludf.DUMMYFUNCTION("""COMPUTED_VALUE"""),"arXiv")</f>
        <v>arXiv</v>
      </c>
      <c r="F919">
        <f>IFERROR(__xludf.DUMMYFUNCTION("""COMPUTED_VALUE"""),2018.0)</f>
        <v>2018</v>
      </c>
      <c r="H919" s="3" t="str">
        <f>IFERROR(__xludf.DUMMYFUNCTION("""COMPUTED_VALUE"""),"AN #8")</f>
        <v>AN #8</v>
      </c>
    </row>
    <row r="920">
      <c r="A920" t="str">
        <f>IFERROR(__xludf.DUMMYFUNCTION("""COMPUTED_VALUE"""),"Learning human intent")</f>
        <v>Learning human intent</v>
      </c>
      <c r="B920" t="str">
        <f>IFERROR(__xludf.DUMMYFUNCTION("""COMPUTED_VALUE"""),"")</f>
        <v/>
      </c>
      <c r="C920" s="3" t="str">
        <f>IFERROR(__xludf.DUMMYFUNCTION("""COMPUTED_VALUE"""),"Planning to Give Information in Partially Observed Domains with a Learned Weighted Entropy Model")</f>
        <v>Planning to Give Information in Partially Observed Domains with a Learned Weighted Entropy Model</v>
      </c>
      <c r="D920" t="str">
        <f>IFERROR(__xludf.DUMMYFUNCTION("""COMPUTED_VALUE"""),"Rohan Chitnis, Leslie Pack Kaelbling, Tomás Lozano-Pérez")</f>
        <v>Rohan Chitnis, Leslie Pack Kaelbling, Tomás Lozano-Pérez</v>
      </c>
      <c r="E920" t="str">
        <f>IFERROR(__xludf.DUMMYFUNCTION("""COMPUTED_VALUE"""),"arXiv")</f>
        <v>arXiv</v>
      </c>
      <c r="F920">
        <f>IFERROR(__xludf.DUMMYFUNCTION("""COMPUTED_VALUE"""),2018.0)</f>
        <v>2018</v>
      </c>
      <c r="H920" s="3" t="str">
        <f>IFERROR(__xludf.DUMMYFUNCTION("""COMPUTED_VALUE"""),"AN #8")</f>
        <v>AN #8</v>
      </c>
    </row>
    <row r="921">
      <c r="A921" t="str">
        <f>IFERROR(__xludf.DUMMYFUNCTION("""COMPUTED_VALUE"""),"Learning human intent")</f>
        <v>Learning human intent</v>
      </c>
      <c r="B921" t="str">
        <f>IFERROR(__xludf.DUMMYFUNCTION("""COMPUTED_VALUE"""),"")</f>
        <v/>
      </c>
      <c r="C921" s="3" t="str">
        <f>IFERROR(__xludf.DUMMYFUNCTION("""COMPUTED_VALUE"""),"Humans Are Embedded Agents Too")</f>
        <v>Humans Are Embedded Agents Too</v>
      </c>
      <c r="D921" t="str">
        <f>IFERROR(__xludf.DUMMYFUNCTION("""COMPUTED_VALUE"""),"John Wentworth")</f>
        <v>John Wentworth</v>
      </c>
      <c r="E921" t="str">
        <f>IFERROR(__xludf.DUMMYFUNCTION("""COMPUTED_VALUE"""),"Alignment Forum")</f>
        <v>Alignment Forum</v>
      </c>
      <c r="F921">
        <f>IFERROR(__xludf.DUMMYFUNCTION("""COMPUTED_VALUE"""),2019.0)</f>
        <v>2019</v>
      </c>
      <c r="H921" s="3" t="str">
        <f>IFERROR(__xludf.DUMMYFUNCTION("""COMPUTED_VALUE"""),"AN #79")</f>
        <v>AN #79</v>
      </c>
      <c r="I921" t="str">
        <f>IFERROR(__xludf.DUMMYFUNCTION("""COMPUTED_VALUE"""),"Rohin")</f>
        <v>Rohin</v>
      </c>
      <c r="J921" t="str">
        <f>IFERROR(__xludf.DUMMYFUNCTION("""COMPUTED_VALUE"""),"&lt;@Embedded agency@&gt;(@Embedded Agents@) is not just a problem for AI systems: humans are embedded agents too; many problems in understanding human values stem from this fact. For example, humans don't have a well-defined output channel: we can't say ""anyt"&amp;"hing that comes from this keyboard is direct output from the human"", because the AI could seize control of the keyboard and wirehead, or a cat could walk over the keyboard, etc. Similarly, humans can ""self-modify"", e.g. by drinking, which often modifie"&amp;"s their ""values"": what does that imply for value learning? Based on these and other examples, the post concludes that ""a better understanding of embedded agents in general will lead to substantial insights about the nature of human values"".")</f>
        <v>&lt;@Embedded agency@&gt;(@Embedded Agents@) is not just a problem for AI systems: humans are embedded agents too; many problems in understanding human values stem from this fact. For example, humans don't have a well-defined output channel: we can't say "anything that comes from this keyboard is direct output from the human", because the AI could seize control of the keyboard and wirehead, or a cat could walk over the keyboard, etc. Similarly, humans can "self-modify", e.g. by drinking, which often modifies their "values": what does that imply for value learning? Based on these and other examples, the post concludes that "a better understanding of embedded agents in general will lead to substantial insights about the nature of human values".</v>
      </c>
      <c r="K921" t="str">
        <f>IFERROR(__xludf.DUMMYFUNCTION("""COMPUTED_VALUE"""),"I certainly agree that many problems with figuring out what to optimize stem from embedded agency issues with humans, and any &lt;@formal account@&gt;(@Why we need a *theory* of human values@) of this will benefit from general progress in understanding embedded"&amp;"ness. Unlike many others, I do not think we need a formal account of human values, and that a ""common-sense"" understanding will suffice, including for the embeddedness problems detailed in this post. (See also this [comment thread](https://www.alignment"&amp;"forum.org/posts/WJzsTmsDctYCCyMfy/humans-are-embedded-agents-too#opd3EeESfWiEyekDh) and the next summary.)")</f>
        <v>I certainly agree that many problems with figuring out what to optimize stem from embedded agency issues with humans, and any &lt;@formal account@&gt;(@Why we need a *theory* of human values@) of this will benefit from general progress in understanding embeddedness. Unlike many others, I do not think we need a formal account of human values, and that a "common-sense" understanding will suffice, including for the embeddedness problems detailed in this post. (See also this [comment thread](https://www.alignmentforum.org/posts/WJzsTmsDctYCCyMfy/humans-are-embedded-agents-too#opd3EeESfWiEyekDh) and the next summary.)</v>
      </c>
    </row>
    <row r="922">
      <c r="A922" t="str">
        <f>IFERROR(__xludf.DUMMYFUNCTION("""COMPUTED_VALUE"""),"Learning human intent")</f>
        <v>Learning human intent</v>
      </c>
      <c r="B922" t="str">
        <f>IFERROR(__xludf.DUMMYFUNCTION("""COMPUTED_VALUE"""),"")</f>
        <v/>
      </c>
      <c r="C922" s="3" t="str">
        <f>IFERROR(__xludf.DUMMYFUNCTION("""COMPUTED_VALUE"""),"AI Alignment Podcast: Synthesizing a human’s preferences into a utility function")</f>
        <v>AI Alignment Podcast: Synthesizing a human’s preferences into a utility function</v>
      </c>
      <c r="D922" t="str">
        <f>IFERROR(__xludf.DUMMYFUNCTION("""COMPUTED_VALUE"""),"Lucas Perry and Stuart Armstrong")</f>
        <v>Lucas Perry and Stuart Armstrong</v>
      </c>
      <c r="E922" t="str">
        <f>IFERROR(__xludf.DUMMYFUNCTION("""COMPUTED_VALUE"""),"Alignment Forum")</f>
        <v>Alignment Forum</v>
      </c>
      <c r="F922">
        <f>IFERROR(__xludf.DUMMYFUNCTION("""COMPUTED_VALUE"""),2019.0)</f>
        <v>2019</v>
      </c>
      <c r="H922" s="3" t="str">
        <f>IFERROR(__xludf.DUMMYFUNCTION("""COMPUTED_VALUE"""),"AN #73")</f>
        <v>AN #73</v>
      </c>
      <c r="I922" t="str">
        <f>IFERROR(__xludf.DUMMYFUNCTION("""COMPUTED_VALUE"""),"Rohin")</f>
        <v>Rohin</v>
      </c>
      <c r="J922" t="str">
        <f>IFERROR(__xludf.DUMMYFUNCTION("""COMPUTED_VALUE"""),"Stuart Armstrong's &lt;@agenda@&gt;(@Research Agenda v0.9: Synthesising a human's preferences into a utility function@) involves extracting partial preferences from a human and synthesizing them together into an _adequate_ utility function. Among other things, "&amp;"this podcast goes into the design decisions underlying the agenda:
First, why even have a utility function? In practice, there are [many pressures](https://www.lesswrong.com/posts/RQpNHSiWaXTvDxt6R/coherent-decisions-imply-consistent-utilities) suggestin"&amp;"g that maximizing expected utility is the ""right"" thing to do -- if you aren't doing this, you're leaving value on the table. So any agent that isn't maximizing a utility function will want to self-modify into one that is using a utility function, so we"&amp;" should just use a utility function in the first place.
Second, why not defer to a long reflection process, as in [Indirect Normativity](https://ordinaryideas.wordpress.com/2012/04/21/indirect-normativity-write-up/), or some sort of reflectively stable v"&amp;"alues? Stuart worries that such a process would lead to us prioritizing simplicity and elegance, but losing out on something of real value. This is also why he focuses on _partial preferences_: that is, our preferences in ""normal"" situations, without re"&amp;"quiring such preferences to be extrapolated to very novel situations. Of course, in any situation where our moral concepts break down, we will have to extrapolate somehow (otherwise it wouldn't be a utility function) -- this presents the biggest challenge"&amp;" to the research agenda.")</f>
        <v>Stuart Armstrong's &lt;@agenda@&gt;(@Research Agenda v0.9: Synthesising a human's preferences into a utility function@) involves extracting partial preferences from a human and synthesizing them together into an _adequate_ utility function. Among other things, this podcast goes into the design decisions underlying the agenda:
First, why even have a utility function? In practice, there are [many pressures](https://www.lesswrong.com/posts/RQpNHSiWaXTvDxt6R/coherent-decisions-imply-consistent-utilities) suggesting that maximizing expected utility is the "right" thing to do -- if you aren't doing this, you're leaving value on the table. So any agent that isn't maximizing a utility function will want to self-modify into one that is using a utility function, so we should just use a utility function in the first place.
Second, why not defer to a long reflection process, as in [Indirect Normativity](https://ordinaryideas.wordpress.com/2012/04/21/indirect-normativity-write-up/), or some sort of reflectively stable values? Stuart worries that such a process would lead to us prioritizing simplicity and elegance, but losing out on something of real value. This is also why he focuses on _partial preferences_: that is, our preferences in "normal" situations, without requiring such preferences to be extrapolated to very novel situations. Of course, in any situation where our moral concepts break down, we will have to extrapolate somehow (otherwise it wouldn't be a utility function) -- this presents the biggest challenge to the research agenda.</v>
      </c>
      <c r="M922" s="3" t="str">
        <f>IFERROR(__xludf.DUMMYFUNCTION("""COMPUTED_VALUE"""),"Stuart Armstrong Research Agenda Online Talk")</f>
        <v>Stuart Armstrong Research Agenda Online Talk</v>
      </c>
    </row>
    <row r="923">
      <c r="A923" t="str">
        <f>IFERROR(__xludf.DUMMYFUNCTION("""COMPUTED_VALUE"""),"Learning human intent")</f>
        <v>Learning human intent</v>
      </c>
      <c r="B923" t="str">
        <f>IFERROR(__xludf.DUMMYFUNCTION("""COMPUTED_VALUE"""),"")</f>
        <v/>
      </c>
      <c r="C923" s="3" t="str">
        <f>IFERROR(__xludf.DUMMYFUNCTION("""COMPUTED_VALUE"""),"Learning from Observations Using a Single Video Demonstration and Human Feedback")</f>
        <v>Learning from Observations Using a Single Video Demonstration and Human Feedback</v>
      </c>
      <c r="D923" t="str">
        <f>IFERROR(__xludf.DUMMYFUNCTION("""COMPUTED_VALUE"""),"Sunil Gandhi, Tim Oates, Tinoosh Mohsenin, Nicholas Waytowich")</f>
        <v>Sunil Gandhi, Tim Oates, Tinoosh Mohsenin, Nicholas Waytowich</v>
      </c>
      <c r="E923" t="str">
        <f>IFERROR(__xludf.DUMMYFUNCTION("""COMPUTED_VALUE"""),"arXiv")</f>
        <v>arXiv</v>
      </c>
      <c r="F923">
        <f>IFERROR(__xludf.DUMMYFUNCTION("""COMPUTED_VALUE"""),2019.0)</f>
        <v>2019</v>
      </c>
      <c r="H923" s="3" t="str">
        <f>IFERROR(__xludf.DUMMYFUNCTION("""COMPUTED_VALUE"""),"AN #70")</f>
        <v>AN #70</v>
      </c>
      <c r="I923" t="str">
        <f>IFERROR(__xludf.DUMMYFUNCTION("""COMPUTED_VALUE"""),"Zach")</f>
        <v>Zach</v>
      </c>
      <c r="J923" t="str">
        <f>IFERROR(__xludf.DUMMYFUNCTION("""COMPUTED_VALUE"""),"Designing rewards can be a long and consuming process, even for experts. One common method to circumvent this problem is through demonstration. However, it might be difficult to record demonstrations in a standard representation, such as joint positions. "&amp;"**In this paper, the authors propose using human feedback to circumvent the discrepancy between how demonstrations are recorded (video) and the desired standard representation (joint positions).** First, humans provide similarity evaluations of short clip"&amp;"s of an expert demonstration to the agent's attempt and a similarity function is learned by the agent. Second, this similarity function is used to help train a policy that can imitate the expert. Both functions are learned jointly. The algorithm can learn"&amp;" to make a Hopper agent back-flip both from a Hopper demonstration of a back-flip, and from a YouTube video of a human backflipping. Ultimately, the authors show that their method improves over another method that uses human feedback without direct compar"&amp;"ison to desired behavior.")</f>
        <v>Designing rewards can be a long and consuming process, even for experts. One common method to circumvent this problem is through demonstration. However, it might be difficult to record demonstrations in a standard representation, such as joint positions. **In this paper, the authors propose using human feedback to circumvent the discrepancy between how demonstrations are recorded (video) and the desired standard representation (joint positions).** First, humans provide similarity evaluations of short clips of an expert demonstration to the agent's attempt and a similarity function is learned by the agent. Second, this similarity function is used to help train a policy that can imitate the expert. Both functions are learned jointly. The algorithm can learn to make a Hopper agent back-flip both from a Hopper demonstration of a back-flip, and from a YouTube video of a human backflipping. Ultimately, the authors show that their method improves over another method that uses human feedback without direct comparison to desired behavior.</v>
      </c>
      <c r="K923" t="str">
        <f>IFERROR(__xludf.DUMMYFUNCTION("""COMPUTED_VALUE"""),"This paper seems like a natural extension of prior work. The imitation learning problem from observation is well-known and difficult. Introducing human feedback with a structured state space definitely seems like a viable way to get around a lot of the kn"&amp;"own difficulties with other methods such as a GAIL.")</f>
        <v>This paper seems like a natural extension of prior work. The imitation learning problem from observation is well-known and difficult. Introducing human feedback with a structured state space definitely seems like a viable way to get around a lot of the known difficulties with other methods such as a GAIL.</v>
      </c>
    </row>
    <row r="924">
      <c r="A924" t="str">
        <f>IFERROR(__xludf.DUMMYFUNCTION("""COMPUTED_VALUE"""),"Learning human intent")</f>
        <v>Learning human intent</v>
      </c>
      <c r="B924" t="str">
        <f>IFERROR(__xludf.DUMMYFUNCTION("""COMPUTED_VALUE"""),"")</f>
        <v/>
      </c>
      <c r="C924" s="3" t="str">
        <f>IFERROR(__xludf.DUMMYFUNCTION("""COMPUTED_VALUE"""),"Incorrigibility in the CIRL Framework")</f>
        <v>Incorrigibility in the CIRL Framework</v>
      </c>
      <c r="D924" t="str">
        <f>IFERROR(__xludf.DUMMYFUNCTION("""COMPUTED_VALUE"""),"Ryan Carey")</f>
        <v>Ryan Carey</v>
      </c>
      <c r="E924" t="str">
        <f>IFERROR(__xludf.DUMMYFUNCTION("""COMPUTED_VALUE"""),"arXiv")</f>
        <v>arXiv</v>
      </c>
      <c r="F924">
        <f>IFERROR(__xludf.DUMMYFUNCTION("""COMPUTED_VALUE"""),2017.0)</f>
        <v>2017</v>
      </c>
      <c r="H924" s="3" t="str">
        <f>IFERROR(__xludf.DUMMYFUNCTION("""COMPUTED_VALUE"""),"AN #69")</f>
        <v>AN #69</v>
      </c>
      <c r="I924" t="str">
        <f>IFERROR(__xludf.DUMMYFUNCTION("""COMPUTED_VALUE"""),"Rohin")</f>
        <v>Rohin</v>
      </c>
      <c r="J924" t="str">
        <f>IFERROR(__xludf.DUMMYFUNCTION("""COMPUTED_VALUE"""),"This paper demonstrates that when the agent has an _incorrect_ belief about the human's reward function, then you no longer get the benefit that the agent will obey shutdown instructions. It argues that since the purpose of a shutdown button is to functio"&amp;"n as a safety measure of last resort (when all other measures have failed), it should not rely on an assumption that the agent's belief about the reward is correct.")</f>
        <v>This paper demonstrates that when the agent has an _incorrect_ belief about the human's reward function, then you no longer get the benefit that the agent will obey shutdown instructions. It argues that since the purpose of a shutdown button is to function as a safety measure of last resort (when all other measures have failed), it should not rely on an assumption that the agent's belief about the reward is correct.</v>
      </c>
      <c r="K924" t="str">
        <f>IFERROR(__xludf.DUMMYFUNCTION("""COMPUTED_VALUE"""),"I certainly agree that if the agent is wrong in its beliefs about the reward, then it is quite likely that it would not obey shutdown commands. For example, in the off switch game, if the agent is incorrectly certain that u is positive, then it will take "&amp;"action a, even though the human would want to shut it down. See also &lt;@these@&gt;(@Latent Variables and Model Mis-Specification@) &lt;@posts@&gt;(@Model Mis-specification and Inverse Reinforcement Learning@) on model misspecification and IRL. For a discussion of h"&amp;"ow serious the overall critique is, both from HC's perspective and mine, see the opinion on the next post.")</f>
        <v>I certainly agree that if the agent is wrong in its beliefs about the reward, then it is quite likely that it would not obey shutdown commands. For example, in the off switch game, if the agent is incorrectly certain that u is positive, then it will take action a, even though the human would want to shut it down. See also &lt;@these@&gt;(@Latent Variables and Model Mis-Specification@) &lt;@posts@&gt;(@Model Mis-specification and Inverse Reinforcement Learning@) on model misspecification and IRL. For a discussion of how serious the overall critique is, both from HC's perspective and mine, see the opinion on the next post.</v>
      </c>
    </row>
    <row r="925">
      <c r="A925" t="str">
        <f>IFERROR(__xludf.DUMMYFUNCTION("""COMPUTED_VALUE"""),"Learning human intent")</f>
        <v>Learning human intent</v>
      </c>
      <c r="B925" t="str">
        <f>IFERROR(__xludf.DUMMYFUNCTION("""COMPUTED_VALUE"""),"")</f>
        <v/>
      </c>
      <c r="C925" s="3" t="str">
        <f>IFERROR(__xludf.DUMMYFUNCTION("""COMPUTED_VALUE"""),"Problem of fully updated deference")</f>
        <v>Problem of fully updated deference</v>
      </c>
      <c r="D925" t="str">
        <f>IFERROR(__xludf.DUMMYFUNCTION("""COMPUTED_VALUE"""),"Eliezer Yudkowsky")</f>
        <v>Eliezer Yudkowsky</v>
      </c>
      <c r="E925" t="str">
        <f>IFERROR(__xludf.DUMMYFUNCTION("""COMPUTED_VALUE"""),"Arbital")</f>
        <v>Arbital</v>
      </c>
      <c r="F925">
        <f>IFERROR(__xludf.DUMMYFUNCTION("""COMPUTED_VALUE"""),2017.0)</f>
        <v>2017</v>
      </c>
      <c r="H925" s="3" t="str">
        <f>IFERROR(__xludf.DUMMYFUNCTION("""COMPUTED_VALUE"""),"AN #69")</f>
        <v>AN #69</v>
      </c>
      <c r="I925" t="str">
        <f>IFERROR(__xludf.DUMMYFUNCTION("""COMPUTED_VALUE"""),"Rohin")</f>
        <v>Rohin</v>
      </c>
      <c r="J925" t="str">
        <f>IFERROR(__xludf.DUMMYFUNCTION("""COMPUTED_VALUE"""),"This article points out that even if you have an agent with uncertainty over the reward function, it will acquire information and reduce its uncertainty over the reward, until eventually it can't reduce uncertainty any more, and then it would simply optim"&amp;"ize the expectation of the resulting distribution, which is equivalent to optimizing a known objective, and has the same issues (such as disabling shutdown buttons).")</f>
        <v>This article points out that even if you have an agent with uncertainty over the reward function, it will acquire information and reduce its uncertainty over the reward, until eventually it can't reduce uncertainty any more, and then it would simply optimize the expectation of the resulting distribution, which is equivalent to optimizing a known objective, and has the same issues (such as disabling shutdown buttons).</v>
      </c>
      <c r="K925" t="str">
        <f>IFERROR(__xludf.DUMMYFUNCTION("""COMPUTED_VALUE"""),"As with the previous paper, this argument is only really a problem when the agent's belief about the reward function is _wrong_: if it is correct, then at the point where there is no more information to gain, the agent should already know that humans don'"&amp;"t like to be killed, do like to be happy, etc. and optimizing the expectation of the reward distribution should lead to good outcomes. Both this and the previous critique are worrisome when you can't even put a reasonable _prior_ over the reward function,"&amp;" which is quite a strong claim.
HC's response is that the agent should never assign zero probability to any hypothesis. It suggests that you could have an expandable hierarchical prior, where initially there are relatively simple hypotheses, but as hypot"&amp;"heses become worse at explaining the data, you ""expand"" the set of hypotheses, ultimately bottoming out at (perhaps) the universal prior. I think that such an approach could work in principle, and there are two challenges in practice. First, it may not "&amp;"be computationally feasible to do this. Second, it's not clear how such an approach can deal with the fact that human preferences _change_ over time. (HC does want more research into both of these.)
Fully updated deference could also be a problem if the "&amp;"observation model used by the agent is incorrect, rather than the prior. I'm not sure if this is part of the argument.")</f>
        <v>As with the previous paper, this argument is only really a problem when the agent's belief about the reward function is _wrong_: if it is correct, then at the point where there is no more information to gain, the agent should already know that humans don't like to be killed, do like to be happy, etc. and optimizing the expectation of the reward distribution should lead to good outcomes. Both this and the previous critique are worrisome when you can't even put a reasonable _prior_ over the reward function, which is quite a strong claim.
HC's response is that the agent should never assign zero probability to any hypothesis. It suggests that you could have an expandable hierarchical prior, where initially there are relatively simple hypotheses, but as hypotheses become worse at explaining the data, you "expand" the set of hypotheses, ultimately bottoming out at (perhaps) the universal prior. I think that such an approach could work in principle, and there are two challenges in practice. First, it may not be computationally feasible to do this. Second, it's not clear how such an approach can deal with the fact that human preferences _change_ over time. (HC does want more research into both of these.)
Fully updated deference could also be a problem if the observation model used by the agent is incorrect, rather than the prior. I'm not sure if this is part of the argument.</v>
      </c>
    </row>
    <row r="926">
      <c r="A926" t="str">
        <f>IFERROR(__xludf.DUMMYFUNCTION("""COMPUTED_VALUE"""),"Learning human intent")</f>
        <v>Learning human intent</v>
      </c>
      <c r="B926" t="str">
        <f>IFERROR(__xludf.DUMMYFUNCTION("""COMPUTED_VALUE"""),"")</f>
        <v/>
      </c>
      <c r="C926" s="3" t="str">
        <f>IFERROR(__xludf.DUMMYFUNCTION("""COMPUTED_VALUE"""),"SQIL: Imitation Learning via Regularized Behavioral Cloning")</f>
        <v>SQIL: Imitation Learning via Regularized Behavioral Cloning</v>
      </c>
      <c r="D926" t="str">
        <f>IFERROR(__xludf.DUMMYFUNCTION("""COMPUTED_VALUE"""),"Siddharth Reddy, Anca D. Dragan, Sergey Levine")</f>
        <v>Siddharth Reddy, Anca D. Dragan, Sergey Levine</v>
      </c>
      <c r="E926" t="str">
        <f>IFERROR(__xludf.DUMMYFUNCTION("""COMPUTED_VALUE"""),"arXiv")</f>
        <v>arXiv</v>
      </c>
      <c r="F926">
        <f>IFERROR(__xludf.DUMMYFUNCTION("""COMPUTED_VALUE"""),2019.0)</f>
        <v>2019</v>
      </c>
      <c r="H926" s="3" t="str">
        <f>IFERROR(__xludf.DUMMYFUNCTION("""COMPUTED_VALUE"""),"AN #60")</f>
        <v>AN #60</v>
      </c>
      <c r="I926" t="str">
        <f>IFERROR(__xludf.DUMMYFUNCTION("""COMPUTED_VALUE"""),"Cody")</f>
        <v>Cody</v>
      </c>
      <c r="J926" t="str">
        <f>IFERROR(__xludf.DUMMYFUNCTION("""COMPUTED_VALUE"""),"Behavioral Cloning is one of the most direct forms of imitation learning: it learns to predict the action the expert would have taken in a given state of the world. A clear weakness of the approach is that, if cloning models are only trained on pairs of ("&amp;"state, expert action) drawn from the expert's policy distribution, that means the model is underconstrained and thus likely to have high error on states that would have been unseen or just highly unlikely to be visited by the expert. This weakness means t"&amp;"hat errors within behavioral cloning systems can compound: if the system takes an incorrect action that leads it to a state it never saw the expert in, it will have a difficult time knowing what to do there.  
The main contribution of this paper is to su"&amp;"ggest a fix for this weakness, by learning a Q function to represent expert behavior, and by penalizing the model for being in states where its temporal difference error on the Q function (otherwise known as the Bellman error) is high. Intuitively, the ho"&amp;"pe is that this term, which can also be seen as a reward for being in states the expert has seen more frequently (equivalently, states where the model had more training experience) will propagate outward, and give the model a loss surface that pulls it ba"&amp;"ck into states where its predictions are more confident.")</f>
        <v>Behavioral Cloning is one of the most direct forms of imitation learning: it learns to predict the action the expert would have taken in a given state of the world. A clear weakness of the approach is that, if cloning models are only trained on pairs of (state, expert action) drawn from the expert's policy distribution, that means the model is underconstrained and thus likely to have high error on states that would have been unseen or just highly unlikely to be visited by the expert. This weakness means that errors within behavioral cloning systems can compound: if the system takes an incorrect action that leads it to a state it never saw the expert in, it will have a difficult time knowing what to do there.  
The main contribution of this paper is to suggest a fix for this weakness, by learning a Q function to represent expert behavior, and by penalizing the model for being in states where its temporal difference error on the Q function (otherwise known as the Bellman error) is high. Intuitively, the hope is that this term, which can also be seen as a reward for being in states the expert has seen more frequently (equivalently, states where the model had more training experience) will propagate outward, and give the model a loss surface that pulls it back into states where its predictions are more confident.</v>
      </c>
      <c r="K926" t="str">
        <f>IFERROR(__xludf.DUMMYFUNCTION("""COMPUTED_VALUE"""),"I still have a personal sense that Behavioral Cloning is too brittle of a conceptual frame to build really robust imitative agents with, but this seems like a clever and relatively clean way to build in a bias towards high-confidence states. I find myself"&amp;" wondering if the same general idea of penalizing being in high-model-error states could be more broadly applied as a sort of regularizer in other off-policy settings where exploration can be risky. ")</f>
        <v>I still have a personal sense that Behavioral Cloning is too brittle of a conceptual frame to build really robust imitative agents with, but this seems like a clever and relatively clean way to build in a bias towards high-confidence states. I find myself wondering if the same general idea of penalizing being in high-model-error states could be more broadly applied as a sort of regularizer in other off-policy settings where exploration can be risky. </v>
      </c>
    </row>
    <row r="927">
      <c r="A927" t="str">
        <f>IFERROR(__xludf.DUMMYFUNCTION("""COMPUTED_VALUE"""),"Learning human intent")</f>
        <v>Learning human intent</v>
      </c>
      <c r="B927" t="str">
        <f>IFERROR(__xludf.DUMMYFUNCTION("""COMPUTED_VALUE"""),"")</f>
        <v/>
      </c>
      <c r="C927" s="3" t="str">
        <f>IFERROR(__xludf.DUMMYFUNCTION("""COMPUTED_VALUE"""),"Research Agenda v0.9: Synthesising a human's preferences into a utility function")</f>
        <v>Research Agenda v0.9: Synthesising a human's preferences into a utility function</v>
      </c>
      <c r="D927" t="str">
        <f>IFERROR(__xludf.DUMMYFUNCTION("""COMPUTED_VALUE"""),"Stuart Armstrong")</f>
        <v>Stuart Armstrong</v>
      </c>
      <c r="E927" t="str">
        <f>IFERROR(__xludf.DUMMYFUNCTION("""COMPUTED_VALUE"""),"Alignment Forum")</f>
        <v>Alignment Forum</v>
      </c>
      <c r="F927">
        <f>IFERROR(__xludf.DUMMYFUNCTION("""COMPUTED_VALUE"""),2019.0)</f>
        <v>2019</v>
      </c>
      <c r="H927" s="3" t="str">
        <f>IFERROR(__xludf.DUMMYFUNCTION("""COMPUTED_VALUE"""),"AN #60")</f>
        <v>AN #60</v>
      </c>
      <c r="I927" t="str">
        <f>IFERROR(__xludf.DUMMYFUNCTION("""COMPUTED_VALUE"""),"Rohin")</f>
        <v>Rohin</v>
      </c>
      <c r="J927" t="str">
        <f>IFERROR(__xludf.DUMMYFUNCTION("""COMPUTED_VALUE"""),"One approach to AI alignment involves learning a specification of human values that can then be optimized. This agenda proposes that we learn an adequate representation of values (i.e. _not_ &lt;@ambitious value learning@&gt;(@What is ambitious value learning?@"&amp;")). We first obtain partial preferences and associated weights from human mental models whose symbols have been adequately grounded. Calling these ""preferences"" is a normative assumption to avoid an &lt;@impossibility result in value learning@&gt;(@Humans can"&amp;" be assigned any values whatsoever…@): the hope is that the AI could correct for incorrect human beliefs. The preferences are then extended to all possible states, and are normalized so that they are comparable to each other, and then synthesized into a u"&amp;"tility function that the AI can optimize.
The partial preferences are divided into a few categories: individual preferences, preferences about the rest of the world, and meta-preferences, some of which can be about the synthesis procedure itself. The hop"&amp;"e is that further categories of preferences would be handled by the synthesis procedure; these categories are the ones that seem most important to get right, or couldn't be obtained any other way.")</f>
        <v>One approach to AI alignment involves learning a specification of human values that can then be optimized. This agenda proposes that we learn an adequate representation of values (i.e. _not_ &lt;@ambitious value learning@&gt;(@What is ambitious value learning?@)). We first obtain partial preferences and associated weights from human mental models whose symbols have been adequately grounded. Calling these "preferences" is a normative assumption to avoid an &lt;@impossibility result in value learning@&gt;(@Humans can be assigned any values whatsoever…@): the hope is that the AI could correct for incorrect human beliefs. The preferences are then extended to all possible states, and are normalized so that they are comparable to each other, and then synthesized into a utility function that the AI can optimize.
The partial preferences are divided into a few categories: individual preferences, preferences about the rest of the world, and meta-preferences, some of which can be about the synthesis procedure itself. The hope is that further categories of preferences would be handled by the synthesis procedure; these categories are the ones that seem most important to get right, or couldn't be obtained any other way.</v>
      </c>
      <c r="K927" t="str">
        <f>IFERROR(__xludf.DUMMYFUNCTION("""COMPUTED_VALUE"""),"See the next entry.")</f>
        <v>See the next entry.</v>
      </c>
    </row>
    <row r="928">
      <c r="A928" t="str">
        <f>IFERROR(__xludf.DUMMYFUNCTION("""COMPUTED_VALUE"""),"Learning human intent")</f>
        <v>Learning human intent</v>
      </c>
      <c r="B928" t="str">
        <f>IFERROR(__xludf.DUMMYFUNCTION("""COMPUTED_VALUE"""),"")</f>
        <v/>
      </c>
      <c r="C928" s="3" t="str">
        <f>IFERROR(__xludf.DUMMYFUNCTION("""COMPUTED_VALUE"""),"Some Comments on Stuart Armstrong's ""Research Agenda v0.9""")</f>
        <v>Some Comments on Stuart Armstrong's "Research Agenda v0.9"</v>
      </c>
      <c r="D928" t="str">
        <f>IFERROR(__xludf.DUMMYFUNCTION("""COMPUTED_VALUE"""),"Charlie Steiner")</f>
        <v>Charlie Steiner</v>
      </c>
      <c r="E928" t="str">
        <f>IFERROR(__xludf.DUMMYFUNCTION("""COMPUTED_VALUE"""),"Alignment Forum")</f>
        <v>Alignment Forum</v>
      </c>
      <c r="F928">
        <f>IFERROR(__xludf.DUMMYFUNCTION("""COMPUTED_VALUE"""),2019.0)</f>
        <v>2019</v>
      </c>
      <c r="H928" s="3" t="str">
        <f>IFERROR(__xludf.DUMMYFUNCTION("""COMPUTED_VALUE"""),"AN #60")</f>
        <v>AN #60</v>
      </c>
      <c r="I928" t="str">
        <f>IFERROR(__xludf.DUMMYFUNCTION("""COMPUTED_VALUE"""),"Rohin")</f>
        <v>Rohin</v>
      </c>
      <c r="J928" t="str">
        <f>IFERROR(__xludf.DUMMYFUNCTION("""COMPUTED_VALUE"""),"This post makes two main critiques of the research agenda in the previous entry. First, the research agenda involves a lot of human-designed features and modules, but &lt;@The Bitter Lesson@&gt; is that machine learning tends to shine with highly abstract large"&amp;" models that can make use of a lot of compute. Second, the symbol grounding part of the agenda requires the AI system to develop representations of the world that match the representations that humans use, and we have no idea how to do that, or even what "&amp;"it would mean to ""match human representations"" when the AI is more intelligent than humans. The post also includes some more specific comments that I'm not summarizing.")</f>
        <v>This post makes two main critiques of the research agenda in the previous entry. First, the research agenda involves a lot of human-designed features and modules, but &lt;@The Bitter Lesson@&gt; is that machine learning tends to shine with highly abstract large models that can make use of a lot of compute. Second, the symbol grounding part of the agenda requires the AI system to develop representations of the world that match the representations that humans use, and we have no idea how to do that, or even what it would mean to "match human representations" when the AI is more intelligent than humans. The post also includes some more specific comments that I'm not summarizing.</v>
      </c>
      <c r="K928" t="str">
        <f>IFERROR(__xludf.DUMMYFUNCTION("""COMPUTED_VALUE"""),"I agree with both of these critiques, especially the one about the bitter lesson. It seems like Stuart's approach imposes a particular structure or algorithm for how to synthesize the utility function; I am generally skeptical of such approaches. Also, as"&amp;" you might already know, I think it is neither necessary nor sufficient for AI alignment to find a utility function or ""goal"" that the AI can safely optimize. Since this promises to be a very difficult enterprise (Section 0.2 notes that it aims to ""sol"&amp;"ve at least 5 major open problems in philosophy, to a level rigorous enough that we can specify them in code""), I prefer to look into other approaches that seem more tractable.
I do think that the problems that motivate the various aspects of the agenda"&amp;" are important and useful to think about, and I am happy that they have all been put into this single post. I also like the fact that the research agenda is directly aiming for a full solution to AI alignment.")</f>
        <v>I agree with both of these critiques, especially the one about the bitter lesson. It seems like Stuart's approach imposes a particular structure or algorithm for how to synthesize the utility function; I am generally skeptical of such approaches. Also, as you might already know, I think it is neither necessary nor sufficient for AI alignment to find a utility function or "goal" that the AI can safely optimize. Since this promises to be a very difficult enterprise (Section 0.2 notes that it aims to "solve at least 5 major open problems in philosophy, to a level rigorous enough that we can specify them in code"), I prefer to look into other approaches that seem more tractable.
I do think that the problems that motivate the various aspects of the agenda are important and useful to think about, and I am happy that they have all been put into this single post. I also like the fact that the research agenda is directly aiming for a full solution to AI alignment.</v>
      </c>
    </row>
    <row r="929">
      <c r="A929" t="str">
        <f>IFERROR(__xludf.DUMMYFUNCTION("""COMPUTED_VALUE"""),"Learning human intent")</f>
        <v>Learning human intent</v>
      </c>
      <c r="B929" t="str">
        <f>IFERROR(__xludf.DUMMYFUNCTION("""COMPUTED_VALUE"""),"")</f>
        <v/>
      </c>
      <c r="C929" s="3" t="str">
        <f>IFERROR(__xludf.DUMMYFUNCTION("""COMPUTED_VALUE"""),"Delegative Reinforcement Learning")</f>
        <v>Delegative Reinforcement Learning</v>
      </c>
      <c r="D929" t="str">
        <f>IFERROR(__xludf.DUMMYFUNCTION("""COMPUTED_VALUE"""),"Vanessa Kosoy")</f>
        <v>Vanessa Kosoy</v>
      </c>
      <c r="E929" t="str">
        <f>IFERROR(__xludf.DUMMYFUNCTION("""COMPUTED_VALUE"""),"SafeML 2019")</f>
        <v>SafeML 2019</v>
      </c>
      <c r="F929">
        <f>IFERROR(__xludf.DUMMYFUNCTION("""COMPUTED_VALUE"""),2019.0)</f>
        <v>2019</v>
      </c>
      <c r="H929" s="3" t="str">
        <f>IFERROR(__xludf.DUMMYFUNCTION("""COMPUTED_VALUE"""),"AN #57")</f>
        <v>AN #57</v>
      </c>
      <c r="I929" t="str">
        <f>IFERROR(__xludf.DUMMYFUNCTION("""COMPUTED_VALUE"""),"Rohin")</f>
        <v>Rohin</v>
      </c>
      <c r="J929" t="str">
        <f>IFERROR(__xludf.DUMMYFUNCTION("""COMPUTED_VALUE"""),"Consider environments that have “traps”: states that permanently curtail the long-term value that an agent can achieve. A world without humans could be one such trap. Traps could also happen after any irreversible action, if the new state is not as useful"&amp;" for achieving high rewards as the old state.
In such an environment, an RL algorithm could simply take no actions, in which case it incurs regret that is linear in the number of timesteps so far. (Regret is the difference between the expected reward und"&amp;"er the optimal policy and the policy actually executed, so if the average reward per timestep of the optimal policy is 2 and doing nothing is always reward 0, then the regret will be ~2T where T is the number of timesteps, so regret is linear in the numbe"&amp;"r of timesteps.) Can we find an RL algorithm that will _guarantee_ regret sublinear in the number of timesteps, regardless of the environment?
Unsurprisingly, this is impossible, since during exploration the RL agent could fall into a trap, which leads t"&amp;"o linear regret. However, let's suppose that we could delegate to an advisor who knows the environment: what must be true about the advisor for us to do better? Clearly, the advisor must be able to always avoid traps (otherwise the same problem occurs). H"&amp;"owever, this is not enough: getting sublinear regret also requires us to explore enough to eventually find the optimal policy. So, the advisor must have at least some small probability of being optimal, which the agent can then learn from. This paper prov"&amp;"es that with these assumptions there does exist an algorithm that is guaranteed to get sublinear regret.")</f>
        <v>Consider environments that have “traps”: states that permanently curtail the long-term value that an agent can achieve. A world without humans could be one such trap. Traps could also happen after any irreversible action, if the new state is not as useful for achieving high rewards as the old state.
In such an environment, an RL algorithm could simply take no actions, in which case it incurs regret that is linear in the number of timesteps so far. (Regret is the difference between the expected reward under the optimal policy and the policy actually executed, so if the average reward per timestep of the optimal policy is 2 and doing nothing is always reward 0, then the regret will be ~2T where T is the number of timesteps, so regret is linear in the number of timesteps.) Can we find an RL algorithm that will _guarantee_ regret sublinear in the number of timesteps, regardless of the environment?
Unsurprisingly, this is impossible, since during exploration the RL agent could fall into a trap, which leads to linear regret. However, let's suppose that we could delegate to an advisor who knows the environment: what must be true about the advisor for us to do better? Clearly, the advisor must be able to always avoid traps (otherwise the same problem occurs). However, this is not enough: getting sublinear regret also requires us to explore enough to eventually find the optimal policy. So, the advisor must have at least some small probability of being optimal, which the agent can then learn from. This paper proves that with these assumptions there does exist an algorithm that is guaranteed to get sublinear regret.</v>
      </c>
      <c r="K929" t="str">
        <f>IFERROR(__xludf.DUMMYFUNCTION("""COMPUTED_VALUE"""),"It's interesting to see what kinds of assumptions are necessary in order to get AI systems that can avoid catastrophically bad outcomes, and the notion of ""traps"" seems like a good way to formalize this. I worry about there being a Cartesian boundary be"&amp;"tween the agent and the environment, though perhaps even here as long as the advisor is aware of problems caused by such a boundary, they can be modeled as traps and thus avoided.
Of course, if we want the advisor to be a human, both of the assumptions a"&amp;"re unrealistic, but I believe Vanessa's plan is to make the assumptions more realistic in order to see what assumptions are actually necessary.
One thing I wonder about is whether the focus on traps is necessary. With the presence of traps in the theoret"&amp;"ical model, one of the main challenges is in preventing the agent from falling into a trap due to ignorance. However, it seems extremely unlikely that an AI system manages to take some irreversible catastrophic action _by accident_ -- I'm much more worrie"&amp;"d about the case where the AI system is adversarially optimizing against us and intentionally takes an irreversible catastrophic action.")</f>
        <v>It's interesting to see what kinds of assumptions are necessary in order to get AI systems that can avoid catastrophically bad outcomes, and the notion of "traps" seems like a good way to formalize this. I worry about there being a Cartesian boundary between the agent and the environment, though perhaps even here as long as the advisor is aware of problems caused by such a boundary, they can be modeled as traps and thus avoided.
Of course, if we want the advisor to be a human, both of the assumptions are unrealistic, but I believe Vanessa's plan is to make the assumptions more realistic in order to see what assumptions are actually necessary.
One thing I wonder about is whether the focus on traps is necessary. With the presence of traps in the theoretical model, one of the main challenges is in preventing the agent from falling into a trap due to ignorance. However, it seems extremely unlikely that an AI system manages to take some irreversible catastrophic action _by accident_ -- I'm much more worried about the case where the AI system is adversarially optimizing against us and intentionally takes an irreversible catastrophic action.</v>
      </c>
    </row>
    <row r="930">
      <c r="A930" t="str">
        <f>IFERROR(__xludf.DUMMYFUNCTION("""COMPUTED_VALUE"""),"Learning human intent")</f>
        <v>Learning human intent</v>
      </c>
      <c r="B930" t="str">
        <f>IFERROR(__xludf.DUMMYFUNCTION("""COMPUTED_VALUE"""),"")</f>
        <v/>
      </c>
      <c r="C930" s="3" t="str">
        <f>IFERROR(__xludf.DUMMYFUNCTION("""COMPUTED_VALUE"""),"Batch Active Preference-Based Learning of Reward Functions")</f>
        <v>Batch Active Preference-Based Learning of Reward Functions</v>
      </c>
      <c r="D930" t="str">
        <f>IFERROR(__xludf.DUMMYFUNCTION("""COMPUTED_VALUE"""),"Erdem Bıyık and  Dorsa Sadigh")</f>
        <v>Erdem Bıyık and  Dorsa Sadigh</v>
      </c>
      <c r="E930" t="str">
        <f>IFERROR(__xludf.DUMMYFUNCTION("""COMPUTED_VALUE"""),"CoRL 2018")</f>
        <v>CoRL 2018</v>
      </c>
      <c r="F930">
        <f>IFERROR(__xludf.DUMMYFUNCTION("""COMPUTED_VALUE"""),2018.0)</f>
        <v>2018</v>
      </c>
      <c r="H930" s="3" t="str">
        <f>IFERROR(__xludf.DUMMYFUNCTION("""COMPUTED_VALUE"""),"AN #56")</f>
        <v>AN #56</v>
      </c>
      <c r="I930" t="str">
        <f>IFERROR(__xludf.DUMMYFUNCTION("""COMPUTED_VALUE"""),"Cody")</f>
        <v>Cody</v>
      </c>
      <c r="J930" t="str">
        <f>IFERROR(__xludf.DUMMYFUNCTION("""COMPUTED_VALUE"""),"This paper builds on a trend of recent papers that try to learn human preferences, not through demonstrations of optimal behavior, but through a human expressing a preference over two possible trajectories, which has both pragmatic advantages (re limits o"&amp;"f human optimality) and theoretic ones (better ability to extrapolate a reward function). Here, the task is framed as: we want to send humans batches of paired trajectories to rank, but which ones? Batch learning is preferable to single-sample active lear"&amp;"ning because it's more efficient to update a network after a batch of human judgments, rather than after each single one. This adds complexity to the problem because you'd prefer to not have a batch of samples that are individually high-expected-informati"&amp;"on, but which are redundant with one another. The authors define an information criterion (basically the examples about which we're most uncertain of the human's judgment) and then pick a batch of examples based on different heuristics for getting a set o"&amp;"f trajectories with high information content that are separated from each other in feature space.")</f>
        <v>This paper builds on a trend of recent papers that try to learn human preferences, not through demonstrations of optimal behavior, but through a human expressing a preference over two possible trajectories, which has both pragmatic advantages (re limits of human optimality) and theoretic ones (better ability to extrapolate a reward function). Here, the task is framed as: we want to send humans batches of paired trajectories to rank, but which ones? Batch learning is preferable to single-sample active learning because it's more efficient to update a network after a batch of human judgments, rather than after each single one. This adds complexity to the problem because you'd prefer to not have a batch of samples that are individually high-expected-information, but which are redundant with one another. The authors define an information criterion (basically the examples about which we're most uncertain of the human's judgment) and then pick a batch of examples based on different heuristics for getting a set of trajectories with high information content that are separated from each other in feature space.</v>
      </c>
      <c r="K930" t="str">
        <f>IFERROR(__xludf.DUMMYFUNCTION("""COMPUTED_VALUE"""),"This is an elegant paper that makes good use of the toolkit of active learning for human preference solicitation, but it's batch heuristics are all very reliant on having a set of high level trajectory features in which Euclidean distance between points i"&amp;"s a meaningful similarity metric, which feels like a not impossible to generalize but still somewhat limiting constraint.")</f>
        <v>This is an elegant paper that makes good use of the toolkit of active learning for human preference solicitation, but it's batch heuristics are all very reliant on having a set of high level trajectory features in which Euclidean distance between points is a meaningful similarity metric, which feels like a not impossible to generalize but still somewhat limiting constraint.</v>
      </c>
      <c r="L930" t="str">
        <f>IFERROR(__xludf.DUMMYFUNCTION("""COMPUTED_VALUE"""),"&lt;@Active Preference-Based Learning of Reward Functions@&gt;")</f>
        <v>&lt;@Active Preference-Based Learning of Reward Functions@&gt;</v>
      </c>
    </row>
    <row r="931">
      <c r="A931" t="str">
        <f>IFERROR(__xludf.DUMMYFUNCTION("""COMPUTED_VALUE"""),"Learning human intent")</f>
        <v>Learning human intent</v>
      </c>
      <c r="B931" t="str">
        <f>IFERROR(__xludf.DUMMYFUNCTION("""COMPUTED_VALUE"""),"")</f>
        <v/>
      </c>
      <c r="C931" s="3" t="str">
        <f>IFERROR(__xludf.DUMMYFUNCTION("""COMPUTED_VALUE"""),"End-to-End Robotic Reinforcement Learning without Reward Engineering")</f>
        <v>End-to-End Robotic Reinforcement Learning without Reward Engineering</v>
      </c>
      <c r="D931" t="str">
        <f>IFERROR(__xludf.DUMMYFUNCTION("""COMPUTED_VALUE"""),"Avi Singh, Larry Yang, Kristian Hartikainen, Chelsea Finn, Sergey Levine")</f>
        <v>Avi Singh, Larry Yang, Kristian Hartikainen, Chelsea Finn, Sergey Levine</v>
      </c>
      <c r="E931" t="str">
        <f>IFERROR(__xludf.DUMMYFUNCTION("""COMPUTED_VALUE"""),"arXiv")</f>
        <v>arXiv</v>
      </c>
      <c r="F931">
        <f>IFERROR(__xludf.DUMMYFUNCTION("""COMPUTED_VALUE"""),2019.0)</f>
        <v>2019</v>
      </c>
      <c r="H931" s="3" t="str">
        <f>IFERROR(__xludf.DUMMYFUNCTION("""COMPUTED_VALUE"""),"AN #54")</f>
        <v>AN #54</v>
      </c>
      <c r="I931" t="str">
        <f>IFERROR(__xludf.DUMMYFUNCTION("""COMPUTED_VALUE"""),"Cody")</f>
        <v>Cody</v>
      </c>
      <c r="J931" t="str">
        <f>IFERROR(__xludf.DUMMYFUNCTION("""COMPUTED_VALUE"""),"This paper demonstrates an approach that can learn to perform real world robotics tasks based not on example trajectories (states and actions) but just a small number (10) of pixel-level images of goal states showing successful task completion. Their meth"&amp;"od learns a GAN-like classifier to predict whether a given image is a success, continually adding data sampled from the still-learning policy to the set of negative examples, so the model at each step needs to further refine its model of success. The clas"&amp;"sifier, which is used as the reward signal in learning the policy, also makes use of a simple active learning approach, choosing the state its classifier is most confident is success and querying a human about it on fixed intervals, ultimately using less "&amp;"than 75 queries in all cases.")</f>
        <v>This paper demonstrates an approach that can learn to perform real world robotics tasks based not on example trajectories (states and actions) but just a small number (10) of pixel-level images of goal states showing successful task completion. Their method learns a GAN-like classifier to predict whether a given image is a success, continually adding data sampled from the still-learning policy to the set of negative examples, so the model at each step needs to further refine its model of success. The classifier, which is used as the reward signal in learning the policy, also makes use of a simple active learning approach, choosing the state its classifier is most confident is success and querying a human about it on fixed intervals, ultimately using less than 75 queries in all cases.</v>
      </c>
      <c r="K931" t="str">
        <f>IFERROR(__xludf.DUMMYFUNCTION("""COMPUTED_VALUE"""),"This is a result I find impressive, primarily because of its interest in abiding by sensible real-world constraints: it's easier for humans to label successful end states than to demonstrate a series of actions, and the number of queries made was similarl"&amp;"y pragmatically low.")</f>
        <v>This is a result I find impressive, primarily because of its interest in abiding by sensible real-world constraints: it's easier for humans to label successful end states than to demonstrate a series of actions, and the number of queries made was similarly pragmatically low.</v>
      </c>
      <c r="M931" s="3" t="str">
        <f>IFERROR(__xludf.DUMMYFUNCTION("""COMPUTED_VALUE"""),"BAIR blog post")</f>
        <v>BAIR blog post</v>
      </c>
    </row>
    <row r="932">
      <c r="A932" t="str">
        <f>IFERROR(__xludf.DUMMYFUNCTION("""COMPUTED_VALUE"""),"Learning human intent")</f>
        <v>Learning human intent</v>
      </c>
      <c r="B932" t="str">
        <f>IFERROR(__xludf.DUMMYFUNCTION("""COMPUTED_VALUE"""),"")</f>
        <v/>
      </c>
      <c r="C932" s="3" t="str">
        <f>IFERROR(__xludf.DUMMYFUNCTION("""COMPUTED_VALUE"""),"Conditional revealed preference")</f>
        <v>Conditional revealed preference</v>
      </c>
      <c r="D932" t="str">
        <f>IFERROR(__xludf.DUMMYFUNCTION("""COMPUTED_VALUE"""),"Jessica Taylor")</f>
        <v>Jessica Taylor</v>
      </c>
      <c r="E932" t="str">
        <f>IFERROR(__xludf.DUMMYFUNCTION("""COMPUTED_VALUE"""),"Author's Website")</f>
        <v>Author's Website</v>
      </c>
      <c r="F932">
        <f>IFERROR(__xludf.DUMMYFUNCTION("""COMPUTED_VALUE"""),2019.0)</f>
        <v>2019</v>
      </c>
      <c r="H932" s="3" t="str">
        <f>IFERROR(__xludf.DUMMYFUNCTION("""COMPUTED_VALUE"""),"AN #53")</f>
        <v>AN #53</v>
      </c>
      <c r="I932" t="str">
        <f>IFERROR(__xludf.DUMMYFUNCTION("""COMPUTED_VALUE"""),"Rohin")</f>
        <v>Rohin</v>
      </c>
      <c r="J932" t="str">
        <f>IFERROR(__xludf.DUMMYFUNCTION("""COMPUTED_VALUE"""),"When backing out preferences by looking at people's actions, you may find that even though they say they are optimizing for X, their actions are better explained as optimizing for Y. This is better than relying on what they say, at least if you want to pr"&amp;"edict what they will do in the future. However, all such inferences are specific to the current context. For example, you may infer that schools are ""about"" dealing with authoritarian work environments, as opposed to learning -- but maybe this is becaus"&amp;"e everyone who designs schools doesn't realize what the most effective methods of teaching-for-learning are, and if they were convinced that some other method was better for learning they would switch to that. So, in order to figure out what people ""real"&amp;"ly want"", we need to see not only what they do in the current context, but also what they would do in a range of alternative scenarios.")</f>
        <v>When backing out preferences by looking at people's actions, you may find that even though they say they are optimizing for X, their actions are better explained as optimizing for Y. This is better than relying on what they say, at least if you want to predict what they will do in the future. However, all such inferences are specific to the current context. For example, you may infer that schools are "about" dealing with authoritarian work environments, as opposed to learning -- but maybe this is because everyone who designs schools doesn't realize what the most effective methods of teaching-for-learning are, and if they were convinced that some other method was better for learning they would switch to that. So, in order to figure out what people "really want", we need to see not only what they do in the current context, but also what they would do in a range of alternative scenarios.</v>
      </c>
      <c r="K932" t="str">
        <f>IFERROR(__xludf.DUMMYFUNCTION("""COMPUTED_VALUE"""),"The general point here, which comes up pretty often, is that any information you get about ""what humans want"" is going to be specific to the context in which you elicit that information. This post makes that point when the information you get is the act"&amp;"ions that people take. Some other instances of this point:
    - [Inverse Reward Design](https://arxiv.org/abs/1711.02827) notes that a human-provided reward function should be treated as _specific to the training environment_, instead of as a descriptio"&amp;"n of good behavior in all possible environments.
    - [CP-Nets](https://www.cs.toronto.edu/~cebly/Papers/CPnets.pdf) are based on the point that when a human says ""I want X"" it is not a statement that is meant to hold in all possible contexts. They pro"&amp;"pose very weak semantics, where ""I want X"" means ""holding every other aspect of the world constant, it would be better for X to be present than for it not to be present"".
    - [Wei Dai's point](https://www.alignmentforum.org/posts/HTgakSs6JpnogD6c2/t"&amp;"wo-neglected-problems-in-human-ai-safety) ([AN #37](https://mailchi.mp/6eb8190e723f/alignment-newsletter-37)) that humans likely have adversarial examples, and we should not expect preferences to generalize under distribution shift.
    - Stuart Armstrong"&amp;" and Paul Christiano have made or addressed this point in many of their posts.")</f>
        <v>The general point here, which comes up pretty often, is that any information you get about "what humans want" is going to be specific to the context in which you elicit that information. This post makes that point when the information you get is the actions that people take. Some other instances of this point:
    - [Inverse Reward Design](https://arxiv.org/abs/1711.02827) notes that a human-provided reward function should be treated as _specific to the training environment_, instead of as a description of good behavior in all possible environments.
    - [CP-Nets](https://www.cs.toronto.edu/~cebly/Papers/CPnets.pdf) are based on the point that when a human says "I want X" it is not a statement that is meant to hold in all possible contexts. They propose very weak semantics, where "I want X" means "holding every other aspect of the world constant, it would be better for X to be present than for it not to be present".
    - [Wei Dai's point](https://www.alignmentforum.org/posts/HTgakSs6JpnogD6c2/two-neglected-problems-in-human-ai-safety) ([AN #37](https://mailchi.mp/6eb8190e723f/alignment-newsletter-37)) that humans likely have adversarial examples, and we should not expect preferences to generalize under distribution shift.
    - Stuart Armstrong and Paul Christiano have made or addressed this point in many of their posts.</v>
      </c>
    </row>
    <row r="933">
      <c r="A933" t="str">
        <f>IFERROR(__xludf.DUMMYFUNCTION("""COMPUTED_VALUE"""),"Learning human intent")</f>
        <v>Learning human intent</v>
      </c>
      <c r="B933" t="str">
        <f>IFERROR(__xludf.DUMMYFUNCTION("""COMPUTED_VALUE"""),"")</f>
        <v/>
      </c>
      <c r="C933" s="3" t="str">
        <f>IFERROR(__xludf.DUMMYFUNCTION("""COMPUTED_VALUE"""),"Heuristic Approaches for Goal Recognition in Incomplete Domain Models")</f>
        <v>Heuristic Approaches for Goal Recognition in Incomplete Domain Models</v>
      </c>
      <c r="D933" t="str">
        <f>IFERROR(__xludf.DUMMYFUNCTION("""COMPUTED_VALUE"""),"Ramon Fraga Pereira, Felipe Meneguzzi")</f>
        <v>Ramon Fraga Pereira, Felipe Meneguzzi</v>
      </c>
      <c r="E933" t="str">
        <f>IFERROR(__xludf.DUMMYFUNCTION("""COMPUTED_VALUE"""),"arXiv")</f>
        <v>arXiv</v>
      </c>
      <c r="F933">
        <f>IFERROR(__xludf.DUMMYFUNCTION("""COMPUTED_VALUE"""),2018.0)</f>
        <v>2018</v>
      </c>
      <c r="G933" t="str">
        <f>IFERROR(__xludf.DUMMYFUNCTION("""COMPUTED_VALUE"""),"Beth Barnes")</f>
        <v>Beth Barnes</v>
      </c>
      <c r="H933" s="3" t="str">
        <f>IFERROR(__xludf.DUMMYFUNCTION("""COMPUTED_VALUE"""),"AN #5")</f>
        <v>AN #5</v>
      </c>
      <c r="I933" t="str">
        <f>IFERROR(__xludf.DUMMYFUNCTION("""COMPUTED_VALUE"""),"Rohin")</f>
        <v>Rohin</v>
      </c>
      <c r="J933" t="str">
        <f>IFERROR(__xludf.DUMMYFUNCTION("""COMPUTED_VALUE"""),"The planning community works on algorithms that can plan given a _symbolic_ definition of the environment, how actions affect the environment, and the goal state; analogous to reinforcement learning. The task of inverting the optimal behavior to infer the"&amp;" goal is called goal recognition or plan recognition (analogous to inverse reinforcement learning). This paper looks at goal recognition where the models of the world are incomplete, so that there are _possible_ preconditions and effects of actions. They "&amp;"extract potential _landmarks_ from the plan, which are things (facts or actions) that must happen in order to achieve the goal, and then suggest two heuristics for how to use the landmarks to rank among possible goals.")</f>
        <v>The planning community works on algorithms that can plan given a _symbolic_ definition of the environment, how actions affect the environment, and the goal state; analogous to reinforcement learning. The task of inverting the optimal behavior to infer the goal is called goal recognition or plan recognition (analogous to inverse reinforcement learning). This paper looks at goal recognition where the models of the world are incomplete, so that there are _possible_ preconditions and effects of actions. They extract potential _landmarks_ from the plan, which are things (facts or actions) that must happen in order to achieve the goal, and then suggest two heuristics for how to use the landmarks to rank among possible goals.</v>
      </c>
      <c r="K933" t="str">
        <f>IFERROR(__xludf.DUMMYFUNCTION("""COMPUTED_VALUE"""),"I'm not familiar with this field, but it seems like they have identified a different set of problems with and solutions for goal inference, and it would be useful to see how they apply to IRL. Perhaps the explicit landmark inference leads to more hierarch"&amp;"y in goals? Maybe the unique landmark heuristic is not captured in the standard Boltzmann-rational assumption in IRL? I'd also be interested to see if we can apply IRL algorithms to the plan recognition dataset and get good performance.")</f>
        <v>I'm not familiar with this field, but it seems like they have identified a different set of problems with and solutions for goal inference, and it would be useful to see how they apply to IRL. Perhaps the explicit landmark inference leads to more hierarchy in goals? Maybe the unique landmark heuristic is not captured in the standard Boltzmann-rational assumption in IRL? I'd also be interested to see if we can apply IRL algorithms to the plan recognition dataset and get good performance.</v>
      </c>
      <c r="M933" s="3" t="str">
        <f>IFERROR(__xludf.DUMMYFUNCTION("""COMPUTED_VALUE"""),"Datasets")</f>
        <v>Datasets</v>
      </c>
    </row>
    <row r="934">
      <c r="A934" t="str">
        <f>IFERROR(__xludf.DUMMYFUNCTION("""COMPUTED_VALUE"""),"Learning human intent")</f>
        <v>Learning human intent</v>
      </c>
      <c r="B934" t="str">
        <f>IFERROR(__xludf.DUMMYFUNCTION("""COMPUTED_VALUE"""),"")</f>
        <v/>
      </c>
      <c r="C934" s="3" t="str">
        <f>IFERROR(__xludf.DUMMYFUNCTION("""COMPUTED_VALUE"""),"Reward Learning from Narrated Demonstrations")</f>
        <v>Reward Learning from Narrated Demonstrations</v>
      </c>
      <c r="D934" t="str">
        <f>IFERROR(__xludf.DUMMYFUNCTION("""COMPUTED_VALUE"""),"Hsiao-Yu Fish Tung, Adam W. Harley, Liang-Kang Huang, Katerina Fragkiadaki")</f>
        <v>Hsiao-Yu Fish Tung, Adam W. Harley, Liang-Kang Huang, Katerina Fragkiadaki</v>
      </c>
      <c r="E934" t="str">
        <f>IFERROR(__xludf.DUMMYFUNCTION("""COMPUTED_VALUE"""),"ICML 2018")</f>
        <v>ICML 2018</v>
      </c>
      <c r="F934">
        <f>IFERROR(__xludf.DUMMYFUNCTION("""COMPUTED_VALUE"""),2018.0)</f>
        <v>2018</v>
      </c>
      <c r="H934" s="3" t="str">
        <f>IFERROR(__xludf.DUMMYFUNCTION("""COMPUTED_VALUE"""),"AN #5")</f>
        <v>AN #5</v>
      </c>
      <c r="I934" t="str">
        <f>IFERROR(__xludf.DUMMYFUNCTION("""COMPUTED_VALUE"""),"Rohin")</f>
        <v>Rohin</v>
      </c>
      <c r="J934" t="str">
        <f>IFERROR(__xludf.DUMMYFUNCTION("""COMPUTED_VALUE"""),"This paper learns and optimizes rewards given demonstrations of behavior along with a description of the behavior in natural language. Their dataset is a set of videos of humans demonstrating a task and describing it with natural language (such as ""the o"&amp;"range is in the bowl""). They combine several techniques to use this dataset to teach a robot. First, using speech recognition, they get a transcript of the natural language aligned with the video. They use object detectors to figure out what things are p"&amp;"resent in the image, and a syntactic parser to figure out the subject and object of the sentence, and match up these two results to figure out which objects in the image the natural language refers to, and extract their spatial features. They then train a"&amp;" classifier to take the spatial features and detecting whether it has achieved the goal, conditioned on the natural language description of the task. Now that they have a reward function (1 at a goal state, 0 otherwise) they can train a robot using DQN, t"&amp;"hough to get this to work they infer 3D object configurations from 2D images and use distance to the goal as a shaped reward.")</f>
        <v>This paper learns and optimizes rewards given demonstrations of behavior along with a description of the behavior in natural language. Their dataset is a set of videos of humans demonstrating a task and describing it with natural language (such as "the orange is in the bowl"). They combine several techniques to use this dataset to teach a robot. First, using speech recognition, they get a transcript of the natural language aligned with the video. They use object detectors to figure out what things are present in the image, and a syntactic parser to figure out the subject and object of the sentence, and match up these two results to figure out which objects in the image the natural language refers to, and extract their spatial features. They then train a classifier to take the spatial features and detecting whether it has achieved the goal, conditioned on the natural language description of the task. Now that they have a reward function (1 at a goal state, 0 otherwise) they can train a robot using DQN, though to get this to work they infer 3D object configurations from 2D images and use distance to the goal as a shaped reward.</v>
      </c>
      <c r="K934" t="str">
        <f>IFERROR(__xludf.DUMMYFUNCTION("""COMPUTED_VALUE"""),"I'm excited to see approaches to reward learning that use information from natural language -- that definitely seems like a rich source of information we have not made use of yet. That said, there are a lot of moving parts in this system and the parts tha"&amp;"t analyze natural language impose a lot of structure, to the extent that it feels like a domain-specific language instead of natural language. (I'm not confident about this, it's hard to tell from the paper.) I also don't understand the experiments. They "&amp;"say that the sparse reward couldn't train policies with episode length 3 -- sparse reward is a hard problem, but it isn't _that_ hard, so I must be misunderstanding something here.")</f>
        <v>I'm excited to see approaches to reward learning that use information from natural language -- that definitely seems like a rich source of information we have not made use of yet. That said, there are a lot of moving parts in this system and the parts that analyze natural language impose a lot of structure, to the extent that it feels like a domain-specific language instead of natural language. (I'm not confident about this, it's hard to tell from the paper.) I also don't understand the experiments. They say that the sparse reward couldn't train policies with episode length 3 -- sparse reward is a hard problem, but it isn't _that_ hard, so I must be misunderstanding something here.</v>
      </c>
    </row>
    <row r="935">
      <c r="A935" t="str">
        <f>IFERROR(__xludf.DUMMYFUNCTION("""COMPUTED_VALUE"""),"Learning human intent")</f>
        <v>Learning human intent</v>
      </c>
      <c r="B935" t="str">
        <f>IFERROR(__xludf.DUMMYFUNCTION("""COMPUTED_VALUE"""),"")</f>
        <v/>
      </c>
      <c r="C935" s="3" t="str">
        <f>IFERROR(__xludf.DUMMYFUNCTION("""COMPUTED_VALUE"""),"AI Alignment Podcast: Human Cognition and the Nature of Intelligence")</f>
        <v>AI Alignment Podcast: Human Cognition and the Nature of Intelligence</v>
      </c>
      <c r="D935" t="str">
        <f>IFERROR(__xludf.DUMMYFUNCTION("""COMPUTED_VALUE"""),"Lucas Perry and Joshua Greene")</f>
        <v>Lucas Perry and Joshua Greene</v>
      </c>
      <c r="E935" t="str">
        <f>IFERROR(__xludf.DUMMYFUNCTION("""COMPUTED_VALUE"""),"FLI Website")</f>
        <v>FLI Website</v>
      </c>
      <c r="F935">
        <f>IFERROR(__xludf.DUMMYFUNCTION("""COMPUTED_VALUE"""),2019.0)</f>
        <v>2019</v>
      </c>
      <c r="H935" s="3" t="str">
        <f>IFERROR(__xludf.DUMMYFUNCTION("""COMPUTED_VALUE"""),"AN #47")</f>
        <v>AN #47</v>
      </c>
      <c r="I935" t="str">
        <f>IFERROR(__xludf.DUMMYFUNCTION("""COMPUTED_VALUE"""),"Richard")</f>
        <v>Richard</v>
      </c>
      <c r="J935" t="str">
        <f>IFERROR(__xludf.DUMMYFUNCTION("""COMPUTED_VALUE"""),"Joshua Greene's lab has two research directions. The first is how we combine concepts to form thoughts: a process which allows us to understand arbitrary novel scenarios (even ones we don't think ever occurred). He discusses some of his recent reseach, wh"&amp;"ich uses brain imaging to infer what's happening when humans think about compound concepts. While Joshua considers the combinatorial nature of thought to be important, he argues that to build AGI, it's necessary to start with ""grounded cognition"" in whi"&amp;"ch representations are derived from perception and physical action, rather than just learning to manipulate symbols (like language).
Joshua also works on the psychology and neuroscience of morality. He discusses his recent work in which participants are "&amp;"prompted to consider Rawls' Veil of Ignorance argument (that when making decisions affecting many people, we should do so as if we don't know which one we are) and then asked to evaluate moral dilemmas such as trolley problems. Joshua argues that the conc"&amp;"ept of impartiality is at the core of morality, and that it pushes people towards more utilitarian ideas (although he wants to rebrand utilitarianism as ""deep pragmatism"" to address its PR problems).")</f>
        <v>Joshua Greene's lab has two research directions. The first is how we combine concepts to form thoughts: a process which allows us to understand arbitrary novel scenarios (even ones we don't think ever occurred). He discusses some of his recent reseach, which uses brain imaging to infer what's happening when humans think about compound concepts. While Joshua considers the combinatorial nature of thought to be important, he argues that to build AGI, it's necessary to start with "grounded cognition" in which representations are derived from perception and physical action, rather than just learning to manipulate symbols (like language).
Joshua also works on the psychology and neuroscience of morality. He discusses his recent work in which participants are prompted to consider Rawls' Veil of Ignorance argument (that when making decisions affecting many people, we should do so as if we don't know which one we are) and then asked to evaluate moral dilemmas such as trolley problems. Joshua argues that the concept of impartiality is at the core of morality, and that it pushes people towards more utilitarian ideas (although he wants to rebrand utilitarianism as "deep pragmatism" to address its PR problems).</v>
      </c>
    </row>
    <row r="936">
      <c r="A936" t="str">
        <f>IFERROR(__xludf.DUMMYFUNCTION("""COMPUTED_VALUE"""),"Learning human intent")</f>
        <v>Learning human intent</v>
      </c>
      <c r="B936" t="str">
        <f>IFERROR(__xludf.DUMMYFUNCTION("""COMPUTED_VALUE"""),"")</f>
        <v/>
      </c>
      <c r="C936" s="3" t="str">
        <f>IFERROR(__xludf.DUMMYFUNCTION("""COMPUTED_VALUE"""),"Imitation Learning from Imperfect Demonstration")</f>
        <v>Imitation Learning from Imperfect Demonstration</v>
      </c>
      <c r="D936" t="str">
        <f>IFERROR(__xludf.DUMMYFUNCTION("""COMPUTED_VALUE"""),"Yueh-Hua Wu, Nontawat Charoenphakdee, Han Bao, Voot Tangkaratt, Masashi Sugiyama")</f>
        <v>Yueh-Hua Wu, Nontawat Charoenphakdee, Han Bao, Voot Tangkaratt, Masashi Sugiyama</v>
      </c>
      <c r="E936" t="str">
        <f>IFERROR(__xludf.DUMMYFUNCTION("""COMPUTED_VALUE"""),"SafeAI 2019: Proceedings of the AAAI Workshop on Artificial Intelligence Safety 2019")</f>
        <v>SafeAI 2019: Proceedings of the AAAI Workshop on Artificial Intelligence Safety 2019</v>
      </c>
      <c r="F936">
        <f>IFERROR(__xludf.DUMMYFUNCTION("""COMPUTED_VALUE"""),2019.0)</f>
        <v>2019</v>
      </c>
      <c r="H936" s="3" t="str">
        <f>IFERROR(__xludf.DUMMYFUNCTION("""COMPUTED_VALUE"""),"AN #47")</f>
        <v>AN #47</v>
      </c>
    </row>
    <row r="937">
      <c r="A937" t="str">
        <f>IFERROR(__xludf.DUMMYFUNCTION("""COMPUTED_VALUE"""),"Learning human intent")</f>
        <v>Learning human intent</v>
      </c>
      <c r="B937" t="str">
        <f>IFERROR(__xludf.DUMMYFUNCTION("""COMPUTED_VALUE"""),"")</f>
        <v/>
      </c>
      <c r="C937" s="3" t="str">
        <f>IFERROR(__xludf.DUMMYFUNCTION("""COMPUTED_VALUE"""),"Learning User Preferences via Reinforcement Learning with Spatial Interface Valuing")</f>
        <v>Learning User Preferences via Reinforcement Learning with Spatial Interface Valuing</v>
      </c>
      <c r="D937" t="str">
        <f>IFERROR(__xludf.DUMMYFUNCTION("""COMPUTED_VALUE"""),"Miguel Alonso Jr")</f>
        <v>Miguel Alonso Jr</v>
      </c>
      <c r="E937" t="str">
        <f>IFERROR(__xludf.DUMMYFUNCTION("""COMPUTED_VALUE"""),"NIPS 2018")</f>
        <v>NIPS 2018</v>
      </c>
      <c r="F937">
        <f>IFERROR(__xludf.DUMMYFUNCTION("""COMPUTED_VALUE"""),2019.0)</f>
        <v>2019</v>
      </c>
      <c r="H937" s="3" t="str">
        <f>IFERROR(__xludf.DUMMYFUNCTION("""COMPUTED_VALUE"""),"AN #47")</f>
        <v>AN #47</v>
      </c>
    </row>
    <row r="938">
      <c r="A938" t="str">
        <f>IFERROR(__xludf.DUMMYFUNCTION("""COMPUTED_VALUE"""),"Learning human intent")</f>
        <v>Learning human intent</v>
      </c>
      <c r="B938" t="str">
        <f>IFERROR(__xludf.DUMMYFUNCTION("""COMPUTED_VALUE"""),"")</f>
        <v/>
      </c>
      <c r="C938" s="3" t="str">
        <f>IFERROR(__xludf.DUMMYFUNCTION("""COMPUTED_VALUE"""),"What AI Safety Researchers Have Written About the Nature of Human Values")</f>
        <v>What AI Safety Researchers Have Written About the Nature of Human Values</v>
      </c>
      <c r="D938" t="str">
        <f>IFERROR(__xludf.DUMMYFUNCTION("""COMPUTED_VALUE"""),"avturchin")</f>
        <v>avturchin</v>
      </c>
      <c r="E938" t="str">
        <f>IFERROR(__xludf.DUMMYFUNCTION("""COMPUTED_VALUE"""),"LessWrong")</f>
        <v>LessWrong</v>
      </c>
      <c r="F938">
        <f>IFERROR(__xludf.DUMMYFUNCTION("""COMPUTED_VALUE"""),2019.0)</f>
        <v>2019</v>
      </c>
      <c r="H938" s="3" t="str">
        <f>IFERROR(__xludf.DUMMYFUNCTION("""COMPUTED_VALUE"""),"AN #42")</f>
        <v>AN #42</v>
      </c>
      <c r="I938" t="str">
        <f>IFERROR(__xludf.DUMMYFUNCTION("""COMPUTED_VALUE"""),"Rohin")</f>
        <v>Rohin</v>
      </c>
      <c r="J938" t="str">
        <f>IFERROR(__xludf.DUMMYFUNCTION("""COMPUTED_VALUE"""),"This post categorizes theories of human values along three axes. First, how complex is the description of the values? Second, to what extent are ""values"" defined as a function of behavior (as opposed to being a function of eg. the brain's algorithm)? Fi"&amp;"nally, how broadly applicable is the theory: could it apply to arbitrary minds, or only to humans? The post then summarizes different positions on human values that different researchers have taken.")</f>
        <v>This post categorizes theories of human values along three axes. First, how complex is the description of the values? Second, to what extent are "values" defined as a function of behavior (as opposed to being a function of eg. the brain's algorithm)? Finally, how broadly applicable is the theory: could it apply to arbitrary minds, or only to humans? The post then summarizes different positions on human values that different researchers have taken.</v>
      </c>
      <c r="K938" t="str">
        <f>IFERROR(__xludf.DUMMYFUNCTION("""COMPUTED_VALUE"""),"I found the categorization useful for understanding the differences between views on human values, which can be quite varied and hard to compare.")</f>
        <v>I found the categorization useful for understanding the differences between views on human values, which can be quite varied and hard to compare.</v>
      </c>
    </row>
    <row r="939">
      <c r="A939" t="str">
        <f>IFERROR(__xludf.DUMMYFUNCTION("""COMPUTED_VALUE"""),"Learning human intent")</f>
        <v>Learning human intent</v>
      </c>
      <c r="B939" t="str">
        <f>IFERROR(__xludf.DUMMYFUNCTION("""COMPUTED_VALUE"""),"")</f>
        <v/>
      </c>
      <c r="C939" s="3" t="str">
        <f>IFERROR(__xludf.DUMMYFUNCTION("""COMPUTED_VALUE"""),"On the Utility of Model Learning in HRI")</f>
        <v>On the Utility of Model Learning in HRI</v>
      </c>
      <c r="D939" t="str">
        <f>IFERROR(__xludf.DUMMYFUNCTION("""COMPUTED_VALUE"""),"Rohan Choudhury, Gokul Swamy, Dylan Hadfield-Menell, Anca Dragan")</f>
        <v>Rohan Choudhury, Gokul Swamy, Dylan Hadfield-Menell, Anca Dragan</v>
      </c>
      <c r="E939" t="str">
        <f>IFERROR(__xludf.DUMMYFUNCTION("""COMPUTED_VALUE"""),"arXiv")</f>
        <v>arXiv</v>
      </c>
      <c r="F939">
        <f>IFERROR(__xludf.DUMMYFUNCTION("""COMPUTED_VALUE"""),2019.0)</f>
        <v>2019</v>
      </c>
      <c r="H939" s="3" t="str">
        <f>IFERROR(__xludf.DUMMYFUNCTION("""COMPUTED_VALUE"""),"AN #41")</f>
        <v>AN #41</v>
      </c>
    </row>
    <row r="940">
      <c r="A940" t="str">
        <f>IFERROR(__xludf.DUMMYFUNCTION("""COMPUTED_VALUE"""),"Learning human intent")</f>
        <v>Learning human intent</v>
      </c>
      <c r="B940" t="str">
        <f>IFERROR(__xludf.DUMMYFUNCTION("""COMPUTED_VALUE"""),"")</f>
        <v/>
      </c>
      <c r="C940" s="3" t="str">
        <f>IFERROR(__xludf.DUMMYFUNCTION("""COMPUTED_VALUE"""),"Learning from Demonstration in the Wild")</f>
        <v>Learning from Demonstration in the Wild</v>
      </c>
      <c r="D940" t="str">
        <f>IFERROR(__xludf.DUMMYFUNCTION("""COMPUTED_VALUE"""),"Feryal Behbahani, Kyriacos Shiarlis, Xi Chen, Vitaly Kurin, Sudhanshu Kasewa, Ciprian Stirbu, João Gomes, Supratik Paul, Frans A. Oliehoek, João Messias, Shimon Whiteson")</f>
        <v>Feryal Behbahani, Kyriacos Shiarlis, Xi Chen, Vitaly Kurin, Sudhanshu Kasewa, Ciprian Stirbu, João Gomes, Supratik Paul, Frans A. Oliehoek, João Messias, Shimon Whiteson</v>
      </c>
      <c r="E940" t="str">
        <f>IFERROR(__xludf.DUMMYFUNCTION("""COMPUTED_VALUE"""),"arXiv")</f>
        <v>arXiv</v>
      </c>
      <c r="F940">
        <f>IFERROR(__xludf.DUMMYFUNCTION("""COMPUTED_VALUE"""),2018.0)</f>
        <v>2018</v>
      </c>
      <c r="H940" s="3" t="str">
        <f>IFERROR(__xludf.DUMMYFUNCTION("""COMPUTED_VALUE"""),"AN #32")</f>
        <v>AN #32</v>
      </c>
      <c r="I940" t="str">
        <f>IFERROR(__xludf.DUMMYFUNCTION("""COMPUTED_VALUE"""),"Richard")</f>
        <v>Richard</v>
      </c>
      <c r="J940" t="str">
        <f>IFERROR(__xludf.DUMMYFUNCTION("""COMPUTED_VALUE"""),"This paper learns traffic trajectories from unsupervised data by converting traffic camera footage into a Unity scene simulation, using that simulation to generate pseudo-LIDAR readings for each ""expert trajectory"", and then training an agent to imitate"&amp;" them using a variant of generative adversarial imitation learning (GAIL).")</f>
        <v>This paper learns traffic trajectories from unsupervised data by converting traffic camera footage into a Unity scene simulation, using that simulation to generate pseudo-LIDAR readings for each "expert trajectory", and then training an agent to imitate them using a variant of generative adversarial imitation learning (GAIL).</v>
      </c>
      <c r="K940" t="str">
        <f>IFERROR(__xludf.DUMMYFUNCTION("""COMPUTED_VALUE"""),"This is a cool example of how huge amounts of existing unlabeled video data might be utilised. The task they attempt is significantly more complex than those in other similar work (such as [this paper](https://arxiv.org/abs/1805.11592) which learns to pla"&amp;"y Atari games from Youtube videos); however, this also makes it difficult to judge how well the learned policy performed, and how much potential it has to transfer into the real world.")</f>
        <v>This is a cool example of how huge amounts of existing unlabeled video data might be utilised. The task they attempt is significantly more complex than those in other similar work (such as [this paper](https://arxiv.org/abs/1805.11592) which learns to play Atari games from Youtube videos); however, this also makes it difficult to judge how well the learned policy performed, and how much potential it has to transfer into the real world.</v>
      </c>
    </row>
    <row r="941">
      <c r="A941" t="str">
        <f>IFERROR(__xludf.DUMMYFUNCTION("""COMPUTED_VALUE"""),"Learning human intent")</f>
        <v>Learning human intent</v>
      </c>
      <c r="B941" t="str">
        <f>IFERROR(__xludf.DUMMYFUNCTION("""COMPUTED_VALUE"""),"")</f>
        <v/>
      </c>
      <c r="C941" s="3" t="str">
        <f>IFERROR(__xludf.DUMMYFUNCTION("""COMPUTED_VALUE"""),"One-Shot Hierarchical Imitation Learning of Compound Visuomotor Tasks")</f>
        <v>One-Shot Hierarchical Imitation Learning of Compound Visuomotor Tasks</v>
      </c>
      <c r="D941" t="str">
        <f>IFERROR(__xludf.DUMMYFUNCTION("""COMPUTED_VALUE"""),"Tianhe Yu, Pieter Abbeel, Sergey Levine, Chelsea Finn")</f>
        <v>Tianhe Yu, Pieter Abbeel, Sergey Levine, Chelsea Finn</v>
      </c>
      <c r="E941" t="str">
        <f>IFERROR(__xludf.DUMMYFUNCTION("""COMPUTED_VALUE"""),"arXiv")</f>
        <v>arXiv</v>
      </c>
      <c r="F941">
        <f>IFERROR(__xludf.DUMMYFUNCTION("""COMPUTED_VALUE"""),2018.0)</f>
        <v>2018</v>
      </c>
      <c r="H941" s="3" t="str">
        <f>IFERROR(__xludf.DUMMYFUNCTION("""COMPUTED_VALUE"""),"AN #31")</f>
        <v>AN #31</v>
      </c>
    </row>
    <row r="942">
      <c r="A942" t="str">
        <f>IFERROR(__xludf.DUMMYFUNCTION("""COMPUTED_VALUE"""),"Learning human intent")</f>
        <v>Learning human intent</v>
      </c>
      <c r="B942" t="str">
        <f>IFERROR(__xludf.DUMMYFUNCTION("""COMPUTED_VALUE"""),"")</f>
        <v/>
      </c>
      <c r="C942" s="3" t="str">
        <f>IFERROR(__xludf.DUMMYFUNCTION("""COMPUTED_VALUE"""),"Shared Autonomy via Deep Reinforcement Learning")</f>
        <v>Shared Autonomy via Deep Reinforcement Learning</v>
      </c>
      <c r="D942" t="str">
        <f>IFERROR(__xludf.DUMMYFUNCTION("""COMPUTED_VALUE"""),"Siddharth Reddy")</f>
        <v>Siddharth Reddy</v>
      </c>
      <c r="E942" t="str">
        <f>IFERROR(__xludf.DUMMYFUNCTION("""COMPUTED_VALUE"""),"BAIR Blog")</f>
        <v>BAIR Blog</v>
      </c>
      <c r="F942">
        <f>IFERROR(__xludf.DUMMYFUNCTION("""COMPUTED_VALUE"""),2018.0)</f>
        <v>2018</v>
      </c>
      <c r="H942" s="3" t="str">
        <f>IFERROR(__xludf.DUMMYFUNCTION("""COMPUTED_VALUE"""),"AN #3")</f>
        <v>AN #3</v>
      </c>
      <c r="I942" t="str">
        <f>IFERROR(__xludf.DUMMYFUNCTION("""COMPUTED_VALUE"""),"Rohin")</f>
        <v>Rohin</v>
      </c>
      <c r="J942" t="str">
        <f>IFERROR(__xludf.DUMMYFUNCTION("""COMPUTED_VALUE"""),"In shared autonomy, an AI system assists a human to complete a task. The authors implement shared autonomy in a deep RL framework by simply extending the state with the control input from the human, and then learning a policy that chooses actions given th"&amp;"e extended state. They show that the human-AI team performs better than either one alone in the Lunar Lander environment.")</f>
        <v>In shared autonomy, an AI system assists a human to complete a task. The authors implement shared autonomy in a deep RL framework by simply extending the state with the control input from the human, and then learning a policy that chooses actions given the extended state. They show that the human-AI team performs better than either one alone in the Lunar Lander environment.</v>
      </c>
      <c r="K942" t="str">
        <f>IFERROR(__xludf.DUMMYFUNCTION("""COMPUTED_VALUE"""),"Shared autonomy is an interesting setting because the human is still necessary in order to actually perform the task, whereas in typical reward learning settings, once you have learned the reward function and the AI is performing well, the human does not "&amp;"need to be present in order to execute a good policy.")</f>
        <v>Shared autonomy is an interesting setting because the human is still necessary in order to actually perform the task, whereas in typical reward learning settings, once you have learned the reward function and the AI is performing well, the human does not need to be present in order to execute a good policy.</v>
      </c>
    </row>
    <row r="943">
      <c r="A943" t="str">
        <f>IFERROR(__xludf.DUMMYFUNCTION("""COMPUTED_VALUE"""),"Learning human intent")</f>
        <v>Learning human intent</v>
      </c>
      <c r="B943" t="str">
        <f>IFERROR(__xludf.DUMMYFUNCTION("""COMPUTED_VALUE"""),"")</f>
        <v/>
      </c>
      <c r="C943" s="3" t="str">
        <f>IFERROR(__xludf.DUMMYFUNCTION("""COMPUTED_VALUE"""),"Addressing Sample Inefficiency and Reward Bias in Inverse Reinforcement Learning")</f>
        <v>Addressing Sample Inefficiency and Reward Bias in Inverse Reinforcement Learning</v>
      </c>
      <c r="D943" t="str">
        <f>IFERROR(__xludf.DUMMYFUNCTION("""COMPUTED_VALUE"""),"Ilya Kostrikov, Kumar Krishna Agrawal, Debidatta Dwibedi, Sergey Levine, Jonathan Tompson")</f>
        <v>Ilya Kostrikov, Kumar Krishna Agrawal, Debidatta Dwibedi, Sergey Levine, Jonathan Tompson</v>
      </c>
      <c r="E943" t="str">
        <f>IFERROR(__xludf.DUMMYFUNCTION("""COMPUTED_VALUE"""),"arXiv")</f>
        <v>arXiv</v>
      </c>
      <c r="F943">
        <f>IFERROR(__xludf.DUMMYFUNCTION("""COMPUTED_VALUE"""),2018.0)</f>
        <v>2018</v>
      </c>
      <c r="H943" s="3" t="str">
        <f>IFERROR(__xludf.DUMMYFUNCTION("""COMPUTED_VALUE"""),"AN #29")</f>
        <v>AN #29</v>
      </c>
      <c r="I943" t="str">
        <f>IFERROR(__xludf.DUMMYFUNCTION("""COMPUTED_VALUE"""),"Rohin")</f>
        <v>Rohin</v>
      </c>
      <c r="J943" t="str">
        <f>IFERROR(__xludf.DUMMYFUNCTION("""COMPUTED_VALUE"""),"Deep IRL algorithms typically work by training a discriminator that distinguishes between states and actions from the expert from states and actions from the learned policy, and extracting a reward function from the discriminator. In any environment where"&amp;" the episode can end after a variable number of timesteps, this assumes that the reward is zero after the episode ends. The reward function from the discriminator often takes a form where it must always be positive, inducing a survival incentive, or a for"&amp;"m where it must always be negative, inducing a living cost. For example, [GAIL](https://arxiv.org/abs/1606.03476)'s reward is always positive, giving a survival incentive. As a result, _without any reward learning at all_ GAIL does better on Hopper than b"&amp;"ehavioral cloning, and fails to learn on a reaching or pushing task (where you want to do the task as quickly as possible, so you want the living cost). To solve this, they learn an ""absorbing state reward"", which is a reward given after the episode end"&amp;"s -- this allows the algorithm to learn for itself whether it should have a survival incentive or living cost.
They also introduce a version that keeps a replay buffer of experience and uses an off-policy algorithm to learn from the replay buffer in orde"&amp;"r to improve sample efficiency.")</f>
        <v>Deep IRL algorithms typically work by training a discriminator that distinguishes between states and actions from the expert from states and actions from the learned policy, and extracting a reward function from the discriminator. In any environment where the episode can end after a variable number of timesteps, this assumes that the reward is zero after the episode ends. The reward function from the discriminator often takes a form where it must always be positive, inducing a survival incentive, or a form where it must always be negative, inducing a living cost. For example, [GAIL](https://arxiv.org/abs/1606.03476)'s reward is always positive, giving a survival incentive. As a result, _without any reward learning at all_ GAIL does better on Hopper than behavioral cloning, and fails to learn on a reaching or pushing task (where you want to do the task as quickly as possible, so you want the living cost). To solve this, they learn an "absorbing state reward", which is a reward given after the episode ends -- this allows the algorithm to learn for itself whether it should have a survival incentive or living cost.
They also introduce a version that keeps a replay buffer of experience and uses an off-policy algorithm to learn from the replay buffer in order to improve sample efficiency.</v>
      </c>
      <c r="K943" t="str">
        <f>IFERROR(__xludf.DUMMYFUNCTION("""COMPUTED_VALUE"""),"The key insight that rewards are _not_ invariant to additions of a constant when you have variable-length episodes is useful and I'm glad that it's been pointed out, and a solution proposed. However, the experiments are really strange -- in one case (Figu"&amp;"re 4, HalfCheetah) their algorithm outperforms the expert (which has access to the true reward), and in another (Figure 5, right) the blue line implies that using a uniformly zero reward lets you achieve around a third of expert performance (!!).")</f>
        <v>The key insight that rewards are _not_ invariant to additions of a constant when you have variable-length episodes is useful and I'm glad that it's been pointed out, and a solution proposed. However, the experiments are really strange -- in one case (Figure 4, HalfCheetah) their algorithm outperforms the expert (which has access to the true reward), and in another (Figure 5, right) the blue line implies that using a uniformly zero reward lets you achieve around a third of expert performance (!!).</v>
      </c>
    </row>
    <row r="944">
      <c r="A944" t="str">
        <f>IFERROR(__xludf.DUMMYFUNCTION("""COMPUTED_VALUE"""),"Learning human intent")</f>
        <v>Learning human intent</v>
      </c>
      <c r="B944" t="str">
        <f>IFERROR(__xludf.DUMMYFUNCTION("""COMPUTED_VALUE"""),"")</f>
        <v/>
      </c>
      <c r="C944" s="3" t="str">
        <f>IFERROR(__xludf.DUMMYFUNCTION("""COMPUTED_VALUE"""),"Task-Embedded Control Networks for Few-Shot Imitation Learning")</f>
        <v>Task-Embedded Control Networks for Few-Shot Imitation Learning</v>
      </c>
      <c r="D944" t="str">
        <f>IFERROR(__xludf.DUMMYFUNCTION("""COMPUTED_VALUE"""),"Stephen James, Michael Bloesch, Andrew J. Davison")</f>
        <v>Stephen James, Michael Bloesch, Andrew J. Davison</v>
      </c>
      <c r="E944" t="str">
        <f>IFERROR(__xludf.DUMMYFUNCTION("""COMPUTED_VALUE"""),"International Conference on Innovative Techniques and Applications of Artificial Intelligence 2018")</f>
        <v>International Conference on Innovative Techniques and Applications of Artificial Intelligence 2018</v>
      </c>
      <c r="F944">
        <f>IFERROR(__xludf.DUMMYFUNCTION("""COMPUTED_VALUE"""),2018.0)</f>
        <v>2018</v>
      </c>
      <c r="H944" s="3" t="str">
        <f>IFERROR(__xludf.DUMMYFUNCTION("""COMPUTED_VALUE"""),"AN #28")</f>
        <v>AN #28</v>
      </c>
    </row>
    <row r="945">
      <c r="A945" t="str">
        <f>IFERROR(__xludf.DUMMYFUNCTION("""COMPUTED_VALUE"""),"Learning human intent")</f>
        <v>Learning human intent</v>
      </c>
      <c r="B945" t="str">
        <f>IFERROR(__xludf.DUMMYFUNCTION("""COMPUTED_VALUE"""),"")</f>
        <v/>
      </c>
      <c r="C945" s="3" t="str">
        <f>IFERROR(__xludf.DUMMYFUNCTION("""COMPUTED_VALUE"""),"Few-Shot Goal Inference for Visuomotor Learning and Planning")</f>
        <v>Few-Shot Goal Inference for Visuomotor Learning and Planning</v>
      </c>
      <c r="D945" t="str">
        <f>IFERROR(__xludf.DUMMYFUNCTION("""COMPUTED_VALUE"""),"Annie Xie, Avi Singh, Sergey Levine, Chelsea Finn")</f>
        <v>Annie Xie, Avi Singh, Sergey Levine, Chelsea Finn</v>
      </c>
      <c r="E945" t="str">
        <f>IFERROR(__xludf.DUMMYFUNCTION("""COMPUTED_VALUE"""),"arXiv")</f>
        <v>arXiv</v>
      </c>
      <c r="F945">
        <f>IFERROR(__xludf.DUMMYFUNCTION("""COMPUTED_VALUE"""),2018.0)</f>
        <v>2018</v>
      </c>
      <c r="H945" s="3" t="str">
        <f>IFERROR(__xludf.DUMMYFUNCTION("""COMPUTED_VALUE"""),"AN #27")</f>
        <v>AN #27</v>
      </c>
    </row>
    <row r="946">
      <c r="A946" t="str">
        <f>IFERROR(__xludf.DUMMYFUNCTION("""COMPUTED_VALUE"""),"Learning human intent")</f>
        <v>Learning human intent</v>
      </c>
      <c r="B946" t="str">
        <f>IFERROR(__xludf.DUMMYFUNCTION("""COMPUTED_VALUE"""),"")</f>
        <v/>
      </c>
      <c r="C946" s="3" t="str">
        <f>IFERROR(__xludf.DUMMYFUNCTION("""COMPUTED_VALUE"""),"Video Imitation GAN: Learning control policies by imitating raw videos using generative adversarial reward estimation")</f>
        <v>Video Imitation GAN: Learning control policies by imitating raw videos using generative adversarial reward estimation</v>
      </c>
      <c r="D946" t="str">
        <f>IFERROR(__xludf.DUMMYFUNCTION("""COMPUTED_VALUE"""),"Subhajit Chaudhury, Daiki Kimura, Tu-Hoa Pham, Asim Munawar, Ryuki Tachibana")</f>
        <v>Subhajit Chaudhury, Daiki Kimura, Tu-Hoa Pham, Asim Munawar, Ryuki Tachibana</v>
      </c>
      <c r="E946" t="str">
        <f>IFERROR(__xludf.DUMMYFUNCTION("""COMPUTED_VALUE"""),"EMNLP 2018")</f>
        <v>EMNLP 2018</v>
      </c>
      <c r="F946">
        <f>IFERROR(__xludf.DUMMYFUNCTION("""COMPUTED_VALUE"""),2018.0)</f>
        <v>2018</v>
      </c>
      <c r="H946" s="3" t="str">
        <f>IFERROR(__xludf.DUMMYFUNCTION("""COMPUTED_VALUE"""),"AN #27")</f>
        <v>AN #27</v>
      </c>
    </row>
    <row r="947">
      <c r="A947" t="str">
        <f>IFERROR(__xludf.DUMMYFUNCTION("""COMPUTED_VALUE"""),"Learning human intent")</f>
        <v>Learning human intent</v>
      </c>
      <c r="B947" t="str">
        <f>IFERROR(__xludf.DUMMYFUNCTION("""COMPUTED_VALUE"""),"")</f>
        <v/>
      </c>
      <c r="C947" s="3" t="str">
        <f>IFERROR(__xludf.DUMMYFUNCTION("""COMPUTED_VALUE"""),"Inspiration Learning through Preferences")</f>
        <v>Inspiration Learning through Preferences</v>
      </c>
      <c r="D947" t="str">
        <f>IFERROR(__xludf.DUMMYFUNCTION("""COMPUTED_VALUE"""),"Nir Baram, Shie Mannor")</f>
        <v>Nir Baram, Shie Mannor</v>
      </c>
      <c r="E947" t="str">
        <f>IFERROR(__xludf.DUMMYFUNCTION("""COMPUTED_VALUE"""),"Proceedings of the AAAI Workshop on Artificial Intelligence Safety 201")</f>
        <v>Proceedings of the AAAI Workshop on Artificial Intelligence Safety 201</v>
      </c>
      <c r="F947">
        <f>IFERROR(__xludf.DUMMYFUNCTION("""COMPUTED_VALUE"""),2018.0)</f>
        <v>2018</v>
      </c>
      <c r="H947" s="3" t="str">
        <f>IFERROR(__xludf.DUMMYFUNCTION("""COMPUTED_VALUE"""),"AN #25")</f>
        <v>AN #25</v>
      </c>
    </row>
    <row r="948">
      <c r="A948" t="str">
        <f>IFERROR(__xludf.DUMMYFUNCTION("""COMPUTED_VALUE"""),"Learning human intent")</f>
        <v>Learning human intent</v>
      </c>
      <c r="B948" t="str">
        <f>IFERROR(__xludf.DUMMYFUNCTION("""COMPUTED_VALUE"""),"")</f>
        <v/>
      </c>
      <c r="C948" s="3" t="str">
        <f>IFERROR(__xludf.DUMMYFUNCTION("""COMPUTED_VALUE"""),"Active Inverse Reward Design")</f>
        <v>Active Inverse Reward Design</v>
      </c>
      <c r="D948" t="str">
        <f>IFERROR(__xludf.DUMMYFUNCTION("""COMPUTED_VALUE"""),"Sören Mindermann, Rohin Shah, Adam Gleave, Dylan Hadfield-Menell")</f>
        <v>Sören Mindermann, Rohin Shah, Adam Gleave, Dylan Hadfield-Menell</v>
      </c>
      <c r="E948" t="str">
        <f>IFERROR(__xludf.DUMMYFUNCTION("""COMPUTED_VALUE"""),"arXiv")</f>
        <v>arXiv</v>
      </c>
      <c r="F948">
        <f>IFERROR(__xludf.DUMMYFUNCTION("""COMPUTED_VALUE"""),2018.0)</f>
        <v>2018</v>
      </c>
      <c r="H948" s="3" t="str">
        <f>IFERROR(__xludf.DUMMYFUNCTION("""COMPUTED_VALUE"""),"AN #24")</f>
        <v>AN #24</v>
      </c>
      <c r="I948" t="str">
        <f>IFERROR(__xludf.DUMMYFUNCTION("""COMPUTED_VALUE"""),"Rohin")</f>
        <v>Rohin</v>
      </c>
      <c r="J948" t="str">
        <f>IFERROR(__xludf.DUMMYFUNCTION("""COMPUTED_VALUE"""),"Inverse Reward Design (IRD) introduced the idea that a hand-designed reward function should be treated as an _observation_ about the intended reward function. Any particular hand-designed reward function (called a _proxy reward_) is likely if it incentivi"&amp;"zes good behavior in the training environment, as measured by the true reward function. In this paper, instead of asking the reward designer to choose a proxy reward from the space of all possible reward functions, the designer is presented with a small s"&amp;"ubset of possible reward functions and asked to choose the best option from those. The subset is chosen such that the answer will be maximally informative about the true reward (in expectation). This is an easier query for the reward designer to answer, a"&amp;"nd can convey more information about the true reward function. To see this, we can imagine pairing each possible reward function with the trajectory that it incentivizes in the training environment. Then original IRD gets information about the best such t"&amp;"rajectory, which could correspond to multiple true reward functions, whereas active IRD can get information about the best trajectory in any subset of trajectories, and so can get more information in total. In some cases, that extra information can narrow"&amp;" down the space of possible reward functions to a single true reward function. The paper discusses two kinds of queries that can be asked (discrete and continuous), and several optimizations for actually computing the best query to ask (which can be compu"&amp;"tationally intensive). The technique is demonstrated on a contextual bandits problem and gridworlds.")</f>
        <v>Inverse Reward Design (IRD) introduced the idea that a hand-designed reward function should be treated as an _observation_ about the intended reward function. Any particular hand-designed reward function (called a _proxy reward_) is likely if it incentivizes good behavior in the training environment, as measured by the true reward function. In this paper, instead of asking the reward designer to choose a proxy reward from the space of all possible reward functions, the designer is presented with a small subset of possible reward functions and asked to choose the best option from those. The subset is chosen such that the answer will be maximally informative about the true reward (in expectation). This is an easier query for the reward designer to answer, and can convey more information about the true reward function. To see this, we can imagine pairing each possible reward function with the trajectory that it incentivizes in the training environment. Then original IRD gets information about the best such trajectory, which could correspond to multiple true reward functions, whereas active IRD can get information about the best trajectory in any subset of trajectories, and so can get more information in total. In some cases, that extra information can narrow down the space of possible reward functions to a single true reward function. The paper discusses two kinds of queries that can be asked (discrete and continuous), and several optimizations for actually computing the best query to ask (which can be computationally intensive). The technique is demonstrated on a contextual bandits problem and gridworlds.</v>
      </c>
      <c r="L948" s="3" t="str">
        <f>IFERROR(__xludf.DUMMYFUNCTION("""COMPUTED_VALUE"""),"Inverse Reward Design")</f>
        <v>Inverse Reward Design</v>
      </c>
    </row>
    <row r="949">
      <c r="A949" t="str">
        <f>IFERROR(__xludf.DUMMYFUNCTION("""COMPUTED_VALUE"""),"Learning human intent")</f>
        <v>Learning human intent</v>
      </c>
      <c r="B949" t="str">
        <f>IFERROR(__xludf.DUMMYFUNCTION("""COMPUTED_VALUE"""),"")</f>
        <v/>
      </c>
      <c r="C949" s="3" t="str">
        <f>IFERROR(__xludf.DUMMYFUNCTION("""COMPUTED_VALUE"""),"Sample-Efficient Imitation Learning via Generative Adversarial Nets")</f>
        <v>Sample-Efficient Imitation Learning via Generative Adversarial Nets</v>
      </c>
      <c r="D949" t="str">
        <f>IFERROR(__xludf.DUMMYFUNCTION("""COMPUTED_VALUE"""),"Lionel Blondé, Alexandros Kalousis")</f>
        <v>Lionel Blondé, Alexandros Kalousis</v>
      </c>
      <c r="E949" t="str">
        <f>IFERROR(__xludf.DUMMYFUNCTION("""COMPUTED_VALUE"""),"NeurIPS2018")</f>
        <v>NeurIPS2018</v>
      </c>
      <c r="F949">
        <f>IFERROR(__xludf.DUMMYFUNCTION("""COMPUTED_VALUE"""),2018.0)</f>
        <v>2018</v>
      </c>
      <c r="H949" s="3" t="str">
        <f>IFERROR(__xludf.DUMMYFUNCTION("""COMPUTED_VALUE"""),"AN #23")</f>
        <v>AN #23</v>
      </c>
    </row>
    <row r="950">
      <c r="A950" t="str">
        <f>IFERROR(__xludf.DUMMYFUNCTION("""COMPUTED_VALUE"""),"Learning human intent")</f>
        <v>Learning human intent</v>
      </c>
      <c r="B950" t="str">
        <f>IFERROR(__xludf.DUMMYFUNCTION("""COMPUTED_VALUE"""),"")</f>
        <v/>
      </c>
      <c r="C950" s="3" t="str">
        <f>IFERROR(__xludf.DUMMYFUNCTION("""COMPUTED_VALUE"""),"Risk-Sensitive Generative Adversarial Imitation Learning")</f>
        <v>Risk-Sensitive Generative Adversarial Imitation Learning</v>
      </c>
      <c r="D950" t="str">
        <f>IFERROR(__xludf.DUMMYFUNCTION("""COMPUTED_VALUE"""),"Jonathan Lacotte, Mohammad Ghavamzadeh, Yinlam Chow, Marco Pavone")</f>
        <v>Jonathan Lacotte, Mohammad Ghavamzadeh, Yinlam Chow, Marco Pavone</v>
      </c>
      <c r="E950" t="str">
        <f>IFERROR(__xludf.DUMMYFUNCTION("""COMPUTED_VALUE"""),"NIPS 2018")</f>
        <v>NIPS 2018</v>
      </c>
      <c r="F950">
        <f>IFERROR(__xludf.DUMMYFUNCTION("""COMPUTED_VALUE"""),2018.0)</f>
        <v>2018</v>
      </c>
      <c r="H950" s="3" t="str">
        <f>IFERROR(__xludf.DUMMYFUNCTION("""COMPUTED_VALUE"""),"AN #20")</f>
        <v>AN #20</v>
      </c>
      <c r="I950" t="str">
        <f>IFERROR(__xludf.DUMMYFUNCTION("""COMPUTED_VALUE"""),"Rohin")</f>
        <v>Rohin</v>
      </c>
      <c r="J950" t="str">
        <f>IFERROR(__xludf.DUMMYFUNCTION("""COMPUTED_VALUE"""),"This paper extends GAIL to perform imitation learning where we try to optimize a policy for the mean reward collected under the constraint that the policy is no more risky than the expert policy. Since we don't know the true cost function, we have to appr"&amp;"oximate this problem with another problem where we infer the cost function as well, and evaluate the risk profile relative to the inferred cost function. The algorithm ends up looking very similar to the original GAIL algorithm, where the gradient updates"&amp;" change in order to include terms dependent on the conditional value-at-risk (CVaR). They evaluate against GAIL and RAIL (another risk-sensitive imitation learning algorithm) and find that their method performs the best on the Hopper and Walker Mujoco env"&amp;"ironments.")</f>
        <v>This paper extends GAIL to perform imitation learning where we try to optimize a policy for the mean reward collected under the constraint that the policy is no more risky than the expert policy. Since we don't know the true cost function, we have to approximate this problem with another problem where we infer the cost function as well, and evaluate the risk profile relative to the inferred cost function. The algorithm ends up looking very similar to the original GAIL algorithm, where the gradient updates change in order to include terms dependent on the conditional value-at-risk (CVaR). They evaluate against GAIL and RAIL (another risk-sensitive imitation learning algorithm) and find that their method performs the best on the Hopper and Walker Mujoco environments.</v>
      </c>
      <c r="K950" t="str">
        <f>IFERROR(__xludf.DUMMYFUNCTION("""COMPUTED_VALUE"""),"I only skimmed through the math, so I don't understand the paper well enough to have a good opinion on it. The overall objective of having more risk-sensitivity seems useful for safety. That said, I do find the VNM utility theorem compelling, and it sugge"&amp;"sts that risk aversion is a bad strategy. I currently resolve this by saying that while the VNM theorem is true, if you want to optimize expected reward over a long time horizon in an environment with high-downside actions but not high-upside actions, eve"&amp;"n if you are maximizing expected utility you would not take low-probability-of-high-downside actions. (Here a high-downside action is one that causes something like death/episode termination.) Since humans are (probably) scope-insensitive with respect to "&amp;"time, it becomes important for humans to have a heuristic of risk aversion in order to actually maximize expected utility in practice. I'd be interested in seeing experiments with current (risk neutral) RL algorithms in long-horizon environments with acti"&amp;"ons with high downside, and see if they automatically learn behavior that we would call ""risk-averse"".
Take this with a grain of salt -- it's a lot more speculative than most of my opinions, which can already be quite speculative. Most of the steps in "&amp;"that argument are handwavy intuitions I have that aren't based on any research that's been done (though I haven't looked for any such research). Though you can think of the argument for focusing on long-term AI safety at all as an instance of this idea, w"&amp;"here the argument is that our risk-aversion heuristic is only sufficient for timescales on the orders of human lifetimes, not for cosmic timescales, and so we should explicitly be more risk-averse and focus on reducing existential risk.")</f>
        <v>I only skimmed through the math, so I don't understand the paper well enough to have a good opinion on it. The overall objective of having more risk-sensitivity seems useful for safety. That said, I do find the VNM utility theorem compelling, and it suggests that risk aversion is a bad strategy. I currently resolve this by saying that while the VNM theorem is true, if you want to optimize expected reward over a long time horizon in an environment with high-downside actions but not high-upside actions, even if you are maximizing expected utility you would not take low-probability-of-high-downside actions. (Here a high-downside action is one that causes something like death/episode termination.) Since humans are (probably) scope-insensitive with respect to time, it becomes important for humans to have a heuristic of risk aversion in order to actually maximize expected utility in practice. I'd be interested in seeing experiments with current (risk neutral) RL algorithms in long-horizon environments with actions with high downside, and see if they automatically learn behavior that we would call "risk-averse".
Take this with a grain of salt -- it's a lot more speculative than most of my opinions, which can already be quite speculative. Most of the steps in that argument are handwavy intuitions I have that aren't based on any research that's been done (though I haven't looked for any such research). Though you can think of the argument for focusing on long-term AI safety at all as an instance of this idea, where the argument is that our risk-aversion heuristic is only sufficient for timescales on the orders of human lifetimes, not for cosmic timescales, and so we should explicitly be more risk-averse and focus on reducing existential risk.</v>
      </c>
    </row>
    <row r="951">
      <c r="A951" t="str">
        <f>IFERROR(__xludf.DUMMYFUNCTION("""COMPUTED_VALUE"""),"Learning human intent")</f>
        <v>Learning human intent</v>
      </c>
      <c r="B951" t="str">
        <f>IFERROR(__xludf.DUMMYFUNCTION("""COMPUTED_VALUE"""),"")</f>
        <v/>
      </c>
      <c r="C951" s="3" t="str">
        <f>IFERROR(__xludf.DUMMYFUNCTION("""COMPUTED_VALUE"""),"Entropic Regret I: Deterministic MDPs")</f>
        <v>Entropic Regret I: Deterministic MDPs</v>
      </c>
      <c r="D951" t="str">
        <f>IFERROR(__xludf.DUMMYFUNCTION("""COMPUTED_VALUE"""),"Vadim Kosoy")</f>
        <v>Vadim Kosoy</v>
      </c>
      <c r="E951" t="str">
        <f>IFERROR(__xludf.DUMMYFUNCTION("""COMPUTED_VALUE"""),"Alignment Forum")</f>
        <v>Alignment Forum</v>
      </c>
      <c r="F951">
        <f>IFERROR(__xludf.DUMMYFUNCTION("""COMPUTED_VALUE"""),2018.0)</f>
        <v>2018</v>
      </c>
      <c r="H951" s="3" t="str">
        <f>IFERROR(__xludf.DUMMYFUNCTION("""COMPUTED_VALUE"""),"AN #20")</f>
        <v>AN #20</v>
      </c>
    </row>
    <row r="952">
      <c r="A952" t="str">
        <f>IFERROR(__xludf.DUMMYFUNCTION("""COMPUTED_VALUE"""),"Learning human intent")</f>
        <v>Learning human intent</v>
      </c>
      <c r="B952" t="str">
        <f>IFERROR(__xludf.DUMMYFUNCTION("""COMPUTED_VALUE"""),"")</f>
        <v/>
      </c>
      <c r="C952" s="3" t="str">
        <f>IFERROR(__xludf.DUMMYFUNCTION("""COMPUTED_VALUE"""),"Inverse Decision Modeling: Learning Interpretable Representations of Behavior")</f>
        <v>Inverse Decision Modeling: Learning Interpretable Representations of Behavior</v>
      </c>
      <c r="D952" t="str">
        <f>IFERROR(__xludf.DUMMYFUNCTION("""COMPUTED_VALUE"""),"Daniel Jarrett*, Alihan Hüyük*, Mihaela van der Schaar")</f>
        <v>Daniel Jarrett*, Alihan Hüyük*, Mihaela van der Schaar</v>
      </c>
      <c r="E952" t="str">
        <f>IFERROR(__xludf.DUMMYFUNCTION("""COMPUTED_VALUE"""),"ICML 2021")</f>
        <v>ICML 2021</v>
      </c>
      <c r="F952">
        <f>IFERROR(__xludf.DUMMYFUNCTION("""COMPUTED_VALUE"""),2021.0)</f>
        <v>2021</v>
      </c>
      <c r="H952" s="3" t="str">
        <f>IFERROR(__xludf.DUMMYFUNCTION("""COMPUTED_VALUE"""),"AN #169")</f>
        <v>AN #169</v>
      </c>
      <c r="I952" t="str">
        <f>IFERROR(__xludf.DUMMYFUNCTION("""COMPUTED_VALUE"""),"Rohin")</f>
        <v>Rohin</v>
      </c>
      <c r="J952" t="str">
        <f>IFERROR(__xludf.DUMMYFUNCTION("""COMPUTED_VALUE"""),"There’s lots of work on learning preferences from demonstrations, which varies in how much structure they assume on the demonstrator: for example, we might consider them to be &lt;@Boltzmann rational@&gt;(@Modeling Interaction via the Principle of Maximum Causa"&amp;"l Entropy@) or [risk sensitive](https://rss2017.lids.mit.edu/static/papers/62.pdf), or we could try to &lt;@learn their biases@&gt;(@Learning biases and rewards simultaneously@). This paper proposes a framework to encompass all of these choices: the core idea i"&amp;"s to model the demonstrator as choosing actions according to a _planner_; some parameters of this planner are fixed in advance to provide an assumption on the structure of the planner, while others are learned from data. This also allows them to separate "&amp;"beliefs, decision-making, and rewards, so that different structures can be imposed on each of them individually.
The paper provides a mathematical treatment of both the forward problem (how to compute actions in the planner given the reward, think of alg"&amp;"orithms like value iteration) and the backward problem (how to compute the reward given demonstrations, the typical inverse reinforcement learning setting). They demonstrate the framework on a medical dataset, where they introduce a planner with parameter"&amp;"s for flexibility of decision-making, optimism of beliefs, and adaptivity of beliefs. In this case they specify the desired reward function and then run backward inference to conclude that, with respect to this reward function, clinicians appear to be sig"&amp;"nificantly less optimistic when diagnosing dementia in female and elderly patients.")</f>
        <v>There’s lots of work on learning preferences from demonstrations, which varies in how much structure they assume on the demonstrator: for example, we might consider them to be &lt;@Boltzmann rational@&gt;(@Modeling Interaction via the Principle of Maximum Causal Entropy@) or [risk sensitive](https://rss2017.lids.mit.edu/static/papers/62.pdf), or we could try to &lt;@learn their biases@&gt;(@Learning biases and rewards simultaneously@). This paper proposes a framework to encompass all of these choices: the core idea is to model the demonstrator as choosing actions according to a _planner_; some parameters of this planner are fixed in advance to provide an assumption on the structure of the planner, while others are learned from data. This also allows them to separate beliefs, decision-making, and rewards, so that different structures can be imposed on each of them individually.
The paper provides a mathematical treatment of both the forward problem (how to compute actions in the planner given the reward, think of algorithms like value iteration) and the backward problem (how to compute the reward given demonstrations, the typical inverse reinforcement learning setting). They demonstrate the framework on a medical dataset, where they introduce a planner with parameters for flexibility of decision-making, optimism of beliefs, and adaptivity of beliefs. In this case they specify the desired reward function and then run backward inference to conclude that, with respect to this reward function, clinicians appear to be significantly less optimistic when diagnosing dementia in female and elderly patients.</v>
      </c>
      <c r="K952" t="str">
        <f>IFERROR(__xludf.DUMMYFUNCTION("""COMPUTED_VALUE"""),"One thing to note about this paper is that it is an incredible work of scholarship; it fluently cites research across a variety of disciplines, including AI safety, and provides a useful organizing framework for many such papers. If you need to do a liter"&amp;"ature review on inverse reinforcement learning, this paper is a good place to start.")</f>
        <v>One thing to note about this paper is that it is an incredible work of scholarship; it fluently cites research across a variety of disciplines, including AI safety, and provides a useful organizing framework for many such papers. If you need to do a literature review on inverse reinforcement learning, this paper is a good place to start.</v>
      </c>
    </row>
    <row r="953">
      <c r="A953" t="str">
        <f>IFERROR(__xludf.DUMMYFUNCTION("""COMPUTED_VALUE"""),"Learning human intent")</f>
        <v>Learning human intent</v>
      </c>
      <c r="B953" t="str">
        <f>IFERROR(__xludf.DUMMYFUNCTION("""COMPUTED_VALUE"""),"")</f>
        <v/>
      </c>
      <c r="C953" s="3" t="str">
        <f>IFERROR(__xludf.DUMMYFUNCTION("""COMPUTED_VALUE"""),"Human irrationality: both bad and good for reward inference")</f>
        <v>Human irrationality: both bad and good for reward inference</v>
      </c>
      <c r="D953" t="str">
        <f>IFERROR(__xludf.DUMMYFUNCTION("""COMPUTED_VALUE"""),"Lawrence Chan, Andrew Critch, Anca Dragan")</f>
        <v>Lawrence Chan, Andrew Critch, Anca Dragan</v>
      </c>
      <c r="E953" t="str">
        <f>IFERROR(__xludf.DUMMYFUNCTION("""COMPUTED_VALUE"""),"arXiv")</f>
        <v>arXiv</v>
      </c>
      <c r="F953">
        <f>IFERROR(__xludf.DUMMYFUNCTION("""COMPUTED_VALUE"""),2021.0)</f>
        <v>2021</v>
      </c>
      <c r="H953" s="3" t="str">
        <f>IFERROR(__xludf.DUMMYFUNCTION("""COMPUTED_VALUE"""),"AN #169")</f>
        <v>AN #169</v>
      </c>
      <c r="I953" t="str">
        <f>IFERROR(__xludf.DUMMYFUNCTION("""COMPUTED_VALUE"""),"Rohin")</f>
        <v>Rohin</v>
      </c>
      <c r="J953" t="str">
        <f>IFERROR(__xludf.DUMMYFUNCTION("""COMPUTED_VALUE"""),"Last summary, we saw a framework for inverse reinforcement learning with suboptimal demonstrators. This paper instead investigates the qualitative effects of performing inverse reinforcement learning with a suboptimal demonstrator. The authors modify diff"&amp;"erent parts of the Bellman equation in order to create a suite of possible suboptimal demonstrators to study. They run experiments with exact inference on random MDPs and FrozenLake, and with approximate inference on a simple autonomous driving environmen"&amp;"t, and conclude:
1. **Irrationalities can be helpful for reward inference**, that is, if you infer a reward from demonstrations by an irrational demonstrator (where you know the irrationality), you often learn _more_ about the reward than if you inferred"&amp;" a reward from optimal demonstrations (where you know they are optimal). Conceptually, this happens because optimal demonstrations only tell you about what the best behavior is, whereas most kinds of irrationality can also tell you about preferences betwe"&amp;"en suboptimal behaviors.
2. **If you fail to model irrationality, your performance can be very bad**, that is, if you infer a reward from demonstrations by an irrational demonstrator, but you assume that the demonstrator was Boltzmann rational, you can p"&amp;"erform quite badly.")</f>
        <v>Last summary, we saw a framework for inverse reinforcement learning with suboptimal demonstrators. This paper instead investigates the qualitative effects of performing inverse reinforcement learning with a suboptimal demonstrator. The authors modify different parts of the Bellman equation in order to create a suite of possible suboptimal demonstrators to study. They run experiments with exact inference on random MDPs and FrozenLake, and with approximate inference on a simple autonomous driving environment, and conclude:
1. **Irrationalities can be helpful for reward inference**, that is, if you infer a reward from demonstrations by an irrational demonstrator (where you know the irrationality), you often learn _more_ about the reward than if you inferred a reward from optimal demonstrations (where you know they are optimal). Conceptually, this happens because optimal demonstrations only tell you about what the best behavior is, whereas most kinds of irrationality can also tell you about preferences between suboptimal behaviors.
2. **If you fail to model irrationality, your performance can be very bad**, that is, if you infer a reward from demonstrations by an irrational demonstrator, but you assume that the demonstrator was Boltzmann rational, you can perform quite badly.</v>
      </c>
      <c r="K953" t="str">
        <f>IFERROR(__xludf.DUMMYFUNCTION("""COMPUTED_VALUE"""),"One way this paper differs from my intuitions is that it finds that assuming Boltzmann rationality performs very poorly if the demonstrator is in fact systematically suboptimal. I would have instead guessed that Boltzmann rationality would do okay -- not "&amp;"as well as in the case where there is no misspecification, but only a little worse than that. (That’s what I found in &lt;@my paper@&gt;(@Learning biases and rewards simultaneously@), and it makes intuitive sense to me.) Some hypotheses for what’s going on, whi"&amp;"ch the lead author agrees are at least part of the story:
1. When assuming Boltzmann rationality, you infer a distribution over reward functions that is “close” to the correct one in terms of incentivizing the right behavior, but differs in rewards assig"&amp;"ned to suboptimal behavior. In this case, you might get a very bad log loss (the metric used in this paper), but still have a reasonable policy that is decent at acquiring true reward (the metric used in my paper).
2. The environments we’re using may dif"&amp;"fer in some important way (for example, in the environment in my paper, it is primarily important to identify the goal, which might be much easier to do than inferring the right behavior or reward in the autonomous driving environment used in this paper).")</f>
        <v>One way this paper differs from my intuitions is that it finds that assuming Boltzmann rationality performs very poorly if the demonstrator is in fact systematically suboptimal. I would have instead guessed that Boltzmann rationality would do okay -- not as well as in the case where there is no misspecification, but only a little worse than that. (That’s what I found in &lt;@my paper@&gt;(@Learning biases and rewards simultaneously@), and it makes intuitive sense to me.) Some hypotheses for what’s going on, which the lead author agrees are at least part of the story:
1. When assuming Boltzmann rationality, you infer a distribution over reward functions that is “close” to the correct one in terms of incentivizing the right behavior, but differs in rewards assigned to suboptimal behavior. In this case, you might get a very bad log loss (the metric used in this paper), but still have a reasonable policy that is decent at acquiring true reward (the metric used in my paper).
2. The environments we’re using may differ in some important way (for example, in the environment in my paper, it is primarily important to identify the goal, which might be much easier to do than inferring the right behavior or reward in the autonomous driving environment used in this paper).</v>
      </c>
    </row>
    <row r="954">
      <c r="A954" t="str">
        <f>IFERROR(__xludf.DUMMYFUNCTION("""COMPUTED_VALUE"""),"Learning human intent")</f>
        <v>Learning human intent</v>
      </c>
      <c r="B954" t="str">
        <f>IFERROR(__xludf.DUMMYFUNCTION("""COMPUTED_VALUE"""),"")</f>
        <v/>
      </c>
      <c r="C954" s="3" t="str">
        <f>IFERROR(__xludf.DUMMYFUNCTION("""COMPUTED_VALUE"""),"B-Pref: Benchmarking Preference-Based Reinforcement Learning")</f>
        <v>B-Pref: Benchmarking Preference-Based Reinforcement Learning</v>
      </c>
      <c r="D954" t="str">
        <f>IFERROR(__xludf.DUMMYFUNCTION("""COMPUTED_VALUE"""),"Kimin Lee, Laura Smith, Anca Dragan, Pieter Abbeel")</f>
        <v>Kimin Lee, Laura Smith, Anca Dragan, Pieter Abbeel</v>
      </c>
      <c r="E954" t="str">
        <f>IFERROR(__xludf.DUMMYFUNCTION("""COMPUTED_VALUE"""),"NeurIPS 2021 Track Datasets and Benchmarks")</f>
        <v>NeurIPS 2021 Track Datasets and Benchmarks</v>
      </c>
      <c r="F954">
        <f>IFERROR(__xludf.DUMMYFUNCTION("""COMPUTED_VALUE"""),2021.0)</f>
        <v>2021</v>
      </c>
      <c r="H954" s="3" t="str">
        <f>IFERROR(__xludf.DUMMYFUNCTION("""COMPUTED_VALUE"""),"AN #166")</f>
        <v>AN #166</v>
      </c>
      <c r="I954" t="str">
        <f>IFERROR(__xludf.DUMMYFUNCTION("""COMPUTED_VALUE"""),"Zach")</f>
        <v>Zach</v>
      </c>
      <c r="J954" t="str">
        <f>IFERROR(__xludf.DUMMYFUNCTION("""COMPUTED_VALUE"""),"Deep RL has become a powerful method to solve a variety of sequential decision tasks using a known reward function for training. However, in practice, rewards are hard to specify making it hard to scale Deep RL for many applications. Preference-based RL p"&amp;"rovides an alternative by allowing a teacher to indicate preferences between a pair of behaviors. Because the teacher can interactively give feedback to an agent, preference-based RL has the potential to help address this limitation of Deep RL. Despite th"&amp;"e advantages of preference-based RL it has proven difficult to design useful benchmarks for the problem. This paper introduces a benchmark (B-Pref) that is useful for preference-based RL in various locomotion and robotic manipulation tasks.
One difficult"&amp;"y with designing a useful benchmark is that teachers may have a variety of irrationalities. For example, teachers might be myopic or make mistakes. The B-Pref benchmark addresses this by emphasizing measuring performance under a variety of teacher irratio"&amp;"nalities. They do this by providing various performance metrics to introduce irrationality into otherwise deterministic reward criteria. While previous approaches to preference-based RL work well when the teacher responses are consistent, experiments show"&amp;" they are not robust to feedback noise or teacher mistakes. Experiments also show that how queries are selected has a major impact on performance. With these results, the authors identify these two problems as areas for future work.")</f>
        <v>Deep RL has become a powerful method to solve a variety of sequential decision tasks using a known reward function for training. However, in practice, rewards are hard to specify making it hard to scale Deep RL for many applications. Preference-based RL provides an alternative by allowing a teacher to indicate preferences between a pair of behaviors. Because the teacher can interactively give feedback to an agent, preference-based RL has the potential to help address this limitation of Deep RL. Despite the advantages of preference-based RL it has proven difficult to design useful benchmarks for the problem. This paper introduces a benchmark (B-Pref) that is useful for preference-based RL in various locomotion and robotic manipulation tasks.
One difficulty with designing a useful benchmark is that teachers may have a variety of irrationalities. For example, teachers might be myopic or make mistakes. The B-Pref benchmark addresses this by emphasizing measuring performance under a variety of teacher irrationalities. They do this by providing various performance metrics to introduce irrationality into otherwise deterministic reward criteria. While previous approaches to preference-based RL work well when the teacher responses are consistent, experiments show they are not robust to feedback noise or teacher mistakes. Experiments also show that how queries are selected has a major impact on performance. With these results, the authors identify these two problems as areas for future work.</v>
      </c>
      <c r="K954" t="str">
        <f>IFERROR(__xludf.DUMMYFUNCTION("""COMPUTED_VALUE"""),"While the authors do a good job advocating for the problem of preference-based RL, I'm less convinced their particular benchmark is a large step forward. In particular, it seems the main contribution is not a suite of tasks, but rather a collection of dif"&amp;"ferent ways to add irrationality to the teacher oracle. The main takeaway of this paper is that current algorithms don't seem to perform well when the teacher can make mistakes, but this is quite similar to having a misspecified reward function. Beyond th"&amp;"at criticism, the experiments support the areas suggested for future work. ")</f>
        <v>While the authors do a good job advocating for the problem of preference-based RL, I'm less convinced their particular benchmark is a large step forward. In particular, it seems the main contribution is not a suite of tasks, but rather a collection of different ways to add irrationality to the teacher oracle. The main takeaway of this paper is that current algorithms don't seem to perform well when the teacher can make mistakes, but this is quite similar to having a misspecified reward function. Beyond that criticism, the experiments support the areas suggested for future work. </v>
      </c>
    </row>
    <row r="955">
      <c r="A955" t="str">
        <f>IFERROR(__xludf.DUMMYFUNCTION("""COMPUTED_VALUE"""),"Learning human intent")</f>
        <v>Learning human intent</v>
      </c>
      <c r="B955" t="str">
        <f>IFERROR(__xludf.DUMMYFUNCTION("""COMPUTED_VALUE"""),"")</f>
        <v/>
      </c>
      <c r="C955" s="3" t="str">
        <f>IFERROR(__xludf.DUMMYFUNCTION("""COMPUTED_VALUE"""),"VILD: Variational Imitation Learning with Diverse-quality Demonstrations")</f>
        <v>VILD: Variational Imitation Learning with Diverse-quality Demonstrations</v>
      </c>
      <c r="D955" t="str">
        <f>IFERROR(__xludf.DUMMYFUNCTION("""COMPUTED_VALUE"""),"Voot Tangkaratt, Bo Han, Mohammad Emtiyaz Khan, Masashi Sugiyama")</f>
        <v>Voot Tangkaratt, Bo Han, Mohammad Emtiyaz Khan, Masashi Sugiyama</v>
      </c>
      <c r="E955" t="str">
        <f>IFERROR(__xludf.DUMMYFUNCTION("""COMPUTED_VALUE"""),"arXiv")</f>
        <v>arXiv</v>
      </c>
      <c r="F955">
        <f>IFERROR(__xludf.DUMMYFUNCTION("""COMPUTED_VALUE"""),2019.0)</f>
        <v>2019</v>
      </c>
      <c r="H955" s="3" t="str">
        <f>IFERROR(__xludf.DUMMYFUNCTION("""COMPUTED_VALUE"""),"AN #161")</f>
        <v>AN #161</v>
      </c>
      <c r="I955" t="str">
        <f>IFERROR(__xludf.DUMMYFUNCTION("""COMPUTED_VALUE"""),"Rohin")</f>
        <v>Rohin</v>
      </c>
      <c r="J955" t="str">
        <f>IFERROR(__xludf.DUMMYFUNCTION("""COMPUTED_VALUE"""),"We saw in the previous summary that existing methods struggle to cope with datasets of demonstrations of mixed quality. This paper aims to tackle exactly this problem. They consider a model in which there are k demonstrators with varying levels of quality"&amp;". Each demonstrator is modeled as computing an action Boltzmann-rationally and then applying some Gaussian noise; the standard deviation of the Gaussian noise differs across the demonstrators (with higher standard deviation corresponding to lower quality)"&amp;".
They use variational inference to derive an algorithm for this problem that infers the reward function as well as an optimal policy to go along with it. In addition, they oversample data from the demonstrations that the model thinks are high quality in"&amp;" order to get more informative gradients. (They use an importance sampling correction in order to keep the gradient estimate unbiased.)
Their experiments on machine-generated data show significant improvement over existing imitation learning algorithms, "&amp;"both in the case where we synthetically add Gaussian noise (matching the model) and when we add time-signal-dependent (TSD) noise (in which case the model is misspecified).")</f>
        <v>We saw in the previous summary that existing methods struggle to cope with datasets of demonstrations of mixed quality. This paper aims to tackle exactly this problem. They consider a model in which there are k demonstrators with varying levels of quality. Each demonstrator is modeled as computing an action Boltzmann-rationally and then applying some Gaussian noise; the standard deviation of the Gaussian noise differs across the demonstrators (with higher standard deviation corresponding to lower quality).
They use variational inference to derive an algorithm for this problem that infers the reward function as well as an optimal policy to go along with it. In addition, they oversample data from the demonstrations that the model thinks are high quality in order to get more informative gradients. (They use an importance sampling correction in order to keep the gradient estimate unbiased.)
Their experiments on machine-generated data show significant improvement over existing imitation learning algorithms, both in the case where we synthetically add Gaussian noise (matching the model) and when we add time-signal-dependent (TSD) noise (in which case the model is misspecified).</v>
      </c>
      <c r="K955" t="str">
        <f>IFERROR(__xludf.DUMMYFUNCTION("""COMPUTED_VALUE"""),"This seems like a reasonable approach. It has a similar ethos as Boltzmann rationality. In Boltzmann rationality, it seems like all you need to do is model the demonstrator as having some noise but still being more likely to choose higher-reward actions, "&amp;"and that’s enough to get decent performance; similarly here you just need to model different demonstrators as applying different amounts of Gaussian noise to the optimal policy and that’s enough to distinguish good from bad.
Note that, while the experime"&amp;"ntal results are good, the paper doesn’t have experiments with real human demonstrations; as we saw in the previous summary these can often be quite different (in ways that matter) from machine-generated demonstrations.")</f>
        <v>This seems like a reasonable approach. It has a similar ethos as Boltzmann rationality. In Boltzmann rationality, it seems like all you need to do is model the demonstrator as having some noise but still being more likely to choose higher-reward actions, and that’s enough to get decent performance; similarly here you just need to model different demonstrators as applying different amounts of Gaussian noise to the optimal policy and that’s enough to distinguish good from bad.
Note that, while the experimental results are good, the paper doesn’t have experiments with real human demonstrations; as we saw in the previous summary these can often be quite different (in ways that matter) from machine-generated demonstrations.</v>
      </c>
    </row>
    <row r="956">
      <c r="A956" t="str">
        <f>IFERROR(__xludf.DUMMYFUNCTION("""COMPUTED_VALUE"""),"Learning human intent")</f>
        <v>Learning human intent</v>
      </c>
      <c r="B956" t="str">
        <f>IFERROR(__xludf.DUMMYFUNCTION("""COMPUTED_VALUE"""),"")</f>
        <v/>
      </c>
      <c r="C956" s="3" t="str">
        <f>IFERROR(__xludf.DUMMYFUNCTION("""COMPUTED_VALUE"""),"IQ-Learn: Inverse soft-Q Learning for Imitation")</f>
        <v>IQ-Learn: Inverse soft-Q Learning for Imitation</v>
      </c>
      <c r="D956" t="str">
        <f>IFERROR(__xludf.DUMMYFUNCTION("""COMPUTED_VALUE"""),"Divyansh Garg, Shuvam Chakraborty, Chris Cundy, Jiaming Song, Stefano Ermon")</f>
        <v>Divyansh Garg, Shuvam Chakraborty, Chris Cundy, Jiaming Song, Stefano Ermon</v>
      </c>
      <c r="E956" t="str">
        <f>IFERROR(__xludf.DUMMYFUNCTION("""COMPUTED_VALUE"""),"arXiv")</f>
        <v>arXiv</v>
      </c>
      <c r="F956">
        <f>IFERROR(__xludf.DUMMYFUNCTION("""COMPUTED_VALUE"""),2021.0)</f>
        <v>2021</v>
      </c>
      <c r="H956" s="3" t="str">
        <f>IFERROR(__xludf.DUMMYFUNCTION("""COMPUTED_VALUE"""),"AN #161")</f>
        <v>AN #161</v>
      </c>
      <c r="I956" t="str">
        <f>IFERROR(__xludf.DUMMYFUNCTION("""COMPUTED_VALUE"""),"Zach")</f>
        <v>Zach</v>
      </c>
      <c r="J956" t="str">
        <f>IFERROR(__xludf.DUMMYFUNCTION("""COMPUTED_VALUE"""),"A popular way to view imitation learning is as a distribution matching problem. In this approach, the goal is to have the imitator induce a state-action distribution that closely matches that of the expert. Methods such as &lt;@GAIL@&gt;(@Generative Adversarial"&amp;" Imitation Learning@) and &lt;@Value-DICE@&gt;(@Imitation Learning via Off-Policy Distribution Matching@) propose adversarial methods, similar to GANs, to carry out the distribution matching. However, such methods can be difficult to train due to the difficulty"&amp;" of solving saddle-point problems. In this paper, the authors present a non-adversarial method that allows distribution matching to be carried out in a fully offline and non-adversarial fashion. They do this by building on Value-DICE and introducing a sof"&amp;"t-Bellman operator which allows the saddle-point problem to be reduced to estimating a Q-function. In fact, the authors show this reduction is related to off-policy RL algorithms with the reward set to zero. In experiments, the method is shown to be compe"&amp;"titive with other state-of-the-art methods in both the offline and image-based setting.")</f>
        <v>A popular way to view imitation learning is as a distribution matching problem. In this approach, the goal is to have the imitator induce a state-action distribution that closely matches that of the expert. Methods such as &lt;@GAIL@&gt;(@Generative Adversarial Imitation Learning@) and &lt;@Value-DICE@&gt;(@Imitation Learning via Off-Policy Distribution Matching@) propose adversarial methods, similar to GANs, to carry out the distribution matching. However, such methods can be difficult to train due to the difficulty of solving saddle-point problems. In this paper, the authors present a non-adversarial method that allows distribution matching to be carried out in a fully offline and non-adversarial fashion. They do this by building on Value-DICE and introducing a soft-Bellman operator which allows the saddle-point problem to be reduced to estimating a Q-function. In fact, the authors show this reduction is related to off-policy RL algorithms with the reward set to zero. In experiments, the method is shown to be competitive with other state-of-the-art methods in both the offline and image-based setting.</v>
      </c>
      <c r="K956" t="str">
        <f>IFERROR(__xludf.DUMMYFUNCTION("""COMPUTED_VALUE"""),"I found the experimental comparisons to be a bit misleading. If you compare with the results in the original ValueDICE and SQIL paper the algorithms are closer in performance than this paper implies. It's also not clear that you need to use the soft-Bellm"&amp;"an operator especially in the continuous-control setting which was what ValueDICE originally focused on. However, overall, non-adversarial methods are generally more stable so I found this paper to be a good contribution. ")</f>
        <v>I found the experimental comparisons to be a bit misleading. If you compare with the results in the original ValueDICE and SQIL paper the algorithms are closer in performance than this paper implies. It's also not clear that you need to use the soft-Bellman operator especially in the continuous-control setting which was what ValueDICE originally focused on. However, overall, non-adversarial methods are generally more stable so I found this paper to be a good contribution. </v>
      </c>
    </row>
    <row r="957">
      <c r="A957" t="str">
        <f>IFERROR(__xludf.DUMMYFUNCTION("""COMPUTED_VALUE"""),"Learning human intent")</f>
        <v>Learning human intent</v>
      </c>
      <c r="B957" t="str">
        <f>IFERROR(__xludf.DUMMYFUNCTION("""COMPUTED_VALUE"""),"")</f>
        <v/>
      </c>
      <c r="C957" s="3" t="str">
        <f>IFERROR(__xludf.DUMMYFUNCTION("""COMPUTED_VALUE"""),"Uncertain Decisions Facilitate Better Preference Learning")</f>
        <v>Uncertain Decisions Facilitate Better Preference Learning</v>
      </c>
      <c r="D957" t="str">
        <f>IFERROR(__xludf.DUMMYFUNCTION("""COMPUTED_VALUE"""),"Cassidy Laidlaw, Stuart Russell")</f>
        <v>Cassidy Laidlaw, Stuart Russell</v>
      </c>
      <c r="E957" t="str">
        <f>IFERROR(__xludf.DUMMYFUNCTION("""COMPUTED_VALUE"""),"arXiv")</f>
        <v>arXiv</v>
      </c>
      <c r="F957">
        <f>IFERROR(__xludf.DUMMYFUNCTION("""COMPUTED_VALUE"""),2021.0)</f>
        <v>2021</v>
      </c>
      <c r="H957" s="3" t="str">
        <f>IFERROR(__xludf.DUMMYFUNCTION("""COMPUTED_VALUE"""),"AN #161")</f>
        <v>AN #161</v>
      </c>
      <c r="I957" t="str">
        <f>IFERROR(__xludf.DUMMYFUNCTION("""COMPUTED_VALUE"""),"Zach")</f>
        <v>Zach</v>
      </c>
      <c r="J957" t="str">
        <f>IFERROR(__xludf.DUMMYFUNCTION("""COMPUTED_VALUE"""),"Human preference learning has been studied from various perspectives such as inverse reinforcement learning (IRL) and active learning. However, the IRL problem is underspecified, that is, even with access to the full behavioral policy, you cannot uniquely"&amp;" determine the preferences that led to that policy. Meanwhile, active learning often has a **description-experience gap**: the stated preferences in response to a question in active learning may not be the same as the preferences that would be revealed fr"&amp;"om demonstrations.
In this work, the authors study an alternative paradigm known as inverse decision theory (IDT) that aims to learn a loss function for binary classification using strictly observational data while returning unique solutions. (Such a los"&amp;"s function effectively specifies how good correct predictions are and how bad incorrect predictions are.) The authors show that preferences can be uniquely determined whenever there is uncertainty in the classification problem. This happens because we nee"&amp;"d observations predicting classes at different levels of certainty to identify a transition point where we switch from predicting one class over another. In contrast, without uncertainty, we won’t be able to precisely identify that threshold. The authors "&amp;"then strengthen this result by showing it holds even in cases where the underlying decision rule is sub-optimal.
The authors argue that since learning could be done efficiently in this setting, IDT could have broader applicability. For example, one appli"&amp;"cation to fairness could be to collect a set of decisions from a trained classifier, split them across groups (e.g. race or gender), and compare the inferred loss functions to detect bias in the trained classifier.")</f>
        <v>Human preference learning has been studied from various perspectives such as inverse reinforcement learning (IRL) and active learning. However, the IRL problem is underspecified, that is, even with access to the full behavioral policy, you cannot uniquely determine the preferences that led to that policy. Meanwhile, active learning often has a **description-experience gap**: the stated preferences in response to a question in active learning may not be the same as the preferences that would be revealed from demonstrations.
In this work, the authors study an alternative paradigm known as inverse decision theory (IDT) that aims to learn a loss function for binary classification using strictly observational data while returning unique solutions. (Such a loss function effectively specifies how good correct predictions are and how bad incorrect predictions are.) The authors show that preferences can be uniquely determined whenever there is uncertainty in the classification problem. This happens because we need observations predicting classes at different levels of certainty to identify a transition point where we switch from predicting one class over another. In contrast, without uncertainty, we won’t be able to precisely identify that threshold. The authors then strengthen this result by showing it holds even in cases where the underlying decision rule is sub-optimal.
The authors argue that since learning could be done efficiently in this setting, IDT could have broader applicability. For example, one application to fairness could be to collect a set of decisions from a trained classifier, split them across groups (e.g. race or gender), and compare the inferred loss functions to detect bias in the trained classifier.</v>
      </c>
      <c r="K957" t="str">
        <f>IFERROR(__xludf.DUMMYFUNCTION("""COMPUTED_VALUE"""),"The paper is organized well and I found the examples to be interesting in their own right. On the other hand, binary classification is a fairly restrictive setting and IDT in this paper seems to require access to class posterior probabilities. These proba"&amp;"bilities generally are not easy to estimate. Moreover, if you have access to that function it seems you could elicit the loss function with exponentially fewer human observations by sorting/sub-sampling the class posterior values. Despite these shortcomin"&amp;"gs, I'm interested to see how this work can be extended further.")</f>
        <v>The paper is organized well and I found the examples to be interesting in their own right. On the other hand, binary classification is a fairly restrictive setting and IDT in this paper seems to require access to class posterior probabilities. These probabilities generally are not easy to estimate. Moreover, if you have access to that function it seems you could elicit the loss function with exponentially fewer human observations by sorting/sub-sampling the class posterior values. Despite these shortcomings, I'm interested to see how this work can be extended further.</v>
      </c>
    </row>
    <row r="958">
      <c r="A958" t="str">
        <f>IFERROR(__xludf.DUMMYFUNCTION("""COMPUTED_VALUE"""),"Learning human intent")</f>
        <v>Learning human intent</v>
      </c>
      <c r="B958" t="str">
        <f>IFERROR(__xludf.DUMMYFUNCTION("""COMPUTED_VALUE"""),"")</f>
        <v/>
      </c>
      <c r="C958" s="3" t="str">
        <f>IFERROR(__xludf.DUMMYFUNCTION("""COMPUTED_VALUE"""),"Reward Identification in Inverse Reinforcement Learning")</f>
        <v>Reward Identification in Inverse Reinforcement Learning</v>
      </c>
      <c r="D958" t="str">
        <f>IFERROR(__xludf.DUMMYFUNCTION("""COMPUTED_VALUE"""),"Kuno Kim, Kirankumar Shiragur, Shivam Garg, Stefano Ermon")</f>
        <v>Kuno Kim, Kirankumar Shiragur, Shivam Garg, Stefano Ermon</v>
      </c>
      <c r="E958" t="str">
        <f>IFERROR(__xludf.DUMMYFUNCTION("""COMPUTED_VALUE"""),"ICML 2021")</f>
        <v>ICML 2021</v>
      </c>
      <c r="F958">
        <f>IFERROR(__xludf.DUMMYFUNCTION("""COMPUTED_VALUE"""),2021.0)</f>
        <v>2021</v>
      </c>
      <c r="H958" s="3" t="str">
        <f>IFERROR(__xludf.DUMMYFUNCTION("""COMPUTED_VALUE"""),"AN #161")</f>
        <v>AN #161</v>
      </c>
      <c r="I958" t="str">
        <f>IFERROR(__xludf.DUMMYFUNCTION("""COMPUTED_VALUE"""),"Rohin")</f>
        <v>Rohin</v>
      </c>
      <c r="J958" t="str">
        <f>IFERROR(__xludf.DUMMYFUNCTION("""COMPUTED_VALUE"""),"As mentioned in the previous summary, a major challenge with inverse reinforcement learning is that rewards are unidentifiable: even given perfect knowledge of the policy, we cannot recover the reward function that produces it. This is partly for boring r"&amp;"easons like “you can add a constant to a reward function without changing anything”, but even if you exclude those kinds of reasons, others remain. For example, since every policy is optimal for the constant reward function, the zero reward function can r"&amp;"ationalize any policy.
For this reason, the authors instead focus on the case where we assume the policy is a solution to the maximum entropy RL objective (you can think of this as Boltzmann rationality, if you’re more familiar with that). The solution t"&amp;"o MaxEnt RL for a zero reward is a uniformly random policy, so the zero reward no longer rationalizes every policy. Perhaps rewards are identifiable in this case?
(You might have noticed that I neglected the question of whether the MaxEnt RL model was be"&amp;"tter than the regular RL model in cases that we care about. As far as I can tell the paper doesn’t address this. But if they did so, perhaps they might say that in realistic situations we are dealing with boundedly-rational agents, and Boltzmann rationali"&amp;"ty / MaxEnt RL is a common model in such situations.)
Well, we still need to deal with the “additive constant” argument. To address this, the authors define two reward functions to be equivalent if they agree up to an additive constant. There are actuall"&amp;"y two versions of this: “trajectory equivalence” means that they agree on the rewards for all feasible trajectories, while “state-action equivalence” means that they agree on the rewards for all state-action pairs. Correspondingly, “weak identifiability” "&amp;"means that you can identify rewards up to trajectory equivalence, while “strong identifiability” means you can identify them up to state-action equivalence. Strong identifiability implies weak identifiability, since if you know the rewards on state-action"&amp;" pairs, that determines the reward for any given trajectory.
All deterministic MDPs are weakly identifiable under the MaxEnt RL model, since in this case a trajectory τ is selected with probability p(τ) proportional to exp(r(τ)), so the probability p(τ) "&amp;"can then be inverted to get r(τ). However, stochastic MDPs need not be weakly identifiable. Imagine an MDP in which no matter what you do, you are teleported to a random state. In such an MDP, the agent has no control over the trajectory, and so the MaxEn"&amp;"t RL objective will choose a uniformly random policy, no matter what the reward is, and so the reward must be unidentifiable.
Now the question is, assuming you have weak identifiability (i.e. you can infer r(τ)), when do you also have strong identifiabil"&amp;"ity (i.e. you can infer r(s, a))? Intuitively, there needs to be a sufficient “diversity” of feasible trajectories τ, that cover a wide variety of possible (s, a) pairs, so that you can use the r(τ) values to infer the r(s, a) values. The authors prove a "&amp;"sufficient condition called “coverage”: there exists some timestep T, such that for every state there is some feasible trajectory that reaches that state at timestep T. (They also require the horizon to be at least 2T.) Coverage can be a fairly easy prope"&amp;"rty to have; for example, if you can get to any state from any other state in some number of steps, then all you need is a single self-loop somewhere in the MDP that allows you to “waste time” so that you reach the desired state at exactly timestep T (ins"&amp;"tead of reaching too early).")</f>
        <v>As mentioned in the previous summary, a major challenge with inverse reinforcement learning is that rewards are unidentifiable: even given perfect knowledge of the policy, we cannot recover the reward function that produces it. This is partly for boring reasons like “you can add a constant to a reward function without changing anything”, but even if you exclude those kinds of reasons, others remain. For example, since every policy is optimal for the constant reward function, the zero reward function can rationalize any policy.
For this reason, the authors instead focus on the case where we assume the policy is a solution to the maximum entropy RL objective (you can think of this as Boltzmann rationality, if you’re more familiar with that). The solution to MaxEnt RL for a zero reward is a uniformly random policy, so the zero reward no longer rationalizes every policy. Perhaps rewards are identifiable in this case?
(You might have noticed that I neglected the question of whether the MaxEnt RL model was better than the regular RL model in cases that we care about. As far as I can tell the paper doesn’t address this. But if they did so, perhaps they might say that in realistic situations we are dealing with boundedly-rational agents, and Boltzmann rationality / MaxEnt RL is a common model in such situations.)
Well, we still need to deal with the “additive constant” argument. To address this, the authors define two reward functions to be equivalent if they agree up to an additive constant. There are actually two versions of this: “trajectory equivalence” means that they agree on the rewards for all feasible trajectories, while “state-action equivalence” means that they agree on the rewards for all state-action pairs. Correspondingly, “weak identifiability” means that you can identify rewards up to trajectory equivalence, while “strong identifiability” means you can identify them up to state-action equivalence. Strong identifiability implies weak identifiability, since if you know the rewards on state-action pairs, that determines the reward for any given trajectory.
All deterministic MDPs are weakly identifiable under the MaxEnt RL model, since in this case a trajectory τ is selected with probability p(τ) proportional to exp(r(τ)), so the probability p(τ) can then be inverted to get r(τ). However, stochastic MDPs need not be weakly identifiable. Imagine an MDP in which no matter what you do, you are teleported to a random state. In such an MDP, the agent has no control over the trajectory, and so the MaxEnt RL objective will choose a uniformly random policy, no matter what the reward is, and so the reward must be unidentifiable.
Now the question is, assuming you have weak identifiability (i.e. you can infer r(τ)), when do you also have strong identifiability (i.e. you can infer r(s, a))? Intuitively, there needs to be a sufficient “diversity” of feasible trajectories τ, that cover a wide variety of possible (s, a) pairs, so that you can use the r(τ) values to infer the r(s, a) values. The authors prove a sufficient condition called “coverage”: there exists some timestep T, such that for every state there is some feasible trajectory that reaches that state at timestep T. (They also require the horizon to be at least 2T.) Coverage can be a fairly easy property to have; for example, if you can get to any state from any other state in some number of steps, then all you need is a single self-loop somewhere in the MDP that allows you to “waste time” so that you reach the desired state at exactly timestep T (instead of reaching too early).</v>
      </c>
      <c r="M958" t="str">
        <f>IFERROR(__xludf.DUMMYFUNCTION("""COMPUTED_VALUE"""),"[Identifiability in inverse reinforcement learning](https://arxiv.org/abs/2106.03498) has the same motivation and studies a very similar setting, but has a few different results. It's also easier to read if you're not as familiar with MaxEnt methods.")</f>
        <v>[Identifiability in inverse reinforcement learning](https://arxiv.org/abs/2106.03498) has the same motivation and studies a very similar setting, but has a few different results. It's also easier to read if you're not as familiar with MaxEnt methods.</v>
      </c>
    </row>
    <row r="959">
      <c r="A959" t="str">
        <f>IFERROR(__xludf.DUMMYFUNCTION("""COMPUTED_VALUE"""),"Learning human intent")</f>
        <v>Learning human intent</v>
      </c>
      <c r="B959" t="str">
        <f>IFERROR(__xludf.DUMMYFUNCTION("""COMPUTED_VALUE"""),"")</f>
        <v/>
      </c>
      <c r="C959" s="3" t="str">
        <f>IFERROR(__xludf.DUMMYFUNCTION("""COMPUTED_VALUE"""),"Exploring Hierarchy-Aware Inverse Reinforcement Learning")</f>
        <v>Exploring Hierarchy-Aware Inverse Reinforcement Learning</v>
      </c>
      <c r="D959" t="str">
        <f>IFERROR(__xludf.DUMMYFUNCTION("""COMPUTED_VALUE"""),"Chris Cundy, Daniel Filan")</f>
        <v>Chris Cundy, Daniel Filan</v>
      </c>
      <c r="E959" t="str">
        <f>IFERROR(__xludf.DUMMYFUNCTION("""COMPUTED_VALUE"""),"GoalsRL 2018")</f>
        <v>GoalsRL 2018</v>
      </c>
      <c r="F959">
        <f>IFERROR(__xludf.DUMMYFUNCTION("""COMPUTED_VALUE"""),2018.0)</f>
        <v>2018</v>
      </c>
      <c r="H959" s="3" t="str">
        <f>IFERROR(__xludf.DUMMYFUNCTION("""COMPUTED_VALUE"""),"AN #16")</f>
        <v>AN #16</v>
      </c>
      <c r="I959" t="str">
        <f>IFERROR(__xludf.DUMMYFUNCTION("""COMPUTED_VALUE"""),"Rohin")</f>
        <v>Rohin</v>
      </c>
      <c r="J959" t="str">
        <f>IFERROR(__xludf.DUMMYFUNCTION("""COMPUTED_VALUE"""),"One heuristic that humans use to deal with bounded computation is to make plans hierarchically, building long-term plans out of slightly smaller building blocks. How can we incorporate this knowledge into an IRL algorithm? This paper extends [Bayesian IRL"&amp;"](https://www.aaai.org/Papers/IJCAI/2007/IJCAI07-416.pdf) to the setting where the demonstrator has access to a set of _options_, which are (to a first approximation) policies that can be used to achieve some subgoal. Now, when you are given a trajectory "&amp;"of states and actions, it is no longer clear which options the demonstrator was using to generate that trajectory. The authors provide an algorithm that can enumerate all the options that are consistent with the trajectory, and assign probabilities to the"&amp;"m according to the Boltzmann-rational model. They evaluate on a taxi driver gridworld often used in hierarchical planning, as well as on real human data from a game called Wikispeedia.")</f>
        <v>One heuristic that humans use to deal with bounded computation is to make plans hierarchically, building long-term plans out of slightly smaller building blocks. How can we incorporate this knowledge into an IRL algorithm? This paper extends [Bayesian IRL](https://www.aaai.org/Papers/IJCAI/2007/IJCAI07-416.pdf) to the setting where the demonstrator has access to a set of _options_, which are (to a first approximation) policies that can be used to achieve some subgoal. Now, when you are given a trajectory of states and actions, it is no longer clear which options the demonstrator was using to generate that trajectory. The authors provide an algorithm that can enumerate all the options that are consistent with the trajectory, and assign probabilities to them according to the Boltzmann-rational model. They evaluate on a taxi driver gridworld often used in hierarchical planning, as well as on real human data from a game called Wikispeedia.</v>
      </c>
      <c r="K959" t="str">
        <f>IFERROR(__xludf.DUMMYFUNCTION("""COMPUTED_VALUE"""),"Hierarchy seems to be a very important tool that humans use, so I'm glad to see work on it. Currently, the algorithm is very computationally expensive, and can only be applied in small domains right now, and requires the options to be specified ahead of t"&amp;"ime, but it does lead to a benefit on the environments they consider, despite the inevitable misspecification from having to hardcode the options. I would be very interested to see an extension to high-dimensional data where the options are learned (analo"&amp;"gous to [Meta-Learning Shared Hierarchies](https://blog.openai.com/learning-a-hierarchy/) for hierarchical RL). Not only would this be more realistic, it could perform better because the options would be learned, not hardcoded.")</f>
        <v>Hierarchy seems to be a very important tool that humans use, so I'm glad to see work on it. Currently, the algorithm is very computationally expensive, and can only be applied in small domains right now, and requires the options to be specified ahead of time, but it does lead to a benefit on the environments they consider, despite the inevitable misspecification from having to hardcode the options. I would be very interested to see an extension to high-dimensional data where the options are learned (analogous to [Meta-Learning Shared Hierarchies](https://blog.openai.com/learning-a-hierarchy/) for hierarchical RL). Not only would this be more realistic, it could perform better because the options would be learned, not hardcoded.</v>
      </c>
    </row>
    <row r="960">
      <c r="A960" t="str">
        <f>IFERROR(__xludf.DUMMYFUNCTION("""COMPUTED_VALUE"""),"Learning human intent")</f>
        <v>Learning human intent</v>
      </c>
      <c r="B960" t="str">
        <f>IFERROR(__xludf.DUMMYFUNCTION("""COMPUTED_VALUE"""),"")</f>
        <v/>
      </c>
      <c r="C960" s="3" t="str">
        <f>IFERROR(__xludf.DUMMYFUNCTION("""COMPUTED_VALUE"""),"IBM researchers train AI to follow code of ethics")</f>
        <v>IBM researchers train AI to follow code of ethics</v>
      </c>
      <c r="D960" t="str">
        <f>IFERROR(__xludf.DUMMYFUNCTION("""COMPUTED_VALUE"""),"Ben Dickson")</f>
        <v>Ben Dickson</v>
      </c>
      <c r="E960" t="str">
        <f>IFERROR(__xludf.DUMMYFUNCTION("""COMPUTED_VALUE"""),"Venture Beat")</f>
        <v>Venture Beat</v>
      </c>
      <c r="F960">
        <f>IFERROR(__xludf.DUMMYFUNCTION("""COMPUTED_VALUE"""),2018.0)</f>
        <v>2018</v>
      </c>
      <c r="H960" s="3" t="str">
        <f>IFERROR(__xludf.DUMMYFUNCTION("""COMPUTED_VALUE"""),"AN #16")</f>
        <v>AN #16</v>
      </c>
      <c r="I960" t="str">
        <f>IFERROR(__xludf.DUMMYFUNCTION("""COMPUTED_VALUE"""),"Rohin")</f>
        <v>Rohin</v>
      </c>
      <c r="J960" t="str">
        <f>IFERROR(__xludf.DUMMYFUNCTION("""COMPUTED_VALUE"""),"Parents want movie recommendation systems not to recommend particular kinds of movies to children, but we would also like the recommendation system to suggest movies that the children will actually like. Researchers solved this problem by first learning a"&amp;" model for what kinds of movies should not be recommended, and then combined that with a contextual bandit model that learns online from the child's data to provide good suggestions that follow the parent's constraints.")</f>
        <v>Parents want movie recommendation systems not to recommend particular kinds of movies to children, but we would also like the recommendation system to suggest movies that the children will actually like. Researchers solved this problem by first learning a model for what kinds of movies should not be recommended, and then combined that with a contextual bandit model that learns online from the child's data to provide good suggestions that follow the parent's constraints.</v>
      </c>
      <c r="K960" t="str">
        <f>IFERROR(__xludf.DUMMYFUNCTION("""COMPUTED_VALUE"""),"We can look at this from an alignment perspective -- the child is giving the AI system a misspecified reward, relative to the parent's goal of ""provide good suggestions that do not have inappropriate content"". While the researchers solve it using contex"&amp;"tual bandits, it could be interesting to consider how AI alignment approaches could deal with this situation.")</f>
        <v>We can look at this from an alignment perspective -- the child is giving the AI system a misspecified reward, relative to the parent's goal of "provide good suggestions that do not have inappropriate content". While the researchers solve it using contextual bandits, it could be interesting to consider how AI alignment approaches could deal with this situation.</v>
      </c>
      <c r="M960" s="3" t="str">
        <f>IFERROR(__xludf.DUMMYFUNCTION("""COMPUTED_VALUE"""),"Using Contextual Bandits with Behavioral Constraints for Constrained Online Movie Recommendation")</f>
        <v>Using Contextual Bandits with Behavioral Constraints for Constrained Online Movie Recommendation</v>
      </c>
    </row>
    <row r="961">
      <c r="A961" t="str">
        <f>IFERROR(__xludf.DUMMYFUNCTION("""COMPUTED_VALUE"""),"Learning human intent")</f>
        <v>Learning human intent</v>
      </c>
      <c r="B961" t="str">
        <f>IFERROR(__xludf.DUMMYFUNCTION("""COMPUTED_VALUE"""),"")</f>
        <v/>
      </c>
      <c r="C961" s="3" t="str">
        <f>IFERROR(__xludf.DUMMYFUNCTION("""COMPUTED_VALUE"""),"Generative Adversarial Imitation from Observation")</f>
        <v>Generative Adversarial Imitation from Observation</v>
      </c>
      <c r="D961" t="str">
        <f>IFERROR(__xludf.DUMMYFUNCTION("""COMPUTED_VALUE"""),"Faraz Torabi, Garrett Warnell, Peter Stone")</f>
        <v>Faraz Torabi, Garrett Warnell, Peter Stone</v>
      </c>
      <c r="E961" t="str">
        <f>IFERROR(__xludf.DUMMYFUNCTION("""COMPUTED_VALUE"""),"arXiv")</f>
        <v>arXiv</v>
      </c>
      <c r="F961">
        <f>IFERROR(__xludf.DUMMYFUNCTION("""COMPUTED_VALUE"""),2018.0)</f>
        <v>2018</v>
      </c>
      <c r="H961" s="3" t="str">
        <f>IFERROR(__xludf.DUMMYFUNCTION("""COMPUTED_VALUE"""),"AN #16")</f>
        <v>AN #16</v>
      </c>
    </row>
    <row r="962">
      <c r="A962" t="str">
        <f>IFERROR(__xludf.DUMMYFUNCTION("""COMPUTED_VALUE"""),"Learning human intent")</f>
        <v>Learning human intent</v>
      </c>
      <c r="B962" t="str">
        <f>IFERROR(__xludf.DUMMYFUNCTION("""COMPUTED_VALUE"""),"")</f>
        <v/>
      </c>
      <c r="C962" s="3" t="str">
        <f>IFERROR(__xludf.DUMMYFUNCTION("""COMPUTED_VALUE"""),"Navigation Turing Test (NTT): Learning to Evaluate Human-Like Navigation")</f>
        <v>Navigation Turing Test (NTT): Learning to Evaluate Human-Like Navigation</v>
      </c>
      <c r="D962" t="str">
        <f>IFERROR(__xludf.DUMMYFUNCTION("""COMPUTED_VALUE"""),"Sam Devlin*, Raluca Georgescu*, Ida Momennejad*, Jaroslaw Rzepecki*, Evelyn Zuniga*, Gavin Costello, Guy Leroy, Ali Shaw, Katja Hofmann")</f>
        <v>Sam Devlin*, Raluca Georgescu*, Ida Momennejad*, Jaroslaw Rzepecki*, Evelyn Zuniga*, Gavin Costello, Guy Leroy, Ali Shaw, Katja Hofmann</v>
      </c>
      <c r="E962" t="str">
        <f>IFERROR(__xludf.DUMMYFUNCTION("""COMPUTED_VALUE"""),"ICML 2021")</f>
        <v>ICML 2021</v>
      </c>
      <c r="F962">
        <f>IFERROR(__xludf.DUMMYFUNCTION("""COMPUTED_VALUE"""),2021.0)</f>
        <v>2021</v>
      </c>
      <c r="H962" s="3" t="str">
        <f>IFERROR(__xludf.DUMMYFUNCTION("""COMPUTED_VALUE"""),"AN #152")</f>
        <v>AN #152</v>
      </c>
      <c r="I962" t="str">
        <f>IFERROR(__xludf.DUMMYFUNCTION("""COMPUTED_VALUE"""),"Rohin")</f>
        <v>Rohin</v>
      </c>
      <c r="J962" t="str">
        <f>IFERROR(__xludf.DUMMYFUNCTION("""COMPUTED_VALUE"""),"Since rewards are hard to specify, we are likely going to have to train AI agents using human feedback. However, human feedback is particularly expensive to collect, so we would like to at least partially automate this using reward models. This paper look"&amp;"s at one way of building such a reward model: training a classifier to distinguish between human behavior and agent behavior (i.e. to be the judge of a Turing Test). This is similar to the implicit or explicit reward model used in adversarial imitation le"&amp;"arning algorithms such as &lt;@GAIL@&gt;(@Generative Adversarial Imitation Learning@) or &lt;@AIRL@&gt;(@Learning Robust Rewards with Adversarial Inverse Reinforcement Learning@).
Should we expect these classifiers to generalize, predicting human judgments of how hu"&amp;"man-like a trajectory is on all possible trajectories? This paper conducts a user study in order to answer the question: specifically, they have humans judge several of these Turing Tests, and see whether the classifiers agree with the human judgments. Th"&amp;"ey find that while the classifiers do agree with human judgments when comparing a human to an agent (i.e. the setting on which the classifiers were trained), they do not agree with human judgments when comparing two different kinds of artificial agents. I"&amp;"n fact, it seems like they are _anti-correlated_ with human judgments, rather than simply having no correlation at all -- only one of the six classifiers tested does better than chance (at 52.5%), the median is 45%, and the worst classifier gets 22.5%. (N"&amp;"ote however that the sample size is small, I believe n = 40 though I’m not sure.)")</f>
        <v>Since rewards are hard to specify, we are likely going to have to train AI agents using human feedback. However, human feedback is particularly expensive to collect, so we would like to at least partially automate this using reward models. This paper looks at one way of building such a reward model: training a classifier to distinguish between human behavior and agent behavior (i.e. to be the judge of a Turing Test). This is similar to the implicit or explicit reward model used in adversarial imitation learning algorithms such as &lt;@GAIL@&gt;(@Generative Adversarial Imitation Learning@) or &lt;@AIRL@&gt;(@Learning Robust Rewards with Adversarial Inverse Reinforcement Learning@).
Should we expect these classifiers to generalize, predicting human judgments of how human-like a trajectory is on all possible trajectories? This paper conducts a user study in order to answer the question: specifically, they have humans judge several of these Turing Tests, and see whether the classifiers agree with the human judgments. They find that while the classifiers do agree with human judgments when comparing a human to an agent (i.e. the setting on which the classifiers were trained), they do not agree with human judgments when comparing two different kinds of artificial agents. In fact, it seems like they are _anti-correlated_ with human judgments, rather than simply having no correlation at all -- only one of the six classifiers tested does better than chance (at 52.5%), the median is 45%, and the worst classifier gets 22.5%. (Note however that the sample size is small, I believe n = 40 though I’m not sure.)</v>
      </c>
      <c r="K962" t="str">
        <f>IFERROR(__xludf.DUMMYFUNCTION("""COMPUTED_VALUE"""),"Ultimately my guess is that if you want to predict human judgments well, you need to train against human judgments, rather than the proxy task of distinguishing between human and agent behavior. That being said, I do think these proxy tasks can serve as v"&amp;"aluable pretraining objectives, or as auxiliary objectives that help to improve sample efficiency.")</f>
        <v>Ultimately my guess is that if you want to predict human judgments well, you need to train against human judgments, rather than the proxy task of distinguishing between human and agent behavior. That being said, I do think these proxy tasks can serve as valuable pretraining objectives, or as auxiliary objectives that help to improve sample efficiency.</v>
      </c>
    </row>
    <row r="963">
      <c r="A963" t="str">
        <f>IFERROR(__xludf.DUMMYFUNCTION("""COMPUTED_VALUE"""),"Learning human intent")</f>
        <v>Learning human intent</v>
      </c>
      <c r="B963" t="str">
        <f>IFERROR(__xludf.DUMMYFUNCTION("""COMPUTED_VALUE"""),"")</f>
        <v/>
      </c>
      <c r="C963" s="3" t="str">
        <f>IFERROR(__xludf.DUMMYFUNCTION("""COMPUTED_VALUE"""),"Learning What To Do by Simulating the Past")</f>
        <v>Learning What To Do by Simulating the Past</v>
      </c>
      <c r="D963" t="str">
        <f>IFERROR(__xludf.DUMMYFUNCTION("""COMPUTED_VALUE"""),"David Lindner, Rohin Shah, Pieter Abbeel, Anca Dragan")</f>
        <v>David Lindner, Rohin Shah, Pieter Abbeel, Anca Dragan</v>
      </c>
      <c r="E963" t="str">
        <f>IFERROR(__xludf.DUMMYFUNCTION("""COMPUTED_VALUE"""),"ICLR 2021")</f>
        <v>ICLR 2021</v>
      </c>
      <c r="F963">
        <f>IFERROR(__xludf.DUMMYFUNCTION("""COMPUTED_VALUE"""),2021.0)</f>
        <v>2021</v>
      </c>
      <c r="H963" s="3" t="str">
        <f>IFERROR(__xludf.DUMMYFUNCTION("""COMPUTED_VALUE"""),"AN #149")</f>
        <v>AN #149</v>
      </c>
      <c r="I963" t="str">
        <f>IFERROR(__xludf.DUMMYFUNCTION("""COMPUTED_VALUE"""),"Rohin")</f>
        <v>Rohin</v>
      </c>
      <c r="J963" t="str">
        <f>IFERROR(__xludf.DUMMYFUNCTION("""COMPUTED_VALUE"""),"Since the state of the world has already been optimized for human preferences, it can be used to infer those preferences. For example, it isn’t a coincidence that vases tend to be intact and on tables. An agent with an understanding of physics can observe"&amp;" that humans haven’t yet broken a particular vase, and infer that they care about vases not being broken.
&lt;@Previous work@&gt;(@Learning Preferences by Looking at the World@) provides an algorithm, RLSP, that can perform this type of reasoning, but it is li"&amp;"mited to small environments with known dynamics and features. In this paper (on which I am an author), we introduce a deep variant of the algorithm, called Deep RLSP, to move past these limitations. While RLSP assumes known features, Deep RLSP learns a fe"&amp;"ature function using self-supervised learning. While RLSP computes statistics for all possible past trajectories using dynamic programming, deep RLSP learns an inverse dynamics model and inverse policy to _simulate_ the most likely past trajectories, whic"&amp;"h serve as a good approximation for the necessary statistics. 
We evaluate the resulting algorithm on a variety of Mujoco tasks, with promising results. For example, given a single state of a HalfCheetah balancing on one leg, Deep RLSP is able to learn a"&amp;" (noisy) policy that somewhat mimics this balancing behavior. (These results can be seen [here](https://sites.google.com/view/deep-rlsp).)")</f>
        <v>Since the state of the world has already been optimized for human preferences, it can be used to infer those preferences. For example, it isn’t a coincidence that vases tend to be intact and on tables. An agent with an understanding of physics can observe that humans haven’t yet broken a particular vase, and infer that they care about vases not being broken.
&lt;@Previous work@&gt;(@Learning Preferences by Looking at the World@) provides an algorithm, RLSP, that can perform this type of reasoning, but it is limited to small environments with known dynamics and features. In this paper (on which I am an author), we introduce a deep variant of the algorithm, called Deep RLSP, to move past these limitations. While RLSP assumes known features, Deep RLSP learns a feature function using self-supervised learning. While RLSP computes statistics for all possible past trajectories using dynamic programming, deep RLSP learns an inverse dynamics model and inverse policy to _simulate_ the most likely past trajectories, which serve as a good approximation for the necessary statistics. 
We evaluate the resulting algorithm on a variety of Mujoco tasks, with promising results. For example, given a single state of a HalfCheetah balancing on one leg, Deep RLSP is able to learn a (noisy) policy that somewhat mimics this balancing behavior. (These results can be seen [here](https://sites.google.com/view/deep-rlsp).)</v>
      </c>
      <c r="M963" t="str">
        <f>IFERROR(__xludf.DUMMYFUNCTION("""COMPUTED_VALUE"""),"[Paper: Learning What To Do by Simulating the Past](https://arxiv.org/abs/2104.03946)
[Thesis: Extracting and Using Preference Information from the State of the World](https://www2.eecs.berkeley.edu/Pubs/TechRpts/2020/EECS-2020-210.html)")</f>
        <v>[Paper: Learning What To Do by Simulating the Past](https://arxiv.org/abs/2104.03946)
[Thesis: Extracting and Using Preference Information from the State of the World](https://www2.eecs.berkeley.edu/Pubs/TechRpts/2020/EECS-2020-210.html)</v>
      </c>
    </row>
    <row r="964">
      <c r="A964" t="str">
        <f>IFERROR(__xludf.DUMMYFUNCTION("""COMPUTED_VALUE"""),"Learning human intent")</f>
        <v>Learning human intent</v>
      </c>
      <c r="B964" t="str">
        <f>IFERROR(__xludf.DUMMYFUNCTION("""COMPUTED_VALUE"""),"")</f>
        <v/>
      </c>
      <c r="C964" s="3" t="str">
        <f>IFERROR(__xludf.DUMMYFUNCTION("""COMPUTED_VALUE"""),"Recursive Classification: Replacing Rewards with Examples in RL")</f>
        <v>Recursive Classification: Replacing Rewards with Examples in RL</v>
      </c>
      <c r="D964" t="str">
        <f>IFERROR(__xludf.DUMMYFUNCTION("""COMPUTED_VALUE"""),"Benjamin Eysenbach, Sergey Levine, Ruslan Salakhutdinov")</f>
        <v>Benjamin Eysenbach, Sergey Levine, Ruslan Salakhutdinov</v>
      </c>
      <c r="E964" t="str">
        <f>IFERROR(__xludf.DUMMYFUNCTION("""COMPUTED_VALUE"""),"arXiv")</f>
        <v>arXiv</v>
      </c>
      <c r="F964">
        <f>IFERROR(__xludf.DUMMYFUNCTION("""COMPUTED_VALUE"""),2021.0)</f>
        <v>2021</v>
      </c>
      <c r="H964" s="3" t="str">
        <f>IFERROR(__xludf.DUMMYFUNCTION("""COMPUTED_VALUE"""),"AN #147")</f>
        <v>AN #147</v>
      </c>
      <c r="I964" t="str">
        <f>IFERROR(__xludf.DUMMYFUNCTION("""COMPUTED_VALUE"""),"Rohin")</f>
        <v>Rohin</v>
      </c>
      <c r="J964" t="str">
        <f>IFERROR(__xludf.DUMMYFUNCTION("""COMPUTED_VALUE"""),"Previous work has suggested learning a reward model from examples of successfully solving the task. This paper suggests that rather than a two stage process of learning a reward model and then optimizing it using RL, we can instead directly learn a policy"&amp;" from the examples by building an equivalent of Bellman backups that apply directly to examples (rather than having to go through intermediate rewards). Their experiments show that this works well.")</f>
        <v>Previous work has suggested learning a reward model from examples of successfully solving the task. This paper suggests that rather than a two stage process of learning a reward model and then optimizing it using RL, we can instead directly learn a policy from the examples by building an equivalent of Bellman backups that apply directly to examples (rather than having to go through intermediate rewards). Their experiments show that this works well.</v>
      </c>
      <c r="M964" s="3" t="str">
        <f>IFERROR(__xludf.DUMMYFUNCTION("""COMPUTED_VALUE"""),"Paper: Replacing Rewards with Examples: Example-Based Policy Search via Recursive Classification")</f>
        <v>Paper: Replacing Rewards with Examples: Example-Based Policy Search via Recursive Classification</v>
      </c>
    </row>
    <row r="965">
      <c r="A965" t="str">
        <f>IFERROR(__xludf.DUMMYFUNCTION("""COMPUTED_VALUE"""),"Learning human intent")</f>
        <v>Learning human intent</v>
      </c>
      <c r="B965" t="str">
        <f>IFERROR(__xludf.DUMMYFUNCTION("""COMPUTED_VALUE"""),"")</f>
        <v/>
      </c>
      <c r="C965" s="3" t="str">
        <f>IFERROR(__xludf.DUMMYFUNCTION("""COMPUTED_VALUE"""),"Four Motivations for Learning Normativity")</f>
        <v>Four Motivations for Learning Normativity</v>
      </c>
      <c r="D965" t="str">
        <f>IFERROR(__xludf.DUMMYFUNCTION("""COMPUTED_VALUE"""),"Abram Demski")</f>
        <v>Abram Demski</v>
      </c>
      <c r="E965" t="str">
        <f>IFERROR(__xludf.DUMMYFUNCTION("""COMPUTED_VALUE"""),"Alignment Forum")</f>
        <v>Alignment Forum</v>
      </c>
      <c r="F965">
        <f>IFERROR(__xludf.DUMMYFUNCTION("""COMPUTED_VALUE"""),2021.0)</f>
        <v>2021</v>
      </c>
      <c r="H965" s="3" t="str">
        <f>IFERROR(__xludf.DUMMYFUNCTION("""COMPUTED_VALUE"""),"AN #143")</f>
        <v>AN #143</v>
      </c>
      <c r="I965" t="str">
        <f>IFERROR(__xludf.DUMMYFUNCTION("""COMPUTED_VALUE"""),"Rohin")</f>
        <v>Rohin</v>
      </c>
      <c r="J965" t="str">
        <f>IFERROR(__xludf.DUMMYFUNCTION("""COMPUTED_VALUE"""),"We’ve &lt;@previously seen@&gt;(@Learning Normativity: A Research Agenda@) desiderata for agents that learn normativity from humans: specifically, we would like such agents to:
1. **Learn at all levels:** We don’t just learn about uncertain values, we also lea"&amp;"rn how to learn values, and how to learn to learn values, etc. There is **no perfect loss function** that works at any level; we assume conservatively that Goodhart’s Law will always apply. In order to not have to give infinite feedback for the infinite l"&amp;"evels, we need to **share feedback between levels**.
2. **Learn to interpret feedback:** Similarly, we conservatively assume that there is **no perfect feedback**; so rather than fixing a model for how to interpret feedback, we want feedback to be **uncer"&amp;"tain** and **reinterpretable**.
3. **Process-level feedback:** Rather than having to justify all feedback in terms of the consequences of the agent’s actions, we should also be able to provide feedback on the way the agent is reasoning. Sometimes we’ll ha"&amp;"ve to judge the entire chain of reasoning with **whole-process feedback**.
This post notes that we can motivate these desiderata from multiple different frames:
1. _Outer alignment:_ The core problem of outer alignment is that any specified objective te"&amp;"nds to be wrong. This applies at all levels, suggesting that we need to **learn at all levels**, and also **learn to interpret feedback** for the same reason. **Process-level feedback** is then needed because not all decisions can be justified based on co"&amp;"nsequences of actions.
2. _Recovering from human error:_ Another view that we can take is that humans don’t always give the right feedback, and so we need to be robust to this. This motivates all the desiderata in the same way as for outer alignment.
3. _"&amp;"Process-level feedback:_ We can instead view process-level feedback as central, since having agents doing the right type of _reasoning_ (not just getting good outcomes) is crucial for inner alignment. In order to have something general (rather than identi"&amp;"fying cases of bad reasoning one at a time), we could imagine learning a classifier that detects whether reasoning is good or not. However, then we don’t know whether the reasoning of the classifier is good or not. Once again, it seems we would like to **"&amp;"learn at all levels**.
4. _Generalizing learning theory:_ In learning theory, we have a distribution over a set of hypotheses, which we update based on how well the hypotheses predict observations. **Process-level feedback** would allow us to provide feed"&amp;"back on an individual hypothesis, and this feedback could be **uncertain**. **Reinterpretable feedback** on the other hand can be thought of as part of a (future) theory of meta-learning.")</f>
        <v>We’ve &lt;@previously seen@&gt;(@Learning Normativity: A Research Agenda@) desiderata for agents that learn normativity from humans: specifically, we would like such agents to:
1. **Learn at all levels:** We don’t just learn about uncertain values, we also learn how to learn values, and how to learn to learn values, etc. There is **no perfect loss function** that works at any level; we assume conservatively that Goodhart’s Law will always apply. In order to not have to give infinite feedback for the infinite levels, we need to **share feedback between levels**.
2. **Learn to interpret feedback:** Similarly, we conservatively assume that there is **no perfect feedback**; so rather than fixing a model for how to interpret feedback, we want feedback to be **uncertain** and **reinterpretable**.
3. **Process-level feedback:** Rather than having to justify all feedback in terms of the consequences of the agent’s actions, we should also be able to provide feedback on the way the agent is reasoning. Sometimes we’ll have to judge the entire chain of reasoning with **whole-process feedback**.
This post notes that we can motivate these desiderata from multiple different frames:
1. _Outer alignment:_ The core problem of outer alignment is that any specified objective tends to be wrong. This applies at all levels, suggesting that we need to **learn at all levels**, and also **learn to interpret feedback** for the same reason. **Process-level feedback** is then needed because not all decisions can be justified based on consequences of actions.
2. _Recovering from human error:_ Another view that we can take is that humans don’t always give the right feedback, and so we need to be robust to this. This motivates all the desiderata in the same way as for outer alignment.
3. _Process-level feedback:_ We can instead view process-level feedback as central, since having agents doing the right type of _reasoning_ (not just getting good outcomes) is crucial for inner alignment. In order to have something general (rather than identifying cases of bad reasoning one at a time), we could imagine learning a classifier that detects whether reasoning is good or not. However, then we don’t know whether the reasoning of the classifier is good or not. Once again, it seems we would like to **learn at all levels**.
4. _Generalizing learning theory:_ In learning theory, we have a distribution over a set of hypotheses, which we update based on how well the hypotheses predict observations. **Process-level feedback** would allow us to provide feedback on an individual hypothesis, and this feedback could be **uncertain**. **Reinterpretable feedback** on the other hand can be thought of as part of a (future) theory of meta-learning.</v>
      </c>
    </row>
    <row r="966">
      <c r="A966" t="str">
        <f>IFERROR(__xludf.DUMMYFUNCTION("""COMPUTED_VALUE"""),"Learning human intent")</f>
        <v>Learning human intent</v>
      </c>
      <c r="B966" t="str">
        <f>IFERROR(__xludf.DUMMYFUNCTION("""COMPUTED_VALUE"""),"")</f>
        <v/>
      </c>
      <c r="C966" s="3" t="str">
        <f>IFERROR(__xludf.DUMMYFUNCTION("""COMPUTED_VALUE"""),"Learning Montezuma’s Revenge from a Single Demonstration")</f>
        <v>Learning Montezuma’s Revenge from a Single Demonstration</v>
      </c>
      <c r="D966" t="str">
        <f>IFERROR(__xludf.DUMMYFUNCTION("""COMPUTED_VALUE"""),"Tim Salimans and Richard Chen")</f>
        <v>Tim Salimans and Richard Chen</v>
      </c>
      <c r="E966" t="str">
        <f>IFERROR(__xludf.DUMMYFUNCTION("""COMPUTED_VALUE"""),"OpenAI Blog")</f>
        <v>OpenAI Blog</v>
      </c>
      <c r="F966">
        <f>IFERROR(__xludf.DUMMYFUNCTION("""COMPUTED_VALUE"""),2018.0)</f>
        <v>2018</v>
      </c>
      <c r="H966" s="3" t="str">
        <f>IFERROR(__xludf.DUMMYFUNCTION("""COMPUTED_VALUE"""),"AN #14")</f>
        <v>AN #14</v>
      </c>
      <c r="I966" t="str">
        <f>IFERROR(__xludf.DUMMYFUNCTION("""COMPUTED_VALUE"""),"Rohin")</f>
        <v>Rohin</v>
      </c>
      <c r="J966" t="str">
        <f>IFERROR(__xludf.DUMMYFUNCTION("""COMPUTED_VALUE"""),"Montezuma's Revenge is widely considered to be one of the hardest Atari games to learn, because the reward is so sparse -- it takes many actions to reach the first positive reward, and if you're using random exploration, it will take exponentially many ac"&amp;"tions (in N, the number of actions till the first reward) to find any reward. A human demonstration should make the exploration problem much easier. In particular, we can start just before the end of the demonstration, and train the RL agent to get as muc"&amp;"h score as the demonstration. Once it learns that, we can start it at slightly earlier in the demonstration, and do it again. Repeating this, we eventually get an agent that can perform the whole demonstration from start to finish, and it takes time linea"&amp;"r in the length of the demonstration. Note that the agent must be able to generalize a little bit to states ""around"" the human demonstration -- when it takes random actions it will eventually reach a state that is similar to a state it saw earlier, but "&amp;"not exactly the same, and it needs to generalize properly. It turns out that this works for Montezuma's Revenge, but not for other Atari games like Gravitar and Pitfall.")</f>
        <v>Montezuma's Revenge is widely considered to be one of the hardest Atari games to learn, because the reward is so sparse -- it takes many actions to reach the first positive reward, and if you're using random exploration, it will take exponentially many actions (in N, the number of actions till the first reward) to find any reward. A human demonstration should make the exploration problem much easier. In particular, we can start just before the end of the demonstration, and train the RL agent to get as much score as the demonstration. Once it learns that, we can start it at slightly earlier in the demonstration, and do it again. Repeating this, we eventually get an agent that can perform the whole demonstration from start to finish, and it takes time linear in the length of the demonstration. Note that the agent must be able to generalize a little bit to states "around" the human demonstration -- when it takes random actions it will eventually reach a state that is similar to a state it saw earlier, but not exactly the same, and it needs to generalize properly. It turns out that this works for Montezuma's Revenge, but not for other Atari games like Gravitar and Pitfall.</v>
      </c>
      <c r="K966" t="str">
        <f>IFERROR(__xludf.DUMMYFUNCTION("""COMPUTED_VALUE"""),"Here, the task definition continues to be the reward function, and the human demonstration is used to help the agent effectively optimize the reward function. Such agents are still vulnerable to misspecified reward functions -- in fact, the agent discover"&amp;"s a bug in the emulator that wouldn't have happened if it was trying to imitate the human. I would still expect the agent to be more human-like than one trained with standard RL, since it only learns the environment near the human policy.")</f>
        <v>Here, the task definition continues to be the reward function, and the human demonstration is used to help the agent effectively optimize the reward function. Such agents are still vulnerable to misspecified reward functions -- in fact, the agent discovers a bug in the emulator that wouldn't have happened if it was trying to imitate the human. I would still expect the agent to be more human-like than one trained with standard RL, since it only learns the environment near the human policy.</v>
      </c>
    </row>
    <row r="967">
      <c r="A967" t="str">
        <f>IFERROR(__xludf.DUMMYFUNCTION("""COMPUTED_VALUE"""),"Learning human intent")</f>
        <v>Learning human intent</v>
      </c>
      <c r="B967" t="str">
        <f>IFERROR(__xludf.DUMMYFUNCTION("""COMPUTED_VALUE"""),"")</f>
        <v/>
      </c>
      <c r="C967" s="3" t="str">
        <f>IFERROR(__xludf.DUMMYFUNCTION("""COMPUTED_VALUE"""),"Ask Your Humans: Using Human Instructions to Improve Generalization in Reinforcement Learning")</f>
        <v>Ask Your Humans: Using Human Instructions to Improve Generalization in Reinforcement Learning</v>
      </c>
      <c r="D967" t="str">
        <f>IFERROR(__xludf.DUMMYFUNCTION("""COMPUTED_VALUE"""),"Valerie Chen, Abhinav Gupta, Kenneth Marino")</f>
        <v>Valerie Chen, Abhinav Gupta, Kenneth Marino</v>
      </c>
      <c r="E967" t="str">
        <f>IFERROR(__xludf.DUMMYFUNCTION("""COMPUTED_VALUE"""),"ICLR 2021")</f>
        <v>ICLR 2021</v>
      </c>
      <c r="F967">
        <f>IFERROR(__xludf.DUMMYFUNCTION("""COMPUTED_VALUE"""),2020.0)</f>
        <v>2020</v>
      </c>
      <c r="H967" s="3" t="str">
        <f>IFERROR(__xludf.DUMMYFUNCTION("""COMPUTED_VALUE"""),"AN #136")</f>
        <v>AN #136</v>
      </c>
      <c r="I967" t="str">
        <f>IFERROR(__xludf.DUMMYFUNCTION("""COMPUTED_VALUE"""),"Rohin")</f>
        <v>Rohin</v>
      </c>
      <c r="J967" t="str">
        <f>IFERROR(__xludf.DUMMYFUNCTION("""COMPUTED_VALUE"""),"It is particularly challenging for RL agents to perform hierarchical tasks when there is only a sparse reward. One natural piece of feedback in this setting is instructions in natural language specifying the different subtasks needed to solve the task. In"&amp;" particular, this paper assumes we have access to a dataset of human demonstrations paired with natural language instructions for each subtask that they complete.
We then have an architecture that first generates the language instruction for the current "&amp;"subtask given the final task and the current state, and then takes a low-level action computed from the current state and the language instruction. This is trained via imitation learning on the human demonstrations.
Using a small Minecraft-inspired gridw"&amp;"orld, the authors show that the language generation is crucial for good generalization: if the agent is trained on “cobblestone block” and “iron ingot”, then it is able to generalize to cobblestone ingot, _as long as_ it was trained to generate the langua"&amp;"ge instruction as well. Intuitively, the combinatorial structure of language leads to better generalization than direct imitation on low-level actions.")</f>
        <v>It is particularly challenging for RL agents to perform hierarchical tasks when there is only a sparse reward. One natural piece of feedback in this setting is instructions in natural language specifying the different subtasks needed to solve the task. In particular, this paper assumes we have access to a dataset of human demonstrations paired with natural language instructions for each subtask that they complete.
We then have an architecture that first generates the language instruction for the current subtask given the final task and the current state, and then takes a low-level action computed from the current state and the language instruction. This is trained via imitation learning on the human demonstrations.
Using a small Minecraft-inspired gridworld, the authors show that the language generation is crucial for good generalization: if the agent is trained on “cobblestone block” and “iron ingot”, then it is able to generalize to cobblestone ingot, _as long as_ it was trained to generate the language instruction as well. Intuitively, the combinatorial structure of language leads to better generalization than direct imitation on low-level actions.</v>
      </c>
    </row>
    <row r="968">
      <c r="A968" t="str">
        <f>IFERROR(__xludf.DUMMYFUNCTION("""COMPUTED_VALUE"""),"Learning human intent")</f>
        <v>Learning human intent</v>
      </c>
      <c r="B968" t="str">
        <f>IFERROR(__xludf.DUMMYFUNCTION("""COMPUTED_VALUE"""),"")</f>
        <v/>
      </c>
      <c r="C968" s="3" t="str">
        <f>IFERROR(__xludf.DUMMYFUNCTION("""COMPUTED_VALUE"""),"A Narration-based Reward Shaping Approach using Grounded Natural Language Commands")</f>
        <v>A Narration-based Reward Shaping Approach using Grounded Natural Language Commands</v>
      </c>
      <c r="D968" t="str">
        <f>IFERROR(__xludf.DUMMYFUNCTION("""COMPUTED_VALUE"""),"Nicholas Waytowich, Sean L. Barton, Vernon Lawhern, Garrett Warnell")</f>
        <v>Nicholas Waytowich, Sean L. Barton, Vernon Lawhern, Garrett Warnell</v>
      </c>
      <c r="E968" t="str">
        <f>IFERROR(__xludf.DUMMYFUNCTION("""COMPUTED_VALUE"""),"arXiv")</f>
        <v>arXiv</v>
      </c>
      <c r="F968">
        <f>IFERROR(__xludf.DUMMYFUNCTION("""COMPUTED_VALUE"""),2019.0)</f>
        <v>2019</v>
      </c>
      <c r="H968" s="3" t="str">
        <f>IFERROR(__xludf.DUMMYFUNCTION("""COMPUTED_VALUE"""),"AN #136")</f>
        <v>AN #136</v>
      </c>
      <c r="I968" t="str">
        <f>IFERROR(__xludf.DUMMYFUNCTION("""COMPUTED_VALUE"""),"Rohin")</f>
        <v>Rohin</v>
      </c>
      <c r="J968" t="str">
        <f>IFERROR(__xludf.DUMMYFUNCTION("""COMPUTED_VALUE"""),"One way to specify what an AI system should do is to simply specify it in natural language. If we have some way to map natural language instructions to states, then we could turn natural language into a reward function and use RL to optimize it.
This pap"&amp;"er proposes specifying a task by breaking it down into a sequence of steps to be completed. Given a mapping from natural language to states, they define a reward function that gives a positive reward every time the mapping detects that the agent has compl"&amp;"eted the next stage in the sequence of steps. They show that this outperforms vanilla reinforcement learning on a win/loss reward function in a StarCraft minigame.
For the mapping of language to states, the authors use a mutual embedding model (MEM) they"&amp;" developed in [previous work](https://arxiv.org/abs/1906.02671). The core idea is to write down programs that identify states matching a particular natural language instruction, use this to generate a dataset of states and the corresponding natural langua"&amp;"ge instruction, and then training a model to map the natural language instructions to be “close to” the mappings of the states (which are produced by a CNN).")</f>
        <v>One way to specify what an AI system should do is to simply specify it in natural language. If we have some way to map natural language instructions to states, then we could turn natural language into a reward function and use RL to optimize it.
This paper proposes specifying a task by breaking it down into a sequence of steps to be completed. Given a mapping from natural language to states, they define a reward function that gives a positive reward every time the mapping detects that the agent has completed the next stage in the sequence of steps. They show that this outperforms vanilla reinforcement learning on a win/loss reward function in a StarCraft minigame.
For the mapping of language to states, the authors use a mutual embedding model (MEM) they developed in [previous work](https://arxiv.org/abs/1906.02671). The core idea is to write down programs that identify states matching a particular natural language instruction, use this to generate a dataset of states and the corresponding natural language instruction, and then training a model to map the natural language instructions to be “close to” the mappings of the states (which are produced by a CNN).</v>
      </c>
      <c r="K968" t="str">
        <f>IFERROR(__xludf.DUMMYFUNCTION("""COMPUTED_VALUE"""),"My understanding is the MEM only handles the six natural language instructions used in the StarCraft minigame, and so is roughly equivalent to training six classifiers using the hardcoded programs to generate datasets. Thus, these two papers ultimately bo"&amp;"il down to “decompose the task into six steps, train classifiers for these six steps, and then do RL where the reward function gives positive reward every time a particular step is marked as complete”.
However, this is primarily because the authors had t"&amp;"o ground the natural language instructions themselves. If we could instead leverage a pretrained model which already grounds natural language, such as [CLIP](https://openai.com/blog/clip/), then it seems like this approach could in fact save a lot of huma"&amp;"n effort in specifying what the AI system should do.")</f>
        <v>My understanding is the MEM only handles the six natural language instructions used in the StarCraft minigame, and so is roughly equivalent to training six classifiers using the hardcoded programs to generate datasets. Thus, these two papers ultimately boil down to “decompose the task into six steps, train classifiers for these six steps, and then do RL where the reward function gives positive reward every time a particular step is marked as complete”.
However, this is primarily because the authors had to ground the natural language instructions themselves. If we could instead leverage a pretrained model which already grounds natural language, such as [CLIP](https://openai.com/blog/clip/), then it seems like this approach could in fact save a lot of human effort in specifying what the AI system should do.</v>
      </c>
    </row>
    <row r="969">
      <c r="A969" t="str">
        <f>IFERROR(__xludf.DUMMYFUNCTION("""COMPUTED_VALUE"""),"Learning human intent")</f>
        <v>Learning human intent</v>
      </c>
      <c r="B969" t="str">
        <f>IFERROR(__xludf.DUMMYFUNCTION("""COMPUTED_VALUE"""),"")</f>
        <v/>
      </c>
      <c r="C969" s="3" t="str">
        <f>IFERROR(__xludf.DUMMYFUNCTION("""COMPUTED_VALUE"""),"Learning Rewards from Linguistic Feedback")</f>
        <v>Learning Rewards from Linguistic Feedback</v>
      </c>
      <c r="D969" t="str">
        <f>IFERROR(__xludf.DUMMYFUNCTION("""COMPUTED_VALUE"""),"Theodore R. Sumers, Mark K. Ho, Robert D. Hawkins, Karthik Narasimhan, Thomas L. Griffiths")</f>
        <v>Theodore R. Sumers, Mark K. Ho, Robert D. Hawkins, Karthik Narasimhan, Thomas L. Griffiths</v>
      </c>
      <c r="E969" t="str">
        <f>IFERROR(__xludf.DUMMYFUNCTION("""COMPUTED_VALUE"""),"arXiv")</f>
        <v>arXiv</v>
      </c>
      <c r="F969">
        <f>IFERROR(__xludf.DUMMYFUNCTION("""COMPUTED_VALUE"""),2020.0)</f>
        <v>2020</v>
      </c>
      <c r="H969" s="3" t="str">
        <f>IFERROR(__xludf.DUMMYFUNCTION("""COMPUTED_VALUE"""),"AN #136")</f>
        <v>AN #136</v>
      </c>
      <c r="I969" t="str">
        <f>IFERROR(__xludf.DUMMYFUNCTION("""COMPUTED_VALUE"""),"Rohin")</f>
        <v>Rohin</v>
      </c>
      <c r="J969" t="str">
        <f>IFERROR(__xludf.DUMMYFUNCTION("""COMPUTED_VALUE"""),"This paper proposes another approach to reinforcement learning using natural language. After the agent plays an episode, we can ask a human for feedback in natural language. We then take their response, figure out what features of the environment the resp"&amp;"onse mentions, and then use sentiment analysis to determine how to update the weights on the features. For sentiment analysis we can use an off-the-shelf classifier; the hard part is in determining the relevant environment feature vectors:
1. **Evaluativ"&amp;"e** feedback is feedback about the trajectory the agent produced, for example “good job”, so we can just use the features of this trajectory.
2. **Imperative** feedback specifies what the agent should have done, e.g. “you should have gone to the top right"&amp;" corner”. In this case, we must find the features consistent with the given instruction.
3. **Descriptive** feedback provides feedback directly about the reward, for example “yellow objects are bad”. In this case, we use a feature vector that has a 1 for "&amp;"every feature mentioned (in this case, the feature for yellow objects) and 0 everywhere else.
Types 2 and 3 require some domain knowledge in order to write down programs that map language to the relevant features. The environment the authors used was sim"&amp;"ple enough that they were able to do this.
Once we have the feature vector f and the sentiment s, we perform a Bayesian update on our weight distribution. This is similar to the way we perform Bayesian updates on the reward distribution upon seeing a hum"&amp;"an action as evidence, as in &lt;@Bayesian IRL@&gt;(@Bayesian Inverse Reinforcement Learning@) or &lt;@reward-rational implicit choice@&gt;(@Reward-rational (implicit) choice: A unifying formalism for reward learning@).
This model so far performs reasonably well. By"&amp;" adding a couple of heuristics inspired by pragmatics (e.g. assuming that features that aren’t mentioned aren’t decision-relevant), they reach approximately human-level performance.")</f>
        <v>This paper proposes another approach to reinforcement learning using natural language. After the agent plays an episode, we can ask a human for feedback in natural language. We then take their response, figure out what features of the environment the response mentions, and then use sentiment analysis to determine how to update the weights on the features. For sentiment analysis we can use an off-the-shelf classifier; the hard part is in determining the relevant environment feature vectors:
1. **Evaluative** feedback is feedback about the trajectory the agent produced, for example “good job”, so we can just use the features of this trajectory.
2. **Imperative** feedback specifies what the agent should have done, e.g. “you should have gone to the top right corner”. In this case, we must find the features consistent with the given instruction.
3. **Descriptive** feedback provides feedback directly about the reward, for example “yellow objects are bad”. In this case, we use a feature vector that has a 1 for every feature mentioned (in this case, the feature for yellow objects) and 0 everywhere else.
Types 2 and 3 require some domain knowledge in order to write down programs that map language to the relevant features. The environment the authors used was simple enough that they were able to do this.
Once we have the feature vector f and the sentiment s, we perform a Bayesian update on our weight distribution. This is similar to the way we perform Bayesian updates on the reward distribution upon seeing a human action as evidence, as in &lt;@Bayesian IRL@&gt;(@Bayesian Inverse Reinforcement Learning@) or &lt;@reward-rational implicit choice@&gt;(@Reward-rational (implicit) choice: A unifying formalism for reward learning@).
This model so far performs reasonably well. By adding a couple of heuristics inspired by pragmatics (e.g. assuming that features that aren’t mentioned aren’t decision-relevant), they reach approximately human-level performance.</v>
      </c>
    </row>
    <row r="970">
      <c r="A970" t="str">
        <f>IFERROR(__xludf.DUMMYFUNCTION("""COMPUTED_VALUE"""),"Learning human intent")</f>
        <v>Learning human intent</v>
      </c>
      <c r="B970" t="str">
        <f>IFERROR(__xludf.DUMMYFUNCTION("""COMPUTED_VALUE"""),"")</f>
        <v/>
      </c>
      <c r="C970" s="3" t="str">
        <f>IFERROR(__xludf.DUMMYFUNCTION("""COMPUTED_VALUE"""),"Imitating Interactive Intelligence")</f>
        <v>Imitating Interactive Intelligence</v>
      </c>
      <c r="D970" t="str">
        <f>IFERROR(__xludf.DUMMYFUNCTION("""COMPUTED_VALUE"""),"Interactive Agents Group, Josh Abramson, Arun Ahuja, Arthur Brussee, Federico Carnevale, Mary Cassin, Stephen Clark, Andrew Dudzik, Petko Georgiev, Aurelia Guy, Tim Harley, Felix Hill, Alden Hung, Zachary Kenton, Jessica Landon, Timothy Lillicrap, Kory Ma"&amp;"thewson, Alistair Muldal, Adam Santoro, Nikolay Savinov, Vikrant Varma, Greg Wayne, Nathaniel Wong, Chen Yan, Rui Zhu")</f>
        <v>Interactive Agents Group, Josh Abramson, Arun Ahuja, Arthur Brussee, Federico Carnevale, Mary Cassin, Stephen Clark, Andrew Dudzik, Petko Georgiev, Aurelia Guy, Tim Harley, Felix Hill, Alden Hung, Zachary Kenton, Jessica Landon, Timothy Lillicrap, Kory Mathewson, Alistair Muldal, Adam Santoro, Nikolay Savinov, Vikrant Varma, Greg Wayne, Nathaniel Wong, Chen Yan, Rui Zhu</v>
      </c>
      <c r="E970" t="str">
        <f>IFERROR(__xludf.DUMMYFUNCTION("""COMPUTED_VALUE"""),"arXiv")</f>
        <v>arXiv</v>
      </c>
      <c r="F970">
        <f>IFERROR(__xludf.DUMMYFUNCTION("""COMPUTED_VALUE"""),2020.0)</f>
        <v>2020</v>
      </c>
      <c r="H970" s="3" t="str">
        <f>IFERROR(__xludf.DUMMYFUNCTION("""COMPUTED_VALUE"""),"AN #135")</f>
        <v>AN #135</v>
      </c>
      <c r="I970" t="str">
        <f>IFERROR(__xludf.DUMMYFUNCTION("""COMPUTED_VALUE"""),"Rohin")</f>
        <v>Rohin</v>
      </c>
      <c r="J970" t="str">
        <f>IFERROR(__xludf.DUMMYFUNCTION("""COMPUTED_VALUE"""),"While &lt;@existing@&gt;(@Learning to Follow Language Instructions with Adversarial Reward Induction@) &lt;@work@&gt;(@Human Instruction-Following with Deep Reinforcement Learning via Transfer-Learning from Text@) has trained agents to follow natural language instruc"&amp;"tions, it may be the case that achieving AGI requires more interactivity: perhaps we need to train agents to both give and follow instructions, or engage in a full dialogue, to accomplish tasks in a 3-D embodied environment. This paper makes progress on t"&amp;"his goal.
The authors introduce a 3-D room environment in which agents can interact with objects and move them around, leading to a combinatorial space of possible high-level actions. So far the authors have only worked on question-answering (e.g. “what "&amp;"is the color of the chair?”) and instruction-following (e.g. “please lift up the purple object”), but they hope to eventually also work on dialogue and play.
They collect demonstrations of games between humans in which one human is given a goal, and then"&amp;" is asked to give a natural language instruction. The other human sees this instruction and must then execute it in the environment. The authors then use various kinds of imitation learning algorithms to learn a policy that can both set instructions and e"&amp;"xecute them. They also train models that can evaluate whether a particular trajectory successfully completes the goal or not.
The authors show that the learned policies are capable of some generalization -- for example, if during training they remove all"&amp;" rooms containing orange ducks (but don’t remove other orange objects, or other colors of duck), the resulting policies are still able to handle rooms containing orange ducks.")</f>
        <v>While &lt;@existing@&gt;(@Learning to Follow Language Instructions with Adversarial Reward Induction@) &lt;@work@&gt;(@Human Instruction-Following with Deep Reinforcement Learning via Transfer-Learning from Text@) has trained agents to follow natural language instructions, it may be the case that achieving AGI requires more interactivity: perhaps we need to train agents to both give and follow instructions, or engage in a full dialogue, to accomplish tasks in a 3-D embodied environment. This paper makes progress on this goal.
The authors introduce a 3-D room environment in which agents can interact with objects and move them around, leading to a combinatorial space of possible high-level actions. So far the authors have only worked on question-answering (e.g. “what is the color of the chair?”) and instruction-following (e.g. “please lift up the purple object”), but they hope to eventually also work on dialogue and play.
They collect demonstrations of games between humans in which one human is given a goal, and then is asked to give a natural language instruction. The other human sees this instruction and must then execute it in the environment. The authors then use various kinds of imitation learning algorithms to learn a policy that can both set instructions and execute them. They also train models that can evaluate whether a particular trajectory successfully completes the goal or not.
The authors show that the learned policies are capable of some generalization -- for example, if during training they remove all rooms containing orange ducks (but don’t remove other orange objects, or other colors of duck), the resulting policies are still able to handle rooms containing orange ducks.</v>
      </c>
      <c r="M970" s="3" t="str">
        <f>IFERROR(__xludf.DUMMYFUNCTION("""COMPUTED_VALUE"""),"Probing Emergent Semantics in Predictive Agents via Question Answering")</f>
        <v>Probing Emergent Semantics in Predictive Agents via Question Answering</v>
      </c>
    </row>
    <row r="971">
      <c r="A971" t="str">
        <f>IFERROR(__xludf.DUMMYFUNCTION("""COMPUTED_VALUE"""),"Learning human intent")</f>
        <v>Learning human intent</v>
      </c>
      <c r="B971" t="str">
        <f>IFERROR(__xludf.DUMMYFUNCTION("""COMPUTED_VALUE"""),"")</f>
        <v/>
      </c>
      <c r="C971" s="3" t="str">
        <f>IFERROR(__xludf.DUMMYFUNCTION("""COMPUTED_VALUE"""),"Learning Normativity: A Research Agenda")</f>
        <v>Learning Normativity: A Research Agenda</v>
      </c>
      <c r="D971" t="str">
        <f>IFERROR(__xludf.DUMMYFUNCTION("""COMPUTED_VALUE"""),"Abram Demski")</f>
        <v>Abram Demski</v>
      </c>
      <c r="E971" t="str">
        <f>IFERROR(__xludf.DUMMYFUNCTION("""COMPUTED_VALUE"""),"Alignment Forum")</f>
        <v>Alignment Forum</v>
      </c>
      <c r="F971">
        <f>IFERROR(__xludf.DUMMYFUNCTION("""COMPUTED_VALUE"""),2020.0)</f>
        <v>2020</v>
      </c>
      <c r="H971" s="3" t="str">
        <f>IFERROR(__xludf.DUMMYFUNCTION("""COMPUTED_VALUE"""),"AN #133")</f>
        <v>AN #133</v>
      </c>
      <c r="I971" t="str">
        <f>IFERROR(__xludf.DUMMYFUNCTION("""COMPUTED_VALUE"""),"Rohin")</f>
        <v>Rohin</v>
      </c>
      <c r="J971" t="str">
        <f>IFERROR(__xludf.DUMMYFUNCTION("""COMPUTED_VALUE"""),"To build aligned AI systems, we need to have our AI systems learn what to do from human feedback. However, it is unclear how to interpret that feedback: any particular piece of feedback could be wrong; economics provides many examples of stated preference"&amp;"s diverging from revealed preferences. Not only would we like our AI system to be uncertain about the interpretation about any particular piece of feedback, we would also like it to _improve_ its process for interpreting human feedback. This would come fr"&amp;"om human feedback on the meta-level process by which the AI system learns. This gives us _process-level feedback_, where we make sure the AI system gets the right answers _for the right reasons_.
For example, perhaps initially we have an AI system that i"&amp;"nterprets human statements literally. Switching from this literal interpretation to a Gricean interpretation (where you also take into account the fact that the human chose to say this statement rather than other statements) is likely to yield improvement"&amp;"s, and human feedback could help the AI system do this. (See also [Gricean communication and meta-preferences](https://www.alignmentforum.org/posts/8NpwfjFuEPMjTdriJ/gricean-communication-and-meta-preferences), [Communication Prior as Alignment Strategy]("&amp;"https://www.alignmentforum.org/posts/zAvhvGa6ToieNGuy2/communication-prior-as-alignment-strategy), and [multiple related CHAI papers](https://www.alignmentforum.org/posts/zAvhvGa6ToieNGuy2/communication-prior-as-alignment-strategy?commentId=uWBFsKK6XFbL4H"&amp;"s4z).)
Of course, if we learn _how_ to interpret human feedback, that too is going to be uncertain. We can fix this by “going meta” once again: learning how to learn to interpret human feedback. Iterating this process we get an infinite tower of “levels”"&amp;" of learning, and at every level we assume that feedback is not perfect and the loss function we are using is also not perfect.
In order for this to actually be feasible, we clearly need to share information across these various “levels” (or else it woul"&amp;"d take infinite time to learn across all of the levels). The AI system should not just learn to decrease the probability assigned to a single hypothesis, it should learn what _kinds_ of hypotheses tend to be good or bad.")</f>
        <v>To build aligned AI systems, we need to have our AI systems learn what to do from human feedback. However, it is unclear how to interpret that feedback: any particular piece of feedback could be wrong; economics provides many examples of stated preferences diverging from revealed preferences. Not only would we like our AI system to be uncertain about the interpretation about any particular piece of feedback, we would also like it to _improve_ its process for interpreting human feedback. This would come from human feedback on the meta-level process by which the AI system learns. This gives us _process-level feedback_, where we make sure the AI system gets the right answers _for the right reasons_.
For example, perhaps initially we have an AI system that interprets human statements literally. Switching from this literal interpretation to a Gricean interpretation (where you also take into account the fact that the human chose to say this statement rather than other statements) is likely to yield improvements, and human feedback could help the AI system do this. (See also [Gricean communication and meta-preferences](https://www.alignmentforum.org/posts/8NpwfjFuEPMjTdriJ/gricean-communication-and-meta-preferences), [Communication Prior as Alignment Strategy](https://www.alignmentforum.org/posts/zAvhvGa6ToieNGuy2/communication-prior-as-alignment-strategy), and [multiple related CHAI papers](https://www.alignmentforum.org/posts/zAvhvGa6ToieNGuy2/communication-prior-as-alignment-strategy?commentId=uWBFsKK6XFbL4Hs4z).)
Of course, if we learn _how_ to interpret human feedback, that too is going to be uncertain. We can fix this by “going meta” once again: learning how to learn to interpret human feedback. Iterating this process we get an infinite tower of “levels” of learning, and at every level we assume that feedback is not perfect and the loss function we are using is also not perfect.
In order for this to actually be feasible, we clearly need to share information across these various “levels” (or else it would take infinite time to learn across all of the levels). The AI system should not just learn to decrease the probability assigned to a single hypothesis, it should learn what _kinds_ of hypotheses tend to be good or bad.</v>
      </c>
      <c r="K971" t="str">
        <f>IFERROR(__xludf.DUMMYFUNCTION("""COMPUTED_VALUE"""),"See the opinion on the next summary.")</f>
        <v>See the opinion on the next summary.</v>
      </c>
    </row>
    <row r="972">
      <c r="A972" t="str">
        <f>IFERROR(__xludf.DUMMYFUNCTION("""COMPUTED_VALUE"""),"Learning human intent")</f>
        <v>Learning human intent</v>
      </c>
      <c r="B972" t="str">
        <f>IFERROR(__xludf.DUMMYFUNCTION("""COMPUTED_VALUE"""),"")</f>
        <v/>
      </c>
      <c r="C972" s="3" t="str">
        <f>IFERROR(__xludf.DUMMYFUNCTION("""COMPUTED_VALUE"""),"Recursive Quantilizers II")</f>
        <v>Recursive Quantilizers II</v>
      </c>
      <c r="D972" t="str">
        <f>IFERROR(__xludf.DUMMYFUNCTION("""COMPUTED_VALUE"""),"Abram Demski")</f>
        <v>Abram Demski</v>
      </c>
      <c r="E972" t="str">
        <f>IFERROR(__xludf.DUMMYFUNCTION("""COMPUTED_VALUE"""),"Alignment Forum")</f>
        <v>Alignment Forum</v>
      </c>
      <c r="F972">
        <f>IFERROR(__xludf.DUMMYFUNCTION("""COMPUTED_VALUE"""),2020.0)</f>
        <v>2020</v>
      </c>
      <c r="H972" s="3" t="str">
        <f>IFERROR(__xludf.DUMMYFUNCTION("""COMPUTED_VALUE"""),"AN #133")</f>
        <v>AN #133</v>
      </c>
      <c r="I972" t="str">
        <f>IFERROR(__xludf.DUMMYFUNCTION("""COMPUTED_VALUE"""),"Rohin")</f>
        <v>Rohin</v>
      </c>
      <c r="J972" t="str">
        <f>IFERROR(__xludf.DUMMYFUNCTION("""COMPUTED_VALUE"""),"This post gives an example scheme inspired by the previous post. Like [iterated amplification](https://www.alignmentforum.org/s/EmDuGeRw749sD3GKd), it defines an ideal (analogous to &lt;@HCH@&gt;(@Humans Consulting HCH@)), and then an approximation to it that c"&amp;"ould be computed in practice.
Like HCH, we imagine a tree of systems that improve as we increase the depth of the tree. However, the nodes in the tree are question-answering (QA) _systems_, rather than direct questions. Given a few QA systems from a lowe"&amp;"r level, we construct a QA system at a higher level by asking one low-level QA system “what’s a good safe distribution over QA systems”, and a different low-level QA system “what’s a good metric that we can use to judge QA systems”.  We then use [quantili"&amp;"zation](https://intelligence.org/files/QuantilizersSaferAlternative.pdf) ([AN #48](https://mailchi.mp/3091c6e9405c/alignment-newsletter-48)) to select better-performing QA systems, without optimizing too hard and falling prey to Goodhart’s Law. In the inf"&amp;"inite limit, this should converge to a stable equilibrium.
By having the tree reason about what good safe distributions are, and what good metrics are, we are explicitly improving the way that the AI system learns to interpret feedback (this is what the "&amp;"“good metric” is meant to evaluate), thus meeting the desiderata from the previous post.
To implement this in practice, we do something similar to iterated amplification. Iterated amplification approximates depth-limited HCH by maintaining a model that c"&amp;"an answer _arbitrary_ questions (even though each node is a single question); similarly here we maintain a model that has a _distribution_ over QA systems (even though each node is a single QA system). Then, to sample from the amplified distribution, we s"&amp;"ample two QA systems from the current distribution, ask one for a good safe distribution and the other for a good metric, and use quantilization to sample a new QA system given these ingredients. We use distillation to turn this slow quantilization proces"&amp;"s into a fast neural net model.
Considering the problem of &lt;@inaccessible information@&gt;(@Inaccessible information@), the hope is that, as we amplify the QA system, we will eventually be able to approve of some safe reasoning process about inaccessible in"&amp;"formation. If this doesn’t happen, then it seems that no human reasoning could approve of reasoning about that inaccessible information, so we have done as well as possible.")</f>
        <v>This post gives an example scheme inspired by the previous post. Like [iterated amplification](https://www.alignmentforum.org/s/EmDuGeRw749sD3GKd), it defines an ideal (analogous to &lt;@HCH@&gt;(@Humans Consulting HCH@)), and then an approximation to it that could be computed in practice.
Like HCH, we imagine a tree of systems that improve as we increase the depth of the tree. However, the nodes in the tree are question-answering (QA) _systems_, rather than direct questions. Given a few QA systems from a lower level, we construct a QA system at a higher level by asking one low-level QA system “what’s a good safe distribution over QA systems”, and a different low-level QA system “what’s a good metric that we can use to judge QA systems”.  We then use [quantilization](https://intelligence.org/files/QuantilizersSaferAlternative.pdf) ([AN #48](https://mailchi.mp/3091c6e9405c/alignment-newsletter-48)) to select better-performing QA systems, without optimizing too hard and falling prey to Goodhart’s Law. In the infinite limit, this should converge to a stable equilibrium.
By having the tree reason about what good safe distributions are, and what good metrics are, we are explicitly improving the way that the AI system learns to interpret feedback (this is what the “good metric” is meant to evaluate), thus meeting the desiderata from the previous post.
To implement this in practice, we do something similar to iterated amplification. Iterated amplification approximates depth-limited HCH by maintaining a model that can answer _arbitrary_ questions (even though each node is a single question); similarly here we maintain a model that has a _distribution_ over QA systems (even though each node is a single QA system). Then, to sample from the amplified distribution, we sample two QA systems from the current distribution, ask one for a good safe distribution and the other for a good metric, and use quantilization to sample a new QA system given these ingredients. We use distillation to turn this slow quantilization process into a fast neural net model.
Considering the problem of &lt;@inaccessible information@&gt;(@Inaccessible information@), the hope is that, as we amplify the QA system, we will eventually be able to approve of some safe reasoning process about inaccessible information. If this doesn’t happen, then it seems that no human reasoning could approve of reasoning about that inaccessible information, so we have done as well as possible.</v>
      </c>
      <c r="K972" t="str">
        <f>IFERROR(__xludf.DUMMYFUNCTION("""COMPUTED_VALUE"""),"**On feedback types:** It seems like the scheme introduced here is relying quite strongly on the ability of humans to give good process-level feedback _at arbitrarily high levels_. It is not clear to me that this is something humans can do: it seems to me"&amp;" that when thinking at the meta level, humans often fail to think of important considerations that would be obvious in an object-level case. I think this could be a significant barrier to this scheme, though it’s hard to say without more concrete examples"&amp;" of what this looks like in practice.
**On interaction:** I’ve previously &lt;@argued@&gt;(@Human-AI Interaction@) that it is important to get feedback _online_ from the human; giving feedback “all at once” at the beginning is too hard to do well. However, the"&amp;" idealized algorithm here does have the feedback “all at once”. It’s possible that this is okay, if it is primarily process-level feedback, but it seems fairly worrying to me.
**On desiderata:** The desiderata introduced in the first post feel stronger t"&amp;"han they need to be. It seems possible to specify a method of interpreting feedback that is _good enough_: it doesn’t exactly capture everything, but it gets it sufficiently correct that it results in good outcomes. This seems especially true when talking"&amp;" about process-level feedback, or feedback one meta level up -- as long as the AI system has learned an okay notion of “being helpful” or “being corrigible”, then it seems like we’re probably fine.
Often, just making feedback uncertain can help. For exam"&amp;"ple, in the preference learning literature, Boltzmann rationality has emerged as the model of choice for how to interpret human feedback. While there are several theoretical justifications for this model, I suspect it is successful simply because it makes"&amp;" feedback uncertain: if you want to have a model that assigns higher likelihood to high-reward actions, but still assigns some probability to all actions, it seems like you end up choosing the Boltzmann model (or something functionally equivalent). Note t"&amp;"hat there is work trying to improve upon this model, such as by [modeling humans as pedagogic](https://papers.nips.cc/paper/2016/file/b5488aeff42889188d03c9895255cecc-Paper.pdf), or by &lt;@incorporating a notion of similarity@&gt;(@LESS is More: Rethinking Pro"&amp;"babilistic Models of Human Behavior@).
So overall, I don’t feel convinced that we need to aim for learning at all levels. That being said, the second post introduced a different argument: that the method does as well as we “could” do given the limits of "&amp;"human reasoning. I like this a lot more as a desideratum; it feels more achievable and more tied to what we care about.")</f>
        <v>**On feedback types:** It seems like the scheme introduced here is relying quite strongly on the ability of humans to give good process-level feedback _at arbitrarily high levels_. It is not clear to me that this is something humans can do: it seems to me that when thinking at the meta level, humans often fail to think of important considerations that would be obvious in an object-level case. I think this could be a significant barrier to this scheme, though it’s hard to say without more concrete examples of what this looks like in practice.
**On interaction:** I’ve previously &lt;@argued@&gt;(@Human-AI Interaction@) that it is important to get feedback _online_ from the human; giving feedback “all at once” at the beginning is too hard to do well. However, the idealized algorithm here does have the feedback “all at once”. It’s possible that this is okay, if it is primarily process-level feedback, but it seems fairly worrying to me.
**On desiderata:** The desiderata introduced in the first post feel stronger than they need to be. It seems possible to specify a method of interpreting feedback that is _good enough_: it doesn’t exactly capture everything, but it gets it sufficiently correct that it results in good outcomes. This seems especially true when talking about process-level feedback, or feedback one meta level up -- as long as the AI system has learned an okay notion of “being helpful” or “being corrigible”, then it seems like we’re probably fine.
Often, just making feedback uncertain can help. For example, in the preference learning literature, Boltzmann rationality has emerged as the model of choice for how to interpret human feedback. While there are several theoretical justifications for this model, I suspect it is successful simply because it makes feedback uncertain: if you want to have a model that assigns higher likelihood to high-reward actions, but still assigns some probability to all actions, it seems like you end up choosing the Boltzmann model (or something functionally equivalent). Note that there is work trying to improve upon this model, such as by [modeling humans as pedagogic](https://papers.nips.cc/paper/2016/file/b5488aeff42889188d03c9895255cecc-Paper.pdf), or by &lt;@incorporating a notion of similarity@&gt;(@LESS is More: Rethinking Probabilistic Models of Human Behavior@).
So overall, I don’t feel convinced that we need to aim for learning at all levels. That being said, the second post introduced a different argument: that the method does as well as we “could” do given the limits of human reasoning. I like this a lot more as a desideratum; it feels more achievable and more tied to what we care about.</v>
      </c>
    </row>
    <row r="973">
      <c r="A973" t="str">
        <f>IFERROR(__xludf.DUMMYFUNCTION("""COMPUTED_VALUE"""),"Learning human intent")</f>
        <v>Learning human intent</v>
      </c>
      <c r="B973" t="str">
        <f>IFERROR(__xludf.DUMMYFUNCTION("""COMPUTED_VALUE"""),"")</f>
        <v/>
      </c>
      <c r="C973" s="3" t="str">
        <f>IFERROR(__xludf.DUMMYFUNCTION("""COMPUTED_VALUE"""),"Understanding Learned Reward Functions")</f>
        <v>Understanding Learned Reward Functions</v>
      </c>
      <c r="D973" t="str">
        <f>IFERROR(__xludf.DUMMYFUNCTION("""COMPUTED_VALUE"""),"Eric J. Michaud, Adam Gleave, Stuart Russell")</f>
        <v>Eric J. Michaud, Adam Gleave, Stuart Russell</v>
      </c>
      <c r="E973" t="str">
        <f>IFERROR(__xludf.DUMMYFUNCTION("""COMPUTED_VALUE"""),"arXiv")</f>
        <v>arXiv</v>
      </c>
      <c r="F973">
        <f>IFERROR(__xludf.DUMMYFUNCTION("""COMPUTED_VALUE"""),2020.0)</f>
        <v>2020</v>
      </c>
      <c r="H973" s="3" t="str">
        <f>IFERROR(__xludf.DUMMYFUNCTION("""COMPUTED_VALUE"""),"AN #132")</f>
        <v>AN #132</v>
      </c>
      <c r="I973" t="str">
        <f>IFERROR(__xludf.DUMMYFUNCTION("""COMPUTED_VALUE"""),"Rohin")</f>
        <v>Rohin</v>
      </c>
      <c r="J973" t="str">
        <f>IFERROR(__xludf.DUMMYFUNCTION("""COMPUTED_VALUE"""),"This paper investigates what exactly learned reward functions have learned, through the use of interpretability techniques. The authors hope that it will be easier to identify misalignment by directly interpreting learned reward functions as opposed to po"&amp;"licies trained on them, as it seems plausible that reward functions will stay relatively similar in complexity, even when the policies become more complex as AI systems become more capable. Specifically, the authors look at:
1. Saliency maps, which plot "&amp;"the gradient of the reward with respect to each pixel, intuitively quantifying “how important is this pixel to the reward”
2. Occlusion maps, which show how much the reward changes if a certain area of the image is blurred
3. Counterfactual inputs, in whi"&amp;"ch the authors manually craft input images to see what the learned reward function outputs.
In a simple gridworld where the agent must find the goal, the authors coded the reward function “1 if the agent moves to a previously visible goal location, else "&amp;"0”, but they show that the learned reward is instead “0 if there is a currently visible goal location, else 1”. These are identical in the training environment, where there is always exactly one goal location (that the agent may be standing on, in which c"&amp;"ase that location is not visible). However, if there are changes at test time, e.g. multiple goal locations, then the learned reward will diverge from the true reward.
They then apply a similar methodology to Atari. They find that if the score is not hid"&amp;"den, then the learned reward model will simply check whether the score pixels are changing to detect reward -- _unless_ the score pixels change at a later time than reward is accrued, in which case this is not a viable strategy. They thus suggest that fut"&amp;"ure reward learning work on Atari should ensure that the score is removed from the screen. Another important direction would be to develop new interpretability techniques that are specific to reward functions, e.g. to handle the fact that reward functions"&amp;" are invariant to potential shaping.")</f>
        <v>This paper investigates what exactly learned reward functions have learned, through the use of interpretability techniques. The authors hope that it will be easier to identify misalignment by directly interpreting learned reward functions as opposed to policies trained on them, as it seems plausible that reward functions will stay relatively similar in complexity, even when the policies become more complex as AI systems become more capable. Specifically, the authors look at:
1. Saliency maps, which plot the gradient of the reward with respect to each pixel, intuitively quantifying “how important is this pixel to the reward”
2. Occlusion maps, which show how much the reward changes if a certain area of the image is blurred
3. Counterfactual inputs, in which the authors manually craft input images to see what the learned reward function outputs.
In a simple gridworld where the agent must find the goal, the authors coded the reward function “1 if the agent moves to a previously visible goal location, else 0”, but they show that the learned reward is instead “0 if there is a currently visible goal location, else 1”. These are identical in the training environment, where there is always exactly one goal location (that the agent may be standing on, in which case that location is not visible). However, if there are changes at test time, e.g. multiple goal locations, then the learned reward will diverge from the true reward.
They then apply a similar methodology to Atari. They find that if the score is not hidden, then the learned reward model will simply check whether the score pixels are changing to detect reward -- _unless_ the score pixels change at a later time than reward is accrued, in which case this is not a viable strategy. They thus suggest that future reward learning work on Atari should ensure that the score is removed from the screen. Another important direction would be to develop new interpretability techniques that are specific to reward functions, e.g. to handle the fact that reward functions are invariant to potential shaping.</v>
      </c>
    </row>
    <row r="974">
      <c r="A974" t="str">
        <f>IFERROR(__xludf.DUMMYFUNCTION("""COMPUTED_VALUE"""),"Learning human intent")</f>
        <v>Learning human intent</v>
      </c>
      <c r="B974" t="str">
        <f>IFERROR(__xludf.DUMMYFUNCTION("""COMPUTED_VALUE"""),"")</f>
        <v/>
      </c>
      <c r="C974" s="3" t="str">
        <f>IFERROR(__xludf.DUMMYFUNCTION("""COMPUTED_VALUE"""),"Human-Interactive Subgoal Supervision for Efficient Inverse Reinforcement Learning")</f>
        <v>Human-Interactive Subgoal Supervision for Efficient Inverse Reinforcement Learning</v>
      </c>
      <c r="D974" t="str">
        <f>IFERROR(__xludf.DUMMYFUNCTION("""COMPUTED_VALUE"""),"Xinlei Pan, Eshed Ohn-Bar, Nicholas Rhinehart, Yan Xu, Yilin Shen, Kris M. Kitani")</f>
        <v>Xinlei Pan, Eshed Ohn-Bar, Nicholas Rhinehart, Yan Xu, Yilin Shen, Kris M. Kitani</v>
      </c>
      <c r="E974" t="str">
        <f>IFERROR(__xludf.DUMMYFUNCTION("""COMPUTED_VALUE"""),"arXiv")</f>
        <v>arXiv</v>
      </c>
      <c r="F974">
        <f>IFERROR(__xludf.DUMMYFUNCTION("""COMPUTED_VALUE"""),2018.0)</f>
        <v>2018</v>
      </c>
      <c r="H974" s="3" t="str">
        <f>IFERROR(__xludf.DUMMYFUNCTION("""COMPUTED_VALUE"""),"AN #13")</f>
        <v>AN #13</v>
      </c>
    </row>
    <row r="975">
      <c r="A975" t="str">
        <f>IFERROR(__xludf.DUMMYFUNCTION("""COMPUTED_VALUE"""),"Learning human intent")</f>
        <v>Learning human intent</v>
      </c>
      <c r="B975" t="str">
        <f>IFERROR(__xludf.DUMMYFUNCTION("""COMPUTED_VALUE"""),"")</f>
        <v/>
      </c>
      <c r="C975" s="3" t="str">
        <f>IFERROR(__xludf.DUMMYFUNCTION("""COMPUTED_VALUE"""),"Multi-agent Inverse Reinforcement Learning for General-sum Stochastic Games")</f>
        <v>Multi-agent Inverse Reinforcement Learning for General-sum Stochastic Games</v>
      </c>
      <c r="D975" t="str">
        <f>IFERROR(__xludf.DUMMYFUNCTION("""COMPUTED_VALUE"""),"Xiaomin Lin, Stephen C. Adams, Peter A. Beling")</f>
        <v>Xiaomin Lin, Stephen C. Adams, Peter A. Beling</v>
      </c>
      <c r="E975" t="str">
        <f>IFERROR(__xludf.DUMMYFUNCTION("""COMPUTED_VALUE"""),"arXiv")</f>
        <v>arXiv</v>
      </c>
      <c r="F975">
        <f>IFERROR(__xludf.DUMMYFUNCTION("""COMPUTED_VALUE"""),2018.0)</f>
        <v>2018</v>
      </c>
      <c r="H975" s="3" t="str">
        <f>IFERROR(__xludf.DUMMYFUNCTION("""COMPUTED_VALUE"""),"AN #13")</f>
        <v>AN #13</v>
      </c>
    </row>
    <row r="976">
      <c r="A976" t="str">
        <f>IFERROR(__xludf.DUMMYFUNCTION("""COMPUTED_VALUE"""),"Learning human intent")</f>
        <v>Learning human intent</v>
      </c>
      <c r="B976" t="str">
        <f>IFERROR(__xludf.DUMMYFUNCTION("""COMPUTED_VALUE"""),"")</f>
        <v/>
      </c>
      <c r="C976" s="3" t="str">
        <f>IFERROR(__xludf.DUMMYFUNCTION("""COMPUTED_VALUE"""),"Robust Imitation Learning from Noisy Demonstrations")</f>
        <v>Robust Imitation Learning from Noisy Demonstrations</v>
      </c>
      <c r="D976" t="str">
        <f>IFERROR(__xludf.DUMMYFUNCTION("""COMPUTED_VALUE"""),"Voot Tangkaratt, Nontawat Charoenphakdee, Masashi Sugiyama")</f>
        <v>Voot Tangkaratt, Nontawat Charoenphakdee, Masashi Sugiyama</v>
      </c>
      <c r="E976" t="str">
        <f>IFERROR(__xludf.DUMMYFUNCTION("""COMPUTED_VALUE"""),"arXiv")</f>
        <v>arXiv</v>
      </c>
      <c r="F976">
        <f>IFERROR(__xludf.DUMMYFUNCTION("""COMPUTED_VALUE"""),2020.0)</f>
        <v>2020</v>
      </c>
      <c r="H976" s="3" t="str">
        <f>IFERROR(__xludf.DUMMYFUNCTION("""COMPUTED_VALUE"""),"AN #129")</f>
        <v>AN #129</v>
      </c>
      <c r="I976" t="str">
        <f>IFERROR(__xludf.DUMMYFUNCTION("""COMPUTED_VALUE"""),"Zach")</f>
        <v>Zach</v>
      </c>
      <c r="J976" t="str">
        <f>IFERROR(__xludf.DUMMYFUNCTION("""COMPUTED_VALUE"""),"One weakness of vanilla imitation learning is that it struggles to handle demonstrations from sub-optimal experts. Let’s consider a simplified setting where the sub-optimal experts are modeled as optimal policies with injected gaussian noise. Ideally, the"&amp;" agent would learn to separate the noise from the true optimal policy.
This paper proposes an algorithm that is able to do this separation. The authors assume that the sub-optimal demonstrations and the learned agent policy can both be decomposed into a "&amp;"mixture of expert-policy and noise distributions. The main insight is that we can then learn a single classifier to distinguish noisy data from expert data; this classifier can then be used to define a reward function for an RL agent.
One issue is that s"&amp;"ince there is no ground truth for what is expert vs. noise, the classifier has to be trained on its own predictions, which can lead to overconfidence via positive feedback loops. To stabilize training, the authors train two models concurrently (co-trainin"&amp;"g); each model is used to create training data for the other model. The authors call this approach RIL-Co. The experimental results show their algorithm RIL-Co is able to perform better than GAIL and other algorithms in the noisy regime.")</f>
        <v>One weakness of vanilla imitation learning is that it struggles to handle demonstrations from sub-optimal experts. Let’s consider a simplified setting where the sub-optimal experts are modeled as optimal policies with injected gaussian noise. Ideally, the agent would learn to separate the noise from the true optimal policy.
This paper proposes an algorithm that is able to do this separation. The authors assume that the sub-optimal demonstrations and the learned agent policy can both be decomposed into a mixture of expert-policy and noise distributions. The main insight is that we can then learn a single classifier to distinguish noisy data from expert data; this classifier can then be used to define a reward function for an RL agent.
One issue is that since there is no ground truth for what is expert vs. noise, the classifier has to be trained on its own predictions, which can lead to overconfidence via positive feedback loops. To stabilize training, the authors train two models concurrently (co-training); each model is used to create training data for the other model. The authors call this approach RIL-Co. The experimental results show their algorithm RIL-Co is able to perform better than GAIL and other algorithms in the noisy regime.</v>
      </c>
      <c r="K976" t="str">
        <f>IFERROR(__xludf.DUMMYFUNCTION("""COMPUTED_VALUE"""),"The derivation of the method is interesting in its own right since it also offers an alternative derivation of GAIL. However, the main assumption of this paper is that the agent policy can be decomposed into an expert and non-expert mixture. This seems li"&amp;"ke a strong assumption and makes me skeptical of the theoretical analysis. Nevertheless, the experimental results do indicate that RIL-Co is able to outperform other naive approaches. I'm also surprised this paper has no reference to DART, which directly "&amp;"analyzes imitation learning in the noise-injection setting. Specifically, given that these experts are deterministic and we have a significant number of demonstrations, I'd expect that a reasonable amount of noise should be directly removable with regular"&amp;" behavioral cloning. Yet, there is no comparison with behavioral cloning.")</f>
        <v>The derivation of the method is interesting in its own right since it also offers an alternative derivation of GAIL. However, the main assumption of this paper is that the agent policy can be decomposed into an expert and non-expert mixture. This seems like a strong assumption and makes me skeptical of the theoretical analysis. Nevertheless, the experimental results do indicate that RIL-Co is able to outperform other naive approaches. I'm also surprised this paper has no reference to DART, which directly analyzes imitation learning in the noise-injection setting. Specifically, given that these experts are deterministic and we have a significant number of demonstrations, I'd expect that a reasonable amount of noise should be directly removable with regular behavioral cloning. Yet, there is no comparison with behavioral cloning.</v>
      </c>
      <c r="L976" t="str">
        <f>IFERROR(__xludf.DUMMYFUNCTION("""COMPUTED_VALUE"""),"&lt;@GAIL@&gt;(@Generative Adversarial Imitation Learning@)")</f>
        <v>&lt;@GAIL@&gt;(@Generative Adversarial Imitation Learning@)</v>
      </c>
      <c r="M976" s="3" t="str">
        <f>IFERROR(__xludf.DUMMYFUNCTION("""COMPUTED_VALUE"""),"DART")</f>
        <v>DART</v>
      </c>
    </row>
    <row r="977">
      <c r="A977" t="str">
        <f>IFERROR(__xludf.DUMMYFUNCTION("""COMPUTED_VALUE"""),"Learning human intent")</f>
        <v>Learning human intent</v>
      </c>
      <c r="B977" t="str">
        <f>IFERROR(__xludf.DUMMYFUNCTION("""COMPUTED_VALUE"""),"")</f>
        <v/>
      </c>
      <c r="C977" s="3" t="str">
        <f>IFERROR(__xludf.DUMMYFUNCTION("""COMPUTED_VALUE"""),"The EMPATHIC Framework for Task Learning from Implicit Human Feedback")</f>
        <v>The EMPATHIC Framework for Task Learning from Implicit Human Feedback</v>
      </c>
      <c r="D977" t="str">
        <f>IFERROR(__xludf.DUMMYFUNCTION("""COMPUTED_VALUE"""),"Yuchen Cui*, Qiping Zhang*, Alessandro Allievi, Peter Stone, Scott Niekum, W. Bradley Knox")</f>
        <v>Yuchen Cui*, Qiping Zhang*, Alessandro Allievi, Peter Stone, Scott Niekum, W. Bradley Knox</v>
      </c>
      <c r="E977" t="str">
        <f>IFERROR(__xludf.DUMMYFUNCTION("""COMPUTED_VALUE"""),"arXiv")</f>
        <v>arXiv</v>
      </c>
      <c r="F977">
        <f>IFERROR(__xludf.DUMMYFUNCTION("""COMPUTED_VALUE"""),2020.0)</f>
        <v>2020</v>
      </c>
      <c r="H977" s="3" t="str">
        <f>IFERROR(__xludf.DUMMYFUNCTION("""COMPUTED_VALUE"""),"AN #123")</f>
        <v>AN #123</v>
      </c>
      <c r="I977" t="str">
        <f>IFERROR(__xludf.DUMMYFUNCTION("""COMPUTED_VALUE"""),"Rohin")</f>
        <v>Rohin</v>
      </c>
      <c r="J977" t="str">
        <f>IFERROR(__xludf.DUMMYFUNCTION("""COMPUTED_VALUE"""),"A problem with learning from human feedback is that human feedback is quite expensive to collect. Can we instead learn from the facial expressions that humans automatically make anyway? This paper shows that the answer is yes: they first record human reac"&amp;"tions while watching an autonomous agent, and use that to train a model that predicts reward given human reactions. They then transfer this model to a new task.")</f>
        <v>A problem with learning from human feedback is that human feedback is quite expensive to collect. Can we instead learn from the facial expressions that humans automatically make anyway? This paper shows that the answer is yes: they first record human reactions while watching an autonomous agent, and use that to train a model that predicts reward given human reactions. They then transfer this model to a new task.</v>
      </c>
    </row>
    <row r="978">
      <c r="A978" t="str">
        <f>IFERROR(__xludf.DUMMYFUNCTION("""COMPUTED_VALUE"""),"Learning human intent")</f>
        <v>Learning human intent</v>
      </c>
      <c r="B978" t="str">
        <f>IFERROR(__xludf.DUMMYFUNCTION("""COMPUTED_VALUE"""),"")</f>
        <v/>
      </c>
      <c r="C978" s="3" t="str">
        <f>IFERROR(__xludf.DUMMYFUNCTION("""COMPUTED_VALUE"""),"Aligning Superhuman AI and Human Behavior: Chess as a Model System")</f>
        <v>Aligning Superhuman AI and Human Behavior: Chess as a Model System</v>
      </c>
      <c r="D978" t="str">
        <f>IFERROR(__xludf.DUMMYFUNCTION("""COMPUTED_VALUE"""),"Reid McIlroy-Young, Siddhartha Sen, Jon Kleinberg, Ashton Anderson")</f>
        <v>Reid McIlroy-Young, Siddhartha Sen, Jon Kleinberg, Ashton Anderson</v>
      </c>
      <c r="E978" t="str">
        <f>IFERROR(__xludf.DUMMYFUNCTION("""COMPUTED_VALUE"""),"arXiv")</f>
        <v>arXiv</v>
      </c>
      <c r="F978">
        <f>IFERROR(__xludf.DUMMYFUNCTION("""COMPUTED_VALUE"""),2020.0)</f>
        <v>2020</v>
      </c>
      <c r="G978" t="str">
        <f>IFERROR(__xludf.DUMMYFUNCTION("""COMPUTED_VALUE"""),"Dylan Hadfield-Menell")</f>
        <v>Dylan Hadfield-Menell</v>
      </c>
      <c r="H978" s="3" t="str">
        <f>IFERROR(__xludf.DUMMYFUNCTION("""COMPUTED_VALUE"""),"AN #120")</f>
        <v>AN #120</v>
      </c>
      <c r="I978" t="str">
        <f>IFERROR(__xludf.DUMMYFUNCTION("""COMPUTED_VALUE"""),"Rohin")</f>
        <v>Rohin</v>
      </c>
      <c r="J978" t="str">
        <f>IFERROR(__xludf.DUMMYFUNCTION("""COMPUTED_VALUE"""),"Current AI systems are usually focused on some well-defined performance metric. However, as AI systems become more intelligent, we would presumably want to have humans learn from and collaborate with such systems. This is currently challenging since our s"&amp;"uperintelligent AI systems are quite hard to understand and don’t act in human-like ways.
The authors aim to study this general issue within chess, where we have access both to superintelligent AI systems and lots of human-generated data. (Note: I’ll tal"&amp;"k about “ratings” below; these are not necessarily ELO ratings and should just be thought of as some “score” that functions similarly to ELO.) The authors are interested in whether AI systems play in a human-like way and can be used as a way of understand"&amp;"ing human gameplay. One particularly notable aspect of human gameplay is that there is a wide range in skill: as a result we would like an AI system that can make predictions conditioned on varying skill levels.
For existing algorithms, the authors analy"&amp;"ze the traditional Stockfish engine and the newer Leela (an open-source version of &lt;@AlphaZero@&gt;(@AlphaZero: Shedding new light on the grand games of chess, shogi and Go@)). They can get varying skill levels by changing the depth of the tree search (in St"&amp;"ockfish) or changing the amount of training (in Leela).
For Stockfish, they find that _regardless of search depth_, Stockfish action distributions monotonically increase in accuracy as the skill of the human goes up -- even when the depth of the search l"&amp;"eads to a Stockfish agent with a similar skill rating as an amateur human. (In other words, if you take a low-ELO Stockfish agent and treat it as a predictive model of human players, it isn’t a great predictive model ever, but it is best at predicting hum"&amp;"an experts, not human amateurs.) This demonstrates that Stockfish plays very differently than humans.
Leela on the other hand is somewhat more human-like: when its rating is under 2700, its accuracy is highest on amateur humans; at a rating of 2700 its a"&amp;"ccuracy is about constant across humans, and above 2700 its accuracy is highest on expert humans. However, its accuracy is still low, and the most competent Leela model is always the best predictor of human play (rather than the Leela model with the most "&amp;"similar skill level to the human whose actions are being predicted).
The authors then develop their own method, Maia. They talk about it as a “modification of the AlphaZero architecture”, but as far as I can tell it is simply behavior cloning using the n"&amp;"eural net architecture used by Leela. As you might expect, this does significantly better, and finally satisfies the property we would intuitively want: the best predictive model for a human of some skill level is the one that was trained on the data from"&amp;" humans at that skill level.
They also investigate a bunch of other scenarios, such as decisions in which there is a clear best action and decisions where humans tend to make mistakes, and find that the models behave as you’d expect (for example, when th"&amp;"ere’s a clear best action, model accuracy increases across the board).")</f>
        <v>Current AI systems are usually focused on some well-defined performance metric. However, as AI systems become more intelligent, we would presumably want to have humans learn from and collaborate with such systems. This is currently challenging since our superintelligent AI systems are quite hard to understand and don’t act in human-like ways.
The authors aim to study this general issue within chess, where we have access both to superintelligent AI systems and lots of human-generated data. (Note: I’ll talk about “ratings” below; these are not necessarily ELO ratings and should just be thought of as some “score” that functions similarly to ELO.) The authors are interested in whether AI systems play in a human-like way and can be used as a way of understanding human gameplay. One particularly notable aspect of human gameplay is that there is a wide range in skill: as a result we would like an AI system that can make predictions conditioned on varying skill levels.
For existing algorithms, the authors analyze the traditional Stockfish engine and the newer Leela (an open-source version of &lt;@AlphaZero@&gt;(@AlphaZero: Shedding new light on the grand games of chess, shogi and Go@)). They can get varying skill levels by changing the depth of the tree search (in Stockfish) or changing the amount of training (in Leela).
For Stockfish, they find that _regardless of search depth_, Stockfish action distributions monotonically increase in accuracy as the skill of the human goes up -- even when the depth of the search leads to a Stockfish agent with a similar skill rating as an amateur human. (In other words, if you take a low-ELO Stockfish agent and treat it as a predictive model of human players, it isn’t a great predictive model ever, but it is best at predicting human experts, not human amateurs.) This demonstrates that Stockfish plays very differently than humans.
Leela on the other hand is somewhat more human-like: when its rating is under 2700, its accuracy is highest on amateur humans; at a rating of 2700 its accuracy is about constant across humans, and above 2700 its accuracy is highest on expert humans. However, its accuracy is still low, and the most competent Leela model is always the best predictor of human play (rather than the Leela model with the most similar skill level to the human whose actions are being predicted).
The authors then develop their own method, Maia. They talk about it as a “modification of the AlphaZero architecture”, but as far as I can tell it is simply behavior cloning using the neural net architecture used by Leela. As you might expect, this does significantly better, and finally satisfies the property we would intuitively want: the best predictive model for a human of some skill level is the one that was trained on the data from humans at that skill level.
They also investigate a bunch of other scenarios, such as decisions in which there is a clear best action and decisions where humans tend to make mistakes, and find that the models behave as you’d expect (for example, when there’s a clear best action, model accuracy increases across the board).</v>
      </c>
      <c r="K978" t="str">
        <f>IFERROR(__xludf.DUMMYFUNCTION("""COMPUTED_VALUE"""),"While I found the motivation and description of this paper somewhat unclear or misleading (Maia seems to me to be identical to behavior cloning, in which case it would not just be a “connection”), the experiments they run are pretty cool and it was intere"&amp;"sting to see the pretty stark differences between models trained on a performance metric and models trained to imitate humans.")</f>
        <v>While I found the motivation and description of this paper somewhat unclear or misleading (Maia seems to me to be identical to behavior cloning, in which case it would not just be a “connection”), the experiments they run are pretty cool and it was interesting to see the pretty stark differences between models trained on a performance metric and models trained to imitate humans.</v>
      </c>
    </row>
    <row r="979">
      <c r="A979" t="str">
        <f>IFERROR(__xludf.DUMMYFUNCTION("""COMPUTED_VALUE"""),"Learning human intent")</f>
        <v>Learning human intent</v>
      </c>
      <c r="B979" t="str">
        <f>IFERROR(__xludf.DUMMYFUNCTION("""COMPUTED_VALUE"""),"")</f>
        <v/>
      </c>
      <c r="C979" s="3" t="str">
        <f>IFERROR(__xludf.DUMMYFUNCTION("""COMPUTED_VALUE"""),"Non-Adversarial Imitation Learning and its Connections to Adversarial Methods")</f>
        <v>Non-Adversarial Imitation Learning and its Connections to Adversarial Methods</v>
      </c>
      <c r="D979" t="str">
        <f>IFERROR(__xludf.DUMMYFUNCTION("""COMPUTED_VALUE"""),"Oleg Arenz, Gerhard Neumann")</f>
        <v>Oleg Arenz, Gerhard Neumann</v>
      </c>
      <c r="E979" t="str">
        <f>IFERROR(__xludf.DUMMYFUNCTION("""COMPUTED_VALUE"""),"arXiv")</f>
        <v>arXiv</v>
      </c>
      <c r="F979">
        <f>IFERROR(__xludf.DUMMYFUNCTION("""COMPUTED_VALUE"""),2020.0)</f>
        <v>2020</v>
      </c>
      <c r="H979" s="3" t="str">
        <f>IFERROR(__xludf.DUMMYFUNCTION("""COMPUTED_VALUE"""),"AN #119")</f>
        <v>AN #119</v>
      </c>
      <c r="I979" t="str">
        <f>IFERROR(__xludf.DUMMYFUNCTION("""COMPUTED_VALUE"""),"Zach")</f>
        <v>Zach</v>
      </c>
      <c r="J979" t="str">
        <f>IFERROR(__xludf.DUMMYFUNCTION("""COMPUTED_VALUE"""),"Viewing imitation learning as a distribution matching problem has become more popular in recent years (see &lt;@Value-Dice@&gt;(@Imitation Learning via Off-Policy Distribution Matching@) / &lt;@I2L@&gt;(@State-only Imitation with Transition Dynamics Mismatch@)). Howe"&amp;"ver, the authors in this paper argue that such methods are unstable due to their formulation as saddle-point problems which means they have weak convergence guarantees due to the assumption that the policy is slowly updated. In this paper, the authors ref"&amp;"ormulate &lt;@Adversarial IRL@&gt;(@Learning Robust Rewards with Adversarial Inverse Reinforcement Learning@) as a non-adversarial problem allowing for much stronger convergence guarantees to be proved. In particular, the authors derive a lower-bound on the dis"&amp;"crimination reward which allows for larger policy updates and then introduce a method to iteratively tighten this bound. They also build on prior work for value-dice and derive a soft actor-critic algorithm (ONAIL) that they evaluate on a variety of contr"&amp;"ol tasks. ")</f>
        <v>Viewing imitation learning as a distribution matching problem has become more popular in recent years (see &lt;@Value-Dice@&gt;(@Imitation Learning via Off-Policy Distribution Matching@) / &lt;@I2L@&gt;(@State-only Imitation with Transition Dynamics Mismatch@)). However, the authors in this paper argue that such methods are unstable due to their formulation as saddle-point problems which means they have weak convergence guarantees due to the assumption that the policy is slowly updated. In this paper, the authors reformulate &lt;@Adversarial IRL@&gt;(@Learning Robust Rewards with Adversarial Inverse Reinforcement Learning@) as a non-adversarial problem allowing for much stronger convergence guarantees to be proved. In particular, the authors derive a lower-bound on the discrimination reward which allows for larger policy updates and then introduce a method to iteratively tighten this bound. They also build on prior work for value-dice and derive a soft actor-critic algorithm (ONAIL) that they evaluate on a variety of control tasks. </v>
      </c>
      <c r="K979" t="str">
        <f>IFERROR(__xludf.DUMMYFUNCTION("""COMPUTED_VALUE"""),"The experiments in this paper are a bit underwhelming. While they run a large number of experiments, ONAIL only occasionally outperforms value-dice consistently in the HalfCheetah environment. The authors justify this by noting that ONAIL wasn't regulariz"&amp;"ed. Additionally, the policies are initialized with behavior cloning, something that value-dice doesn't require. However, the theoretical insight on iterative tightening is interesting, and together with the recent work on value-dice indicates that the de"&amp;"sign space of imitation learning algorithms is far from being exhausted.")</f>
        <v>The experiments in this paper are a bit underwhelming. While they run a large number of experiments, ONAIL only occasionally outperforms value-dice consistently in the HalfCheetah environment. The authors justify this by noting that ONAIL wasn't regularized. Additionally, the policies are initialized with behavior cloning, something that value-dice doesn't require. However, the theoretical insight on iterative tightening is interesting, and together with the recent work on value-dice indicates that the design space of imitation learning algorithms is far from being exhausted.</v>
      </c>
    </row>
    <row r="980">
      <c r="A980" t="str">
        <f>IFERROR(__xludf.DUMMYFUNCTION("""COMPUTED_VALUE"""),"Learning human intent")</f>
        <v>Learning human intent</v>
      </c>
      <c r="B980" t="str">
        <f>IFERROR(__xludf.DUMMYFUNCTION("""COMPUTED_VALUE"""),"")</f>
        <v/>
      </c>
      <c r="C980" s="3" t="str">
        <f>IFERROR(__xludf.DUMMYFUNCTION("""COMPUTED_VALUE"""),"Online Bayesian Goal Inference for Boundedly-Rational Planning Agents")</f>
        <v>Online Bayesian Goal Inference for Boundedly-Rational Planning Agents</v>
      </c>
      <c r="D980" t="str">
        <f>IFERROR(__xludf.DUMMYFUNCTION("""COMPUTED_VALUE"""),"Tan Zhi-Xuan, Jordyn L. Mann, Tom Silver, Joshua B. Tenenbaum, Vikash K. Mansinghka")</f>
        <v>Tan Zhi-Xuan, Jordyn L. Mann, Tom Silver, Joshua B. Tenenbaum, Vikash K. Mansinghka</v>
      </c>
      <c r="E980" t="str">
        <f>IFERROR(__xludf.DUMMYFUNCTION("""COMPUTED_VALUE"""),"arXiv")</f>
        <v>arXiv</v>
      </c>
      <c r="F980">
        <f>IFERROR(__xludf.DUMMYFUNCTION("""COMPUTED_VALUE"""),2020.0)</f>
        <v>2020</v>
      </c>
      <c r="H980" s="3" t="str">
        <f>IFERROR(__xludf.DUMMYFUNCTION("""COMPUTED_VALUE"""),"AN #111")</f>
        <v>AN #111</v>
      </c>
      <c r="I980" t="str">
        <f>IFERROR(__xludf.DUMMYFUNCTION("""COMPUTED_VALUE"""),"Rohin")</f>
        <v>Rohin</v>
      </c>
      <c r="J980" t="str">
        <f>IFERROR(__xludf.DUMMYFUNCTION("""COMPUTED_VALUE"""),"Typical approaches to learning from demonstrations rely on assuming that the demonstrator is either optimal or noisily optimal. However, this is a pretty bad description of actual human reasoning: it is more accurate to say we are _boundedly-rational plan"&amp;"ners_. In particular, it makes more sense to assume that our plans are computed from a noisy process. How might we capture this in an algorithm?
This paper models the demonstrator as using a bounded probabilistic [A* search](https://en.wikipedia.org/wiki"&amp;"/A*_search_algorithm) to find plans for achieving their goal. The planner is also randomized to account for the difficulty of planning: in particular, when choosing which state to “think about” next, it chooses randomly with higher probability for more pr"&amp;"omising states (as opposed to vanilla A* which always chooses the most promising state).
The search may fail to find a plan that achieves the goal, in which case the demonstrator follows the actions of the most promising plan found by A* search until no "&amp;"longer possible (either an action leads to a state A* search hadn’t considered, or it reaches the end of its partial plan). Thus, this algorithm can assign significant probability to plans that fail to reach the goal.
The experiments show that this featu"&amp;"re allows their SIPS algorithm to infer goals even when the demonstrator fails to reach their goal. For example, if an agent needs to get two keys to unlock two doors to get a blue gem, but only manages to unlock the first door, the algorithm can still in"&amp;"fer that the agent’s goal was to obtain the blue gem.
I really like that this paper is engaging with the difficulty of dealing with systematically imperfect demonstrators, and it shows that it can do much better than Bayesian IRL for the domains they con"&amp;"sider.")</f>
        <v>Typical approaches to learning from demonstrations rely on assuming that the demonstrator is either optimal or noisily optimal. However, this is a pretty bad description of actual human reasoning: it is more accurate to say we are _boundedly-rational planners_. In particular, it makes more sense to assume that our plans are computed from a noisy process. How might we capture this in an algorithm?
This paper models the demonstrator as using a bounded probabilistic [A* search](https://en.wikipedia.org/wiki/A*_search_algorithm) to find plans for achieving their goal. The planner is also randomized to account for the difficulty of planning: in particular, when choosing which state to “think about” next, it chooses randomly with higher probability for more promising states (as opposed to vanilla A* which always chooses the most promising state).
The search may fail to find a plan that achieves the goal, in which case the demonstrator follows the actions of the most promising plan found by A* search until no longer possible (either an action leads to a state A* search hadn’t considered, or it reaches the end of its partial plan). Thus, this algorithm can assign significant probability to plans that fail to reach the goal.
The experiments show that this feature allows their SIPS algorithm to infer goals even when the demonstrator fails to reach their goal. For example, if an agent needs to get two keys to unlock two doors to get a blue gem, but only manages to unlock the first door, the algorithm can still infer that the agent’s goal was to obtain the blue gem.
I really like that this paper is engaging with the difficulty of dealing with systematically imperfect demonstrators, and it shows that it can do much better than Bayesian IRL for the domains they consider.</v>
      </c>
      <c r="K980" t="str">
        <f>IFERROR(__xludf.DUMMYFUNCTION("""COMPUTED_VALUE"""),"It has &lt;@previously been argued@&gt;(@The easy goal inference problem is still hard@) that in order to do better than the demonstrator, you need to have a model of how the demonstrator makes mistakes. In this work, that model is something like, “while runnin"&amp;"g A* search, the demonstrator may fail to find all the states, or may find a suboptimal path before an optimal one”. This obviously isn’t exactly correct, but is hopefully moving in the right direction.
Note that in the domains that the paper evaluates o"&amp;"n, the number of possible goals is fairly small (at most 20), presumably because of computational cost. However, even if we ignore computational cost, it’s not clear to me whether this would scale to a larger number of goals. Conceptually, this algorithm "&amp;"is looking for the most likely item out of the set of (optimal demonstrations and plausible suboptimal or failed demonstrations). When the number of goals is low, this set is relatively small, and the true answer will likely be the clear winner. However, "&amp;"once the number of goals is much larger, there may be multiple plausible answers. (This is similar to the fact that since neural nets encode many possible algorithms and there are multiple settings that optimize your objective, usually instead of getting "&amp;"the desired algorithm you get one that fails to transfer out of distribution.)")</f>
        <v>It has &lt;@previously been argued@&gt;(@The easy goal inference problem is still hard@) that in order to do better than the demonstrator, you need to have a model of how the demonstrator makes mistakes. In this work, that model is something like, “while running A* search, the demonstrator may fail to find all the states, or may find a suboptimal path before an optimal one”. This obviously isn’t exactly correct, but is hopefully moving in the right direction.
Note that in the domains that the paper evaluates on, the number of possible goals is fairly small (at most 20), presumably because of computational cost. However, even if we ignore computational cost, it’s not clear to me whether this would scale to a larger number of goals. Conceptually, this algorithm is looking for the most likely item out of the set of (optimal demonstrations and plausible suboptimal or failed demonstrations). When the number of goals is low, this set is relatively small, and the true answer will likely be the clear winner. However, once the number of goals is much larger, there may be multiple plausible answers. (This is similar to the fact that since neural nets encode many possible algorithms and there are multiple settings that optimize your objective, usually instead of getting the desired algorithm you get one that fails to transfer out of distribution.)</v>
      </c>
    </row>
    <row r="981">
      <c r="A981" t="str">
        <f>IFERROR(__xludf.DUMMYFUNCTION("""COMPUTED_VALUE"""),"Learning human intent")</f>
        <v>Learning human intent</v>
      </c>
      <c r="B981" t="str">
        <f>IFERROR(__xludf.DUMMYFUNCTION("""COMPUTED_VALUE"""),"")</f>
        <v/>
      </c>
      <c r="C981" s="3" t="str">
        <f>IFERROR(__xludf.DUMMYFUNCTION("""COMPUTED_VALUE"""),"""Go west, young man!"" - Preferences in (imperfect) maps")</f>
        <v>"Go west, young man!" - Preferences in (imperfect) maps</v>
      </c>
      <c r="D981" t="str">
        <f>IFERROR(__xludf.DUMMYFUNCTION("""COMPUTED_VALUE"""),"Stuart Armstrong")</f>
        <v>Stuart Armstrong</v>
      </c>
      <c r="E981" t="str">
        <f>IFERROR(__xludf.DUMMYFUNCTION("""COMPUTED_VALUE"""),"Alignment Forum")</f>
        <v>Alignment Forum</v>
      </c>
      <c r="F981">
        <f>IFERROR(__xludf.DUMMYFUNCTION("""COMPUTED_VALUE"""),2020.0)</f>
        <v>2020</v>
      </c>
      <c r="H981" s="3" t="str">
        <f>IFERROR(__xludf.DUMMYFUNCTION("""COMPUTED_VALUE"""),"AN #111")</f>
        <v>AN #111</v>
      </c>
      <c r="I981" t="str">
        <f>IFERROR(__xludf.DUMMYFUNCTION("""COMPUTED_VALUE"""),"Rohin")</f>
        <v>Rohin</v>
      </c>
      <c r="J981" t="str">
        <f>IFERROR(__xludf.DUMMYFUNCTION("""COMPUTED_VALUE"""),"This post argues that by default, human preferences are strong views built upon poorly defined concepts, that may not have any coherent extrapolation in new situations. To put it another way, humans build mental maps of the world, and their preferences ar"&amp;"e defined on those maps, and so in new situations where the map no longer reflects the world accurately, it is unclear how preferences should be extended. As a result, anyone interested in preference learning should find some incoherent moral intuition th"&amp;"at other people hold, and figure out how to make it coherent, as practice for the case we will face where our own values will be incoherent in the face of new situations.")</f>
        <v>This post argues that by default, human preferences are strong views built upon poorly defined concepts, that may not have any coherent extrapolation in new situations. To put it another way, humans build mental maps of the world, and their preferences are defined on those maps, and so in new situations where the map no longer reflects the world accurately, it is unclear how preferences should be extended. As a result, anyone interested in preference learning should find some incoherent moral intuition that other people hold, and figure out how to make it coherent, as practice for the case we will face where our own values will be incoherent in the face of new situations.</v>
      </c>
      <c r="K981" t="str">
        <f>IFERROR(__xludf.DUMMYFUNCTION("""COMPUTED_VALUE"""),"This seems right to me -- we can also see this by looking at the various paradoxes found in the philosophy of ethics, which involve taking everyday moral intuitions and finding extreme situations in which they conflict, and it is unclear which moral intui"&amp;"tion should “win”.")</f>
        <v>This seems right to me -- we can also see this by looking at the various paradoxes found in the philosophy of ethics, which involve taking everyday moral intuitions and finding extreme situations in which they conflict, and it is unclear which moral intuition should “win”.</v>
      </c>
    </row>
    <row r="982">
      <c r="A982" t="str">
        <f>IFERROR(__xludf.DUMMYFUNCTION("""COMPUTED_VALUE"""),"Learning human intent")</f>
        <v>Learning human intent</v>
      </c>
      <c r="B982" t="str">
        <f>IFERROR(__xludf.DUMMYFUNCTION("""COMPUTED_VALUE"""),"")</f>
        <v/>
      </c>
      <c r="C982" s="3" t="str">
        <f>IFERROR(__xludf.DUMMYFUNCTION("""COMPUTED_VALUE"""),"An Efficient, Generalized Bellman Update For Cooperative Inverse Reinforcement Learning")</f>
        <v>An Efficient, Generalized Bellman Update For Cooperative Inverse Reinforcement Learning</v>
      </c>
      <c r="D982" t="str">
        <f>IFERROR(__xludf.DUMMYFUNCTION("""COMPUTED_VALUE"""),"Dhruv Malik, Malayandi Palaniappan, Jaime F. Fisac, Dylan Hadfield-Menell, Stuart Russell, Anca D. Dragan")</f>
        <v>Dhruv Malik, Malayandi Palaniappan, Jaime F. Fisac, Dylan Hadfield-Menell, Stuart Russell, Anca D. Dragan</v>
      </c>
      <c r="E982" t="str">
        <f>IFERROR(__xludf.DUMMYFUNCTION("""COMPUTED_VALUE"""),"arXiv")</f>
        <v>arXiv</v>
      </c>
      <c r="F982">
        <f>IFERROR(__xludf.DUMMYFUNCTION("""COMPUTED_VALUE"""),2018.0)</f>
        <v>2018</v>
      </c>
      <c r="H982" s="3" t="str">
        <f>IFERROR(__xludf.DUMMYFUNCTION("""COMPUTED_VALUE"""),"AN #11")</f>
        <v>AN #11</v>
      </c>
      <c r="I982" t="str">
        <f>IFERROR(__xludf.DUMMYFUNCTION("""COMPUTED_VALUE"""),"Rohin")</f>
        <v>Rohin</v>
      </c>
      <c r="J982" t="str">
        <f>IFERROR(__xludf.DUMMYFUNCTION("""COMPUTED_VALUE"""),"Previously, Cooperative Inverse Reinforcement Learning (CIRL) games were solved by reducing them to a POMDP with an exponentially-sized action space, and then solving with POMDP algorithms that are exponential in the size of the action space, leading to a"&amp;" doubly-exponential algorithm. This paper leverages the fact that the human has perfect information to create a modified Bellman update that still computes the optimal policy, but no longer requires an exponential action space. The modified Bellman update"&amp;" works with the human's policy, and so we can now swap in more accurate models of the human, including eg. noisy rationality (whereas previously the human had to be exactly optimal). They show huge speedups in experiments, and discuss some interesting qua"&amp;"litative behavior that arises out of CIRL games -- for example, sometimes the human _waits_ instead of making progress on the task, because it is a good signal to the robot of what the human wants.")</f>
        <v>Previously, Cooperative Inverse Reinforcement Learning (CIRL) games were solved by reducing them to a POMDP with an exponentially-sized action space, and then solving with POMDP algorithms that are exponential in the size of the action space, leading to a doubly-exponential algorithm. This paper leverages the fact that the human has perfect information to create a modified Bellman update that still computes the optimal policy, but no longer requires an exponential action space. The modified Bellman update works with the human's policy, and so we can now swap in more accurate models of the human, including eg. noisy rationality (whereas previously the human had to be exactly optimal). They show huge speedups in experiments, and discuss some interesting qualitative behavior that arises out of CIRL games -- for example, sometimes the human _waits_ instead of making progress on the task, because it is a good signal to the robot of what the human wants.</v>
      </c>
      <c r="K982" t="str">
        <f>IFERROR(__xludf.DUMMYFUNCTION("""COMPUTED_VALUE"""),"I'm excited by this improvement, since now we can actually solve non-trivial CIRL games -- one of the games they solve has around 10 billion states. With this we can run experiments with real humans, which seems really important, and the paper does mentio"&amp;"n a very preliminary pilot study run with real humans.")</f>
        <v>I'm excited by this improvement, since now we can actually solve non-trivial CIRL games -- one of the games they solve has around 10 billion states. With this we can run experiments with real humans, which seems really important, and the paper does mention a very preliminary pilot study run with real humans.</v>
      </c>
      <c r="L982" s="3" t="str">
        <f>IFERROR(__xludf.DUMMYFUNCTION("""COMPUTED_VALUE"""),"Cooperative Inverse Reinforcement Learning")</f>
        <v>Cooperative Inverse Reinforcement Learning</v>
      </c>
    </row>
    <row r="983">
      <c r="A983" t="str">
        <f>IFERROR(__xludf.DUMMYFUNCTION("""COMPUTED_VALUE"""),"Learning human intent")</f>
        <v>Learning human intent</v>
      </c>
      <c r="B983" t="str">
        <f>IFERROR(__xludf.DUMMYFUNCTION("""COMPUTED_VALUE"""),"")</f>
        <v/>
      </c>
      <c r="C983" s="3" t="str">
        <f>IFERROR(__xludf.DUMMYFUNCTION("""COMPUTED_VALUE"""),"Imitating Latent Policies from Observation")</f>
        <v>Imitating Latent Policies from Observation</v>
      </c>
      <c r="D983" t="str">
        <f>IFERROR(__xludf.DUMMYFUNCTION("""COMPUTED_VALUE"""),"Ashley D. Edwards, Himanshu Sahni, Yannick Schroecker, Charles L. Isbell")</f>
        <v>Ashley D. Edwards, Himanshu Sahni, Yannick Schroecker, Charles L. Isbell</v>
      </c>
      <c r="E983" t="str">
        <f>IFERROR(__xludf.DUMMYFUNCTION("""COMPUTED_VALUE"""),"arXiv")</f>
        <v>arXiv</v>
      </c>
      <c r="F983">
        <f>IFERROR(__xludf.DUMMYFUNCTION("""COMPUTED_VALUE"""),2018.0)</f>
        <v>2018</v>
      </c>
      <c r="H983" s="3" t="str">
        <f>IFERROR(__xludf.DUMMYFUNCTION("""COMPUTED_VALUE"""),"AN #11")</f>
        <v>AN #11</v>
      </c>
      <c r="I983" t="str">
        <f>IFERROR(__xludf.DUMMYFUNCTION("""COMPUTED_VALUE"""),"Rohin")</f>
        <v>Rohin</v>
      </c>
      <c r="J983" t="str">
        <f>IFERROR(__xludf.DUMMYFUNCTION("""COMPUTED_VALUE"""),"Typically in imitation learning, we assume that we have access to demonstrations that include the actions that the expert took. However, in many realistic settings we only have access to state observations (eg. driving videos). In this setting, we could s"&amp;"till infer a reward function and then use reinforcement learning (RL) to imitate the behavior, but this would require a lot of interaction with the environment to learn the dynamics of the environment. Intuitively, even demonstrations with only states and"&amp;" no actions should give us a lot of information about the dynamics -- if we can extract this information, then we would need much less environment interaction during RL. (For example, if you watch a friend play a video game, you only see states, not actio"&amp;"ns; yet you can infer a lot about the game rules and gameplay.) The key idea is that each action probably causes similar effects on different states. So, they create a model with hidden action nodes z, and use the state observations to learn a policy P(z "&amp;"| s) and dynamics s' = g(s, z) (they assume deterministic dynamics). This is done end-to-end with neural nets, but essentially the net is looking at the sequence of states and figuring out how to assign actions z to each s (this is P(z | s)), such that we"&amp;" can learn a function g(s, z) that outputs the next observed state s'. Once this is trained, intuitively g(s, z) will already have captured most of the dynamics, and so now we only require a small number of environment actions to figure out how the true a"&amp;"ctions a correspond to the hidden actions z -- concretely, we train a model P(a | s, z). Then, in any state s, we first choose the most likely hidden action z* according to P(z | s), and then the most likely action a* according to P(a | s, z*).")</f>
        <v>Typically in imitation learning, we assume that we have access to demonstrations that include the actions that the expert took. However, in many realistic settings we only have access to state observations (eg. driving videos). In this setting, we could still infer a reward function and then use reinforcement learning (RL) to imitate the behavior, but this would require a lot of interaction with the environment to learn the dynamics of the environment. Intuitively, even demonstrations with only states and no actions should give us a lot of information about the dynamics -- if we can extract this information, then we would need much less environment interaction during RL. (For example, if you watch a friend play a video game, you only see states, not actions; yet you can infer a lot about the game rules and gameplay.) The key idea is that each action probably causes similar effects on different states. So, they create a model with hidden action nodes z, and use the state observations to learn a policy P(z | s) and dynamics s' = g(s, z) (they assume deterministic dynamics). This is done end-to-end with neural nets, but essentially the net is looking at the sequence of states and figuring out how to assign actions z to each s (this is P(z | s)), such that we can learn a function g(s, z) that outputs the next observed state s'. Once this is trained, intuitively g(s, z) will already have captured most of the dynamics, and so now we only require a small number of environment actions to figure out how the true actions a correspond to the hidden actions z -- concretely, we train a model P(a | s, z). Then, in any state s, we first choose the most likely hidden action z* according to P(z | s), and then the most likely action a* according to P(a | s, z*).</v>
      </c>
      <c r="K983" t="str">
        <f>IFERROR(__xludf.DUMMYFUNCTION("""COMPUTED_VALUE"""),"The intuition behind this method makes a lot of sense to me, but I wish the experiments were clearer in showing how the method compares to other methods. They show that, on Cartpole and Acrobat, they can match the results of behavioral cloning with 50,000"&amp;" state-action pairs using 50,000 state observations and 200 environment interactions, but I don't know if behavioral cloning actually needed that many state-action pairs. Similarly, I'm not sure how much environment interaction would be needed if you infe"&amp;"rred a reward function but not the dynamics, since they don't compare against such a method. I'm also unclear on how hard it is to assign transitions to latent actions -- they only test on MDPs with at most 3 actions, it's plausible to me that with more a"&amp;"ctions it becomes much harder to figure out which hidden action a state transition should correspond to.")</f>
        <v>The intuition behind this method makes a lot of sense to me, but I wish the experiments were clearer in showing how the method compares to other methods. They show that, on Cartpole and Acrobat, they can match the results of behavioral cloning with 50,000 state-action pairs using 50,000 state observations and 200 environment interactions, but I don't know if behavioral cloning actually needed that many state-action pairs. Similarly, I'm not sure how much environment interaction would be needed if you inferred a reward function but not the dynamics, since they don't compare against such a method. I'm also unclear on how hard it is to assign transitions to latent actions -- they only test on MDPs with at most 3 actions, it's plausible to me that with more actions it becomes much harder to figure out which hidden action a state transition should correspond to.</v>
      </c>
    </row>
    <row r="984">
      <c r="A984" t="str">
        <f>IFERROR(__xludf.DUMMYFUNCTION("""COMPUTED_VALUE"""),"Learning human intent")</f>
        <v>Learning human intent</v>
      </c>
      <c r="B984" t="str">
        <f>IFERROR(__xludf.DUMMYFUNCTION("""COMPUTED_VALUE"""),"")</f>
        <v/>
      </c>
      <c r="C984" s="3" t="str">
        <f>IFERROR(__xludf.DUMMYFUNCTION("""COMPUTED_VALUE"""),"Learning a Prior over Intent via Meta-Inverse Reinforcement Learning")</f>
        <v>Learning a Prior over Intent via Meta-Inverse Reinforcement Learning</v>
      </c>
      <c r="D984" t="str">
        <f>IFERROR(__xludf.DUMMYFUNCTION("""COMPUTED_VALUE"""),"Kelvin Xu, Ellis Ratner, Anca Dragan, Sergey Levine, Chelsea Finn")</f>
        <v>Kelvin Xu, Ellis Ratner, Anca Dragan, Sergey Levine, Chelsea Finn</v>
      </c>
      <c r="E984" t="str">
        <f>IFERROR(__xludf.DUMMYFUNCTION("""COMPUTED_VALUE"""),"ICLR 2019")</f>
        <v>ICLR 2019</v>
      </c>
      <c r="F984">
        <f>IFERROR(__xludf.DUMMYFUNCTION("""COMPUTED_VALUE"""),2018.0)</f>
        <v>2018</v>
      </c>
      <c r="H984" s="3" t="str">
        <f>IFERROR(__xludf.DUMMYFUNCTION("""COMPUTED_VALUE"""),"AN #11")</f>
        <v>AN #11</v>
      </c>
      <c r="I984" t="str">
        <f>IFERROR(__xludf.DUMMYFUNCTION("""COMPUTED_VALUE"""),"Rohin")</f>
        <v>Rohin</v>
      </c>
      <c r="J984" t="str">
        <f>IFERROR(__xludf.DUMMYFUNCTION("""COMPUTED_VALUE"""),"For complex rewards, such as reward functions defined on pixels, standard IRL methods require a large number of demonstrations. However, many tasks are very related, and so we should be able to leverage demonstrations from one task to learn rewards for ot"&amp;"her tasks. This naturally suggests that we use meta learning. The authors adapt [MAML](https://arxiv.org/abs/1703.03400) to work with maximum entropy IRL (which requires differentiating through the MaxEnt IRL gradient). They evaluate their approach, calle"&amp;"d MandRIL, on a navigation task whose underlying structure is a gridworld, but the state is represented as an image so that the reward function is nonlinear and requires a convnet.")</f>
        <v>For complex rewards, such as reward functions defined on pixels, standard IRL methods require a large number of demonstrations. However, many tasks are very related, and so we should be able to leverage demonstrations from one task to learn rewards for other tasks. This naturally suggests that we use meta learning. The authors adapt [MAML](https://arxiv.org/abs/1703.03400) to work with maximum entropy IRL (which requires differentiating through the MaxEnt IRL gradient). They evaluate their approach, called MandRIL, on a navigation task whose underlying structure is a gridworld, but the state is represented as an image so that the reward function is nonlinear and requires a convnet.</v>
      </c>
      <c r="K984" t="str">
        <f>IFERROR(__xludf.DUMMYFUNCTION("""COMPUTED_VALUE"""),"In one of the experiments, the baseline of running IRL from scratch performed second best, beating out two other methods of meta-learning. I'd guess that this is because both MandRIL and standard IRL benefit from assuming the maxent IRL distribution over "&amp;"trajectories (which I believe is how the demonstrations were synthetically generated), whereas the other two meta learning baselines do not have any such assumption, and must learn this relationship.")</f>
        <v>In one of the experiments, the baseline of running IRL from scratch performed second best, beating out two other methods of meta-learning. I'd guess that this is because both MandRIL and standard IRL benefit from assuming the maxent IRL distribution over trajectories (which I believe is how the demonstrations were synthetically generated), whereas the other two meta learning baselines do not have any such assumption, and must learn this relationship.</v>
      </c>
    </row>
    <row r="985">
      <c r="A985" t="str">
        <f>IFERROR(__xludf.DUMMYFUNCTION("""COMPUTED_VALUE"""),"Learning human intent")</f>
        <v>Learning human intent</v>
      </c>
      <c r="B985" t="str">
        <f>IFERROR(__xludf.DUMMYFUNCTION("""COMPUTED_VALUE"""),"")</f>
        <v/>
      </c>
      <c r="C985" s="3" t="str">
        <f>IFERROR(__xludf.DUMMYFUNCTION("""COMPUTED_VALUE"""),"Imitation Learning from Video by Leveraging Proprioception")</f>
        <v>Imitation Learning from Video by Leveraging Proprioception</v>
      </c>
      <c r="D985" t="str">
        <f>IFERROR(__xludf.DUMMYFUNCTION("""COMPUTED_VALUE"""),"Faraz Torabi, Garrett Warnell, Peter Stone")</f>
        <v>Faraz Torabi, Garrett Warnell, Peter Stone</v>
      </c>
      <c r="E985" t="str">
        <f>IFERROR(__xludf.DUMMYFUNCTION("""COMPUTED_VALUE"""),"arXiv")</f>
        <v>arXiv</v>
      </c>
      <c r="F985">
        <f>IFERROR(__xludf.DUMMYFUNCTION("""COMPUTED_VALUE"""),2019.0)</f>
        <v>2019</v>
      </c>
      <c r="H985" s="3" t="str">
        <f>IFERROR(__xludf.DUMMYFUNCTION("""COMPUTED_VALUE"""),"AN #107")</f>
        <v>AN #107</v>
      </c>
      <c r="I985" t="str">
        <f>IFERROR(__xludf.DUMMYFUNCTION("""COMPUTED_VALUE"""),"Zach")</f>
        <v>Zach</v>
      </c>
      <c r="J985" t="str">
        <f>IFERROR(__xludf.DUMMYFUNCTION("""COMPUTED_VALUE"""),"Recent work into imitation learning from observation (IfO) allows agents to perform a task from visual demonstrations that do not include state and action information. In this paper the authors are interested in leveraging proprioception information, know"&amp;"ledge of internal states, to create an efficient IfO algorithm. As opposed to GAIfO, which typically uses only the observation vector, this algorithm only allows images to be used for discrimination but lets the agent make use of internal states to genera"&amp;"te actions. They test their proposed technique on several MujoCo domains and show that it outperforms other imitation from observation algorithms. The authors note that in practice occlusion and fast movement in environments like Walker2d and HalfCheetah "&amp;"make it difficult to learn directly from images which partly explains the success of using proprioceptive features.")</f>
        <v>Recent work into imitation learning from observation (IfO) allows agents to perform a task from visual demonstrations that do not include state and action information. In this paper the authors are interested in leveraging proprioception information, knowledge of internal states, to create an efficient IfO algorithm. As opposed to GAIfO, which typically uses only the observation vector, this algorithm only allows images to be used for discrimination but lets the agent make use of internal states to generate actions. They test their proposed technique on several MujoCo domains and show that it outperforms other imitation from observation algorithms. The authors note that in practice occlusion and fast movement in environments like Walker2d and HalfCheetah make it difficult to learn directly from images which partly explains the success of using proprioceptive features.</v>
      </c>
      <c r="K985" t="str">
        <f>IFERROR(__xludf.DUMMYFUNCTION("""COMPUTED_VALUE"""),"I think it's easy to forget that observations aren't necessarily equivalent to state representations. This paper did a good job of reminding me that using state features on the MujoCo tasks is different from using images to train imitation learning agents"&amp;". In practice, trying to learn just from images can fail because of partial observability, but introducing proprioception is a natural solution here. I broadly agree with the authors' conclusion that resolving embodiment mismatch and viewpoint mismatch ar"&amp;"e natural next steps for this kind of research. ")</f>
        <v>I think it's easy to forget that observations aren't necessarily equivalent to state representations. This paper did a good job of reminding me that using state features on the MujoCo tasks is different from using images to train imitation learning agents. In practice, trying to learn just from images can fail because of partial observability, but introducing proprioception is a natural solution here. I broadly agree with the authors' conclusion that resolving embodiment mismatch and viewpoint mismatch are natural next steps for this kind of research. </v>
      </c>
    </row>
    <row r="986">
      <c r="A986" t="str">
        <f>IFERROR(__xludf.DUMMYFUNCTION("""COMPUTED_VALUE"""),"Learning human intent")</f>
        <v>Learning human intent</v>
      </c>
      <c r="B986" t="str">
        <f>IFERROR(__xludf.DUMMYFUNCTION("""COMPUTED_VALUE"""),"")</f>
        <v/>
      </c>
      <c r="C986" s="3" t="str">
        <f>IFERROR(__xludf.DUMMYFUNCTION("""COMPUTED_VALUE"""),"Imitation Learning from Observations by Minimizing Inverse Dynamics Disagreement")</f>
        <v>Imitation Learning from Observations by Minimizing Inverse Dynamics Disagreement</v>
      </c>
      <c r="D986" t="str">
        <f>IFERROR(__xludf.DUMMYFUNCTION("""COMPUTED_VALUE"""),"Chao Yang*, Xiaojian Ma*, Wenbing Huang, Fuchun Sun, Huaping Liu, Junzhou Huang, Chuang Gan")</f>
        <v>Chao Yang*, Xiaojian Ma*, Wenbing Huang, Fuchun Sun, Huaping Liu, Junzhou Huang, Chuang Gan</v>
      </c>
      <c r="E986" t="str">
        <f>IFERROR(__xludf.DUMMYFUNCTION("""COMPUTED_VALUE"""),"NeurIPS 2019")</f>
        <v>NeurIPS 2019</v>
      </c>
      <c r="F986">
        <f>IFERROR(__xludf.DUMMYFUNCTION("""COMPUTED_VALUE"""),2019.0)</f>
        <v>2019</v>
      </c>
      <c r="H986" s="3" t="str">
        <f>IFERROR(__xludf.DUMMYFUNCTION("""COMPUTED_VALUE"""),"AN #101")</f>
        <v>AN #101</v>
      </c>
      <c r="I986" t="str">
        <f>IFERROR(__xludf.DUMMYFUNCTION("""COMPUTED_VALUE"""),"Zach")</f>
        <v>Zach</v>
      </c>
      <c r="J986" t="str">
        <f>IFERROR(__xludf.DUMMYFUNCTION("""COMPUTED_VALUE"""),"Learning from observation (LfO) focuses on imitation learning in situations where we want to learn from state-only demonstrations. This contrasts with learning from demonstration (LfD) which needs both state and action information. In practice, LfO is the"&amp;" more common situation due to the prevalence of unannotated data, such as video. In this paper, the authors show that the gap between LfO and LfD comes from the disagreement of inverse dynamics models between the imitator and the expert. If the inverse dy"&amp;"namics model is perfect, then state transitions can be labeled with actions and LfD can be performed on the result. However, it's often the case that many actions can generate the same state transition. They then show that optimizing an upper-bound on thi"&amp;"s gap leads to improved performance as compared to other LfO methods such as GAIfO (GAIL extended to LfO). ")</f>
        <v>Learning from observation (LfO) focuses on imitation learning in situations where we want to learn from state-only demonstrations. This contrasts with learning from demonstration (LfD) which needs both state and action information. In practice, LfO is the more common situation due to the prevalence of unannotated data, such as video. In this paper, the authors show that the gap between LfO and LfD comes from the disagreement of inverse dynamics models between the imitator and the expert. If the inverse dynamics model is perfect, then state transitions can be labeled with actions and LfD can be performed on the result. However, it's often the case that many actions can generate the same state transition. They then show that optimizing an upper-bound on this gap leads to improved performance as compared to other LfO methods such as GAIfO (GAIL extended to LfO). </v>
      </c>
      <c r="K986" t="str">
        <f>IFERROR(__xludf.DUMMYFUNCTION("""COMPUTED_VALUE"""),"The main value of this paper is that the difference between LfO and LfD is clarified by introducing the notion of inverse disagreement. Related to this analysis, the authors note that GAIfO has the same objective as the inverse disagreement model if we re"&amp;"place KL with JS divergence. This makes me suspect that there's a general LfO [divergence minimization perspective](https://arxiv.org/abs/1911.02256) relating all of these methods together. In other words, the fact that the objectives for LfO and LfD can "&amp;"be related via KL/JS divergence indicates that there is an entire class of methods underlying this approach to LfO. Specifically, I'd hypothesize that regularized inverse reinforcement learning from observation followed by reinforcement learning would be "&amp;"equivalent to a divergence minimization problem. ")</f>
        <v>The main value of this paper is that the difference between LfO and LfD is clarified by introducing the notion of inverse disagreement. Related to this analysis, the authors note that GAIfO has the same objective as the inverse disagreement model if we replace KL with JS divergence. This makes me suspect that there's a general LfO [divergence minimization perspective](https://arxiv.org/abs/1911.02256) relating all of these methods together. In other words, the fact that the objectives for LfO and LfD can be related via KL/JS divergence indicates that there is an entire class of methods underlying this approach to LfO. Specifically, I'd hypothesize that regularized inverse reinforcement learning from observation followed by reinforcement learning would be equivalent to a divergence minimization problem. </v>
      </c>
      <c r="L986" t="str">
        <f>IFERROR(__xludf.DUMMYFUNCTION("""COMPUTED_VALUE"""),"[GAIfO](https://arxiv.org/abs/1807.06158) and [Recent Advances in LfO](https://arxiv.org/pdf/1905.13566.pdf)")</f>
        <v>[GAIfO](https://arxiv.org/abs/1807.06158) and [Recent Advances in LfO](https://arxiv.org/pdf/1905.13566.pdf)</v>
      </c>
      <c r="M986" t="str">
        <f>IFERROR(__xludf.DUMMYFUNCTION("""COMPUTED_VALUE"""),"[divergence minimization perspective](https://arxiv.org/abs/1911.02256)")</f>
        <v>[divergence minimization perspective](https://arxiv.org/abs/1911.02256)</v>
      </c>
    </row>
    <row r="987">
      <c r="A987" t="str">
        <f>IFERROR(__xludf.DUMMYFUNCTION("""COMPUTED_VALUE"""),"Learning human intent")</f>
        <v>Learning human intent</v>
      </c>
      <c r="B987" t="str">
        <f>IFERROR(__xludf.DUMMYFUNCTION("""COMPUTED_VALUE"""),"")</f>
        <v/>
      </c>
      <c r="C987" s="3" t="str">
        <f>IFERROR(__xludf.DUMMYFUNCTION("""COMPUTED_VALUE"""),"Multi-task Maximum Entropy Inverse Reinforcement Learning")</f>
        <v>Multi-task Maximum Entropy Inverse Reinforcement Learning</v>
      </c>
      <c r="D987" t="str">
        <f>IFERROR(__xludf.DUMMYFUNCTION("""COMPUTED_VALUE"""),"Adam Gleave, Oliver Habryka")</f>
        <v>Adam Gleave, Oliver Habryka</v>
      </c>
      <c r="E987" t="str">
        <f>IFERROR(__xludf.DUMMYFUNCTION("""COMPUTED_VALUE"""),"arXiv")</f>
        <v>arXiv</v>
      </c>
      <c r="F987">
        <f>IFERROR(__xludf.DUMMYFUNCTION("""COMPUTED_VALUE"""),2018.0)</f>
        <v>2018</v>
      </c>
      <c r="H987" t="str">
        <f>IFERROR(__xludf.DUMMYFUNCTION("""COMPUTED_VALUE"""),"N/A")</f>
        <v>N/A</v>
      </c>
      <c r="I987" t="str">
        <f>IFERROR(__xludf.DUMMYFUNCTION("""COMPUTED_VALUE"""),"Rohin")</f>
        <v>Rohin</v>
      </c>
      <c r="J987" t="str">
        <f>IFERROR(__xludf.DUMMYFUNCTION("""COMPUTED_VALUE"""),"This paper tackles multi-task inverse reinforcement learning, where there are multiple related tasks which have similar rewards, and the goal is to infer the reward for a new task after having already seen demonstrations for previous tasks. In the tabular"&amp;" setting, where we can enumerate all of the states and actions, they adapt Maximum Causal Entropy IRL to the multi-task setting. To make any progress, it is necessary to have some model of how the tasks are related -- in this work, they assume that the re"&amp;"ward weights are close to each other, and so they penalize the L2 distance from the reward weights to the mean weights across tasks. Experiments show that this approach can learn a new task reward in 1-2 trajectories, while learning from scratch takes 50+"&amp;" trajectories. They then consider how to generalize to continuous control environments such as MountainCar. They propose an algorithm that applies &lt;@Reptile@&gt;(@Reptile: A Scalable Meta-Learning Algorithm@) to &lt;@adversarial IRL@&gt;(@Learning Robust Rewards w"&amp;"ith Adversarial Inverse Reinforcement Learning@), with the goal of learning a good initialization of the reward neural net which can quickly move to the correct reward function given data from a new task. This works well when the policy is unimodal (eg. f"&amp;"or MountainCar, a policy that always goes left or always goes right), but not when the policy is multimodal (eg. you have to go either left or right depending on the color of the flag). Experiments suggest that this is because adversarial IRL does not do "&amp;"well with a multimodal policy. Meta-AIRL would require AIRL to produce good results on multiple environments -- if even one of the environments has a bad policy, there's a garbage input to meta-AIRL, which then tanks its performance.")</f>
        <v>This paper tackles multi-task inverse reinforcement learning, where there are multiple related tasks which have similar rewards, and the goal is to infer the reward for a new task after having already seen demonstrations for previous tasks. In the tabular setting, where we can enumerate all of the states and actions, they adapt Maximum Causal Entropy IRL to the multi-task setting. To make any progress, it is necessary to have some model of how the tasks are related -- in this work, they assume that the reward weights are close to each other, and so they penalize the L2 distance from the reward weights to the mean weights across tasks. Experiments show that this approach can learn a new task reward in 1-2 trajectories, while learning from scratch takes 50+ trajectories. They then consider how to generalize to continuous control environments such as MountainCar. They propose an algorithm that applies &lt;@Reptile@&gt;(@Reptile: A Scalable Meta-Learning Algorithm@) to &lt;@adversarial IRL@&gt;(@Learning Robust Rewards with Adversarial Inverse Reinforcement Learning@), with the goal of learning a good initialization of the reward neural net which can quickly move to the correct reward function given data from a new task. This works well when the policy is unimodal (eg. for MountainCar, a policy that always goes left or always goes right), but not when the policy is multimodal (eg. you have to go either left or right depending on the color of the flag). Experiments suggest that this is because adversarial IRL does not do well with a multimodal policy. Meta-AIRL would require AIRL to produce good results on multiple environments -- if even one of the environments has a bad policy, there's a garbage input to meta-AIRL, which then tanks its performance.</v>
      </c>
      <c r="K987" t="str">
        <f>IFERROR(__xludf.DUMMYFUNCTION("""COMPUTED_VALUE"""),"The hypothesis for the failure of meta-AIRL is that if the base thing that you are trying to use in your meta-learning fails with some probability, then meta-learning will fail with high probability, since even a small number of failures lead to very bad "&amp;"inputs into meta-learning, which cause it to perform badly. I'd be interested in seeing experiments evaluating this hypothesis in other domains. This would also explain why meta-learning has had its greatest successes in supervised learning settings, whic"&amp;"h are typically much more robust than RL settings.")</f>
        <v>The hypothesis for the failure of meta-AIRL is that if the base thing that you are trying to use in your meta-learning fails with some probability, then meta-learning will fail with high probability, since even a small number of failures lead to very bad inputs into meta-learning, which cause it to perform badly. I'd be interested in seeing experiments evaluating this hypothesis in other domains. This would also explain why meta-learning has had its greatest successes in supervised learning settings, which are typically much more robust than RL settings.</v>
      </c>
      <c r="M987" s="3" t="str">
        <f>IFERROR(__xludf.DUMMYFUNCTION("""COMPUTED_VALUE"""),"Learning a Prior over Intent via Meta-Inverse Reinforcement Learning")</f>
        <v>Learning a Prior over Intent via Meta-Inverse Reinforcement Learning</v>
      </c>
    </row>
    <row r="988">
      <c r="A988" t="str">
        <f>IFERROR(__xludf.DUMMYFUNCTION("""COMPUTED_VALUE"""),"Learning human intent")</f>
        <v>Learning human intent</v>
      </c>
      <c r="B988" t="str">
        <f>IFERROR(__xludf.DUMMYFUNCTION("""COMPUTED_VALUE"""),"")</f>
        <v/>
      </c>
      <c r="C988" s="3" t="str">
        <f>IFERROR(__xludf.DUMMYFUNCTION("""COMPUTED_VALUE"""),"On the Foundations of Expected Expected Utility")</f>
        <v>On the Foundations of Expected Expected Utility</v>
      </c>
      <c r="D988" t="str">
        <f>IFERROR(__xludf.DUMMYFUNCTION("""COMPUTED_VALUE"""),"Craig Boutilier")</f>
        <v>Craig Boutilier</v>
      </c>
      <c r="E988" t="str">
        <f>IFERROR(__xludf.DUMMYFUNCTION("""COMPUTED_VALUE"""),"IJCAI 2003")</f>
        <v>IJCAI 2003</v>
      </c>
      <c r="F988">
        <f>IFERROR(__xludf.DUMMYFUNCTION("""COMPUTED_VALUE"""),2003.0)</f>
        <v>2003</v>
      </c>
      <c r="H988" t="str">
        <f>IFERROR(__xludf.DUMMYFUNCTION("""COMPUTED_VALUE"""),"N/A")</f>
        <v>N/A</v>
      </c>
      <c r="I988" t="str">
        <f>IFERROR(__xludf.DUMMYFUNCTION("""COMPUTED_VALUE"""),"Rohin")</f>
        <v>Rohin</v>
      </c>
      <c r="J988" t="str">
        <f>IFERROR(__xludf.DUMMYFUNCTION("""COMPUTED_VALUE"""),"Suppose you want to understand someone's preferences over a set of outcomes, and lotteries over those outcomes. The VNM theorem shows that under certain reasonable assumptions about those preferences, we can represent the preferences using a utility funct"&amp;"ion over outcomes (_not_ lotteries), such that the person prefers lottery A to lottery B if and only if the expected utility of lottery A is greater than the expected utility of lottery B. Furthermore, the utility function is unique up to an affine transf"&amp;"ormation.
What if we want to have uncertainty over the utility function? The natural approach would be to maintain a probability distribution over utility functions, and then say that the person prefers lottery A to lottery B if and only if the expected "&amp;"expected utility of lottery A exceeds the expected expected utility of lottery B. Here, the first expectation is taken over the probability distribution over utility functions, and the second expectation is taken over the probabilities in the lottery. Thi"&amp;"s decision rule is called Maximum Expected Expected Utility (MEEU).
However, the MEEU decision rule gives different answers if you transform one of the utility functions in an affine way. This isn't great, since affine transformations of utility function"&amp;"s encode the same preferences, and so you'd like your decision rule to be invariant to them. This is the standard problem that utility functions are not by default _commensurable_.
This paper shows that everything is fine if you assume that all the utili"&amp;"ty functions agree on the best and worst outcomes. In this case, any utility function can be uniquely characterized by stating for each state s, for what p are you indifferent between s and {p: s_best, (1-p): s_worst}. We can then define the base decision"&amp;" rule as follows: when presented with a lottery A = {p_i : s_i, ...}, you convert it into a lottery over utility functions: {q_U : A_U, ...}, where for each utility function, you define A_U as A, but replacing all the s_i with the corresponding {p: s_best"&amp;", (1-p): s_worst} lotteries as defined by U. So now, we have a compound lottery of the form {q_U : {p_i : {p: s_best, (1-p): s_worst}, ...}, ...}, which can be reduced to a simple lottery of the form {x: s_best, (1-x): s_worst}. When comparing two such lo"&amp;"tteries, you prefer lottery A to lottery B if and only if x_A &gt; x_B.
So that's what you do without using utility functions, and only using preference orderings. They show that the MEEU decision rule is identical to this base decision rule, justifying the"&amp;" use of MEEU, as long as you normalize all of your utility functions so that they all assign the same value to the best and worst outcomes.")</f>
        <v>Suppose you want to understand someone's preferences over a set of outcomes, and lotteries over those outcomes. The VNM theorem shows that under certain reasonable assumptions about those preferences, we can represent the preferences using a utility function over outcomes (_not_ lotteries), such that the person prefers lottery A to lottery B if and only if the expected utility of lottery A is greater than the expected utility of lottery B. Furthermore, the utility function is unique up to an affine transformation.
What if we want to have uncertainty over the utility function? The natural approach would be to maintain a probability distribution over utility functions, and then say that the person prefers lottery A to lottery B if and only if the expected expected utility of lottery A exceeds the expected expected utility of lottery B. Here, the first expectation is taken over the probability distribution over utility functions, and the second expectation is taken over the probabilities in the lottery. This decision rule is called Maximum Expected Expected Utility (MEEU).
However, the MEEU decision rule gives different answers if you transform one of the utility functions in an affine way. This isn't great, since affine transformations of utility functions encode the same preferences, and so you'd like your decision rule to be invariant to them. This is the standard problem that utility functions are not by default _commensurable_.
This paper shows that everything is fine if you assume that all the utility functions agree on the best and worst outcomes. In this case, any utility function can be uniquely characterized by stating for each state s, for what p are you indifferent between s and {p: s_best, (1-p): s_worst}. We can then define the base decision rule as follows: when presented with a lottery A = {p_i : s_i, ...}, you convert it into a lottery over utility functions: {q_U : A_U, ...}, where for each utility function, you define A_U as A, but replacing all the s_i with the corresponding {p: s_best, (1-p): s_worst} lotteries as defined by U. So now, we have a compound lottery of the form {q_U : {p_i : {p: s_best, (1-p): s_worst}, ...}, ...}, which can be reduced to a simple lottery of the form {x: s_best, (1-x): s_worst}. When comparing two such lotteries, you prefer lottery A to lottery B if and only if x_A &gt; x_B.
So that's what you do without using utility functions, and only using preference orderings. They show that the MEEU decision rule is identical to this base decision rule, justifying the use of MEEU, as long as you normalize all of your utility functions so that they all assign the same value to the best and worst outcomes.</v>
      </c>
    </row>
    <row r="989">
      <c r="A989" t="str">
        <f>IFERROR(__xludf.DUMMYFUNCTION("""COMPUTED_VALUE"""),"Learning human intent")</f>
        <v>Learning human intent</v>
      </c>
      <c r="B989" t="str">
        <f>IFERROR(__xludf.DUMMYFUNCTION("""COMPUTED_VALUE"""),"")</f>
        <v/>
      </c>
      <c r="C989" s="3" t="str">
        <f>IFERROR(__xludf.DUMMYFUNCTION("""COMPUTED_VALUE"""),"Regret-based Reward Elicitation for Markov Decision Processes")</f>
        <v>Regret-based Reward Elicitation for Markov Decision Processes</v>
      </c>
      <c r="D989" t="str">
        <f>IFERROR(__xludf.DUMMYFUNCTION("""COMPUTED_VALUE"""),"Kevin Regan, Craig Boutilier")</f>
        <v>Kevin Regan, Craig Boutilier</v>
      </c>
      <c r="E989" t="str">
        <f>IFERROR(__xludf.DUMMYFUNCTION("""COMPUTED_VALUE"""),"UAI 2009")</f>
        <v>UAI 2009</v>
      </c>
      <c r="F989">
        <f>IFERROR(__xludf.DUMMYFUNCTION("""COMPUTED_VALUE"""),2009.0)</f>
        <v>2009</v>
      </c>
      <c r="H989" t="str">
        <f>IFERROR(__xludf.DUMMYFUNCTION("""COMPUTED_VALUE"""),"N/A")</f>
        <v>N/A</v>
      </c>
      <c r="I989" t="str">
        <f>IFERROR(__xludf.DUMMYFUNCTION("""COMPUTED_VALUE"""),"Rohin")</f>
        <v>Rohin</v>
      </c>
      <c r="J989" t="str">
        <f>IFERROR(__xludf.DUMMYFUNCTION("""COMPUTED_VALUE"""),"")</f>
        <v/>
      </c>
      <c r="K989" t="str">
        <f>IFERROR(__xludf.DUMMYFUNCTION("""COMPUTED_VALUE"""),"")</f>
        <v/>
      </c>
    </row>
    <row r="990">
      <c r="A990" t="str">
        <f>IFERROR(__xludf.DUMMYFUNCTION("""COMPUTED_VALUE"""),"Learning human intent")</f>
        <v>Learning human intent</v>
      </c>
      <c r="B990" t="str">
        <f>IFERROR(__xludf.DUMMYFUNCTION("""COMPUTED_VALUE"""),"")</f>
        <v/>
      </c>
      <c r="C990" s="3" t="str">
        <f>IFERROR(__xludf.DUMMYFUNCTION("""COMPUTED_VALUE"""),"Robust Online Optimization of Reward-uncertain MDPs")</f>
        <v>Robust Online Optimization of Reward-uncertain MDPs</v>
      </c>
      <c r="D990" t="str">
        <f>IFERROR(__xludf.DUMMYFUNCTION("""COMPUTED_VALUE"""),"Kevin Regan, Craig Boutilier")</f>
        <v>Kevin Regan, Craig Boutilier</v>
      </c>
      <c r="E990" t="str">
        <f>IFERROR(__xludf.DUMMYFUNCTION("""COMPUTED_VALUE"""),"IJCAI 2011")</f>
        <v>IJCAI 2011</v>
      </c>
      <c r="F990">
        <f>IFERROR(__xludf.DUMMYFUNCTION("""COMPUTED_VALUE"""),2011.0)</f>
        <v>2011</v>
      </c>
      <c r="H990" t="str">
        <f>IFERROR(__xludf.DUMMYFUNCTION("""COMPUTED_VALUE"""),"N/A")</f>
        <v>N/A</v>
      </c>
      <c r="I990" t="str">
        <f>IFERROR(__xludf.DUMMYFUNCTION("""COMPUTED_VALUE"""),"Rohin")</f>
        <v>Rohin</v>
      </c>
      <c r="J990" t="str">
        <f>IFERROR(__xludf.DUMMYFUNCTION("""COMPUTED_VALUE"""),"")</f>
        <v/>
      </c>
      <c r="K990" t="str">
        <f>IFERROR(__xludf.DUMMYFUNCTION("""COMPUTED_VALUE"""),"")</f>
        <v/>
      </c>
    </row>
    <row r="991">
      <c r="A991" t="str">
        <f>IFERROR(__xludf.DUMMYFUNCTION("""COMPUTED_VALUE"""),"Learning human intent")</f>
        <v>Learning human intent</v>
      </c>
      <c r="B991" t="str">
        <f>IFERROR(__xludf.DUMMYFUNCTION("""COMPUTED_VALUE"""),"")</f>
        <v/>
      </c>
      <c r="C991" s="3" t="str">
        <f>IFERROR(__xludf.DUMMYFUNCTION("""COMPUTED_VALUE"""),"Sample Efficient Reinforcement Learning through Learning from Demonstrations in Minecraft")</f>
        <v>Sample Efficient Reinforcement Learning through Learning from Demonstrations in Minecraft</v>
      </c>
      <c r="D991" t="str">
        <f>IFERROR(__xludf.DUMMYFUNCTION("""COMPUTED_VALUE"""),"Christian Scheller, Yanick Schraner, Manfred Vogel")</f>
        <v>Christian Scheller, Yanick Schraner, Manfred Vogel</v>
      </c>
      <c r="E991" t="str">
        <f>IFERROR(__xludf.DUMMYFUNCTION("""COMPUTED_VALUE"""),"arXiv")</f>
        <v>arXiv</v>
      </c>
      <c r="F991">
        <f>IFERROR(__xludf.DUMMYFUNCTION("""COMPUTED_VALUE"""),2020.0)</f>
        <v>2020</v>
      </c>
      <c r="H991" s="3" t="str">
        <f>IFERROR(__xludf.DUMMYFUNCTION("""COMPUTED_VALUE"""),"AN #94")</f>
        <v>AN #94</v>
      </c>
      <c r="I991" t="str">
        <f>IFERROR(__xludf.DUMMYFUNCTION("""COMPUTED_VALUE"""),"Rohin")</f>
        <v>Rohin</v>
      </c>
      <c r="J991" t="str">
        <f>IFERROR(__xludf.DUMMYFUNCTION("""COMPUTED_VALUE"""),"This paper explains the technique used by the 3rd place team in the MineRL competition (summarized above). They used behavior cloning to train their neural net on human demonstrations, and then used reinforcement learning (specifically, IMPALA) with exper"&amp;"ience replay and advantage clipping to improve. There are more details about their architecture and design choices in the paper.")</f>
        <v>This paper explains the technique used by the 3rd place team in the MineRL competition (summarized above). They used behavior cloning to train their neural net on human demonstrations, and then used reinforcement learning (specifically, IMPALA) with experience replay and advantage clipping to improve. There are more details about their architecture and design choices in the paper.</v>
      </c>
    </row>
    <row r="992">
      <c r="A992" t="str">
        <f>IFERROR(__xludf.DUMMYFUNCTION("""COMPUTED_VALUE"""),"Learning human intent")</f>
        <v>Learning human intent</v>
      </c>
      <c r="B992" t="str">
        <f>IFERROR(__xludf.DUMMYFUNCTION("""COMPUTED_VALUE"""),"")</f>
        <v/>
      </c>
      <c r="C992" s="3" t="str">
        <f>IFERROR(__xludf.DUMMYFUNCTION("""COMPUTED_VALUE"""),"What's the dream for giving natural language commands to AI?")</f>
        <v>What's the dream for giving natural language commands to AI?</v>
      </c>
      <c r="D992" t="str">
        <f>IFERROR(__xludf.DUMMYFUNCTION("""COMPUTED_VALUE"""),"Charlie Steiner")</f>
        <v>Charlie Steiner</v>
      </c>
      <c r="E992" t="str">
        <f>IFERROR(__xludf.DUMMYFUNCTION("""COMPUTED_VALUE"""),"Alignment Forum")</f>
        <v>Alignment Forum</v>
      </c>
      <c r="F992">
        <f>IFERROR(__xludf.DUMMYFUNCTION("""COMPUTED_VALUE"""),2019.0)</f>
        <v>2019</v>
      </c>
      <c r="H992" s="3" t="str">
        <f>IFERROR(__xludf.DUMMYFUNCTION("""COMPUTED_VALUE"""),"AN #79")</f>
        <v>AN #79</v>
      </c>
      <c r="I992" t="str">
        <f>IFERROR(__xludf.DUMMYFUNCTION("""COMPUTED_VALUE"""),"Rohin")</f>
        <v>Rohin</v>
      </c>
      <c r="J992" t="str">
        <f>IFERROR(__xludf.DUMMYFUNCTION("""COMPUTED_VALUE"""),"We could try creating AI systems that take the ""artificial intentional stance"" towards humans: that is, they model humans as agents that are trying to achieve some goals, and then we get the AI system to optimize for those inferred goals. We could do th"&amp;"is by training an agent that jointly models the world and understands natural language, in order to ground the language into actual states of the world. The hope is that with this scheme, as the agent gets more capable, its understanding of what we want i"&amp;"mproves as well, so that it is robust to scaling up. However, the scheme has no protection against Goodharting, and doesn't obviously care about metaethics.")</f>
        <v>We could try creating AI systems that take the "artificial intentional stance" towards humans: that is, they model humans as agents that are trying to achieve some goals, and then we get the AI system to optimize for those inferred goals. We could do this by training an agent that jointly models the world and understands natural language, in order to ground the language into actual states of the world. The hope is that with this scheme, as the agent gets more capable, its understanding of what we want improves as well, so that it is robust to scaling up. However, the scheme has no protection against Goodharting, and doesn't obviously care about metaethics.</v>
      </c>
      <c r="K992" t="str">
        <f>IFERROR(__xludf.DUMMYFUNCTION("""COMPUTED_VALUE"""),"I agree with the general spirit of ""get the AI system to understand common sense; then give it instructions that it interprets correctly"". I usually expect future ML research to figure out the common sense part, so I don't look for particular implementa"&amp;"tions (in this case, simultaneous training on vision and natural language), but just assume we'll have that capability somehow. The hard part is then how to leverage that capability to provide _correctly interpreted_ instructions. It may be as simple as p"&amp;"roviding instructions in natural language, as this post suggests. I'm much less worried about instrumental subgoals in such a scenario, since part of ""understanding what we mean"" includes ""and don't pursue this instruction literally to extremes"". But "&amp;"we still need to figure out how to translate natural language instructions into actions.")</f>
        <v>I agree with the general spirit of "get the AI system to understand common sense; then give it instructions that it interprets correctly". I usually expect future ML research to figure out the common sense part, so I don't look for particular implementations (in this case, simultaneous training on vision and natural language), but just assume we'll have that capability somehow. The hard part is then how to leverage that capability to provide _correctly interpreted_ instructions. It may be as simple as providing instructions in natural language, as this post suggests. I'm much less worried about instrumental subgoals in such a scenario, since part of "understanding what we mean" includes "and don't pursue this instruction literally to extremes". But we still need to figure out how to translate natural language instructions into actions.</v>
      </c>
    </row>
    <row r="993">
      <c r="A993" t="str">
        <f>IFERROR(__xludf.DUMMYFUNCTION("""COMPUTED_VALUE"""),"Learning human intent")</f>
        <v>Learning human intent</v>
      </c>
      <c r="B993" t="str">
        <f>IFERROR(__xludf.DUMMYFUNCTION("""COMPUTED_VALUE"""),"")</f>
        <v/>
      </c>
      <c r="C993" s="3" t="str">
        <f>IFERROR(__xludf.DUMMYFUNCTION("""COMPUTED_VALUE"""),"Full toy model for preference learning")</f>
        <v>Full toy model for preference learning</v>
      </c>
      <c r="D993" t="str">
        <f>IFERROR(__xludf.DUMMYFUNCTION("""COMPUTED_VALUE"""),"Stuart Armstrong")</f>
        <v>Stuart Armstrong</v>
      </c>
      <c r="E993" t="str">
        <f>IFERROR(__xludf.DUMMYFUNCTION("""COMPUTED_VALUE"""),"Alignment Forum")</f>
        <v>Alignment Forum</v>
      </c>
      <c r="F993">
        <f>IFERROR(__xludf.DUMMYFUNCTION("""COMPUTED_VALUE"""),2019.0)</f>
        <v>2019</v>
      </c>
      <c r="H993" s="3" t="str">
        <f>IFERROR(__xludf.DUMMYFUNCTION("""COMPUTED_VALUE"""),"AN #73")</f>
        <v>AN #73</v>
      </c>
      <c r="I993" t="str">
        <f>IFERROR(__xludf.DUMMYFUNCTION("""COMPUTED_VALUE"""),"Rohin")</f>
        <v>Rohin</v>
      </c>
      <c r="J993" t="str">
        <f>IFERROR(__xludf.DUMMYFUNCTION("""COMPUTED_VALUE"""),"This post applies Stuart's general preference learning algorithm to a toy environment in which a robot has a mishmash of preferences about how to classify and bin two types of objects.")</f>
        <v>This post applies Stuart's general preference learning algorithm to a toy environment in which a robot has a mishmash of preferences about how to classify and bin two types of objects.</v>
      </c>
      <c r="K993" t="str">
        <f>IFERROR(__xludf.DUMMYFUNCTION("""COMPUTED_VALUE"""),"This is a nice illustration of the very abstract algorithm proposed before; I'd love it if more people illustrated their algorithms this way.")</f>
        <v>This is a nice illustration of the very abstract algorithm proposed before; I'd love it if more people illustrated their algorithms this way.</v>
      </c>
    </row>
    <row r="994">
      <c r="A994" t="str">
        <f>IFERROR(__xludf.DUMMYFUNCTION("""COMPUTED_VALUE"""),"Learning human intent")</f>
        <v>Learning human intent</v>
      </c>
      <c r="B994" t="str">
        <f>IFERROR(__xludf.DUMMYFUNCTION("""COMPUTED_VALUE"""),"")</f>
        <v/>
      </c>
      <c r="C994" s="3" t="str">
        <f>IFERROR(__xludf.DUMMYFUNCTION("""COMPUTED_VALUE"""),"Improving Deep Reinforcement Learning in Minecraft with Action Advice")</f>
        <v>Improving Deep Reinforcement Learning in Minecraft with Action Advice</v>
      </c>
      <c r="D994" t="str">
        <f>IFERROR(__xludf.DUMMYFUNCTION("""COMPUTED_VALUE"""),"Spencer Frazier, Mark Riedl")</f>
        <v>Spencer Frazier, Mark Riedl</v>
      </c>
      <c r="E994" t="str">
        <f>IFERROR(__xludf.DUMMYFUNCTION("""COMPUTED_VALUE"""),"arXiv")</f>
        <v>arXiv</v>
      </c>
      <c r="F994">
        <f>IFERROR(__xludf.DUMMYFUNCTION("""COMPUTED_VALUE"""),2019.0)</f>
        <v>2019</v>
      </c>
      <c r="H994" s="3" t="str">
        <f>IFERROR(__xludf.DUMMYFUNCTION("""COMPUTED_VALUE"""),"AN #72")</f>
        <v>AN #72</v>
      </c>
      <c r="I994" t="str">
        <f>IFERROR(__xludf.DUMMYFUNCTION("""COMPUTED_VALUE"""),"Asya")</f>
        <v>Asya</v>
      </c>
      <c r="J994" t="str">
        <f>IFERROR(__xludf.DUMMYFUNCTION("""COMPUTED_VALUE"""),"This paper uses maze-traversal in Minecraft to look at the extent to which human advice can help with _aliasing_ in 3D environments, the problem where many states share nearly identical visual features. The paper compares two advice-giving algorithms that"&amp;" rely on neural nets which are trained to explore and predict the utilities of possible actions they can take, sometimes accepting human advice. The two algorithms differ primarily in whether they provide advice for the current action, or provide advice t"&amp;"hat persists for several actions. 
Experimental results suggest that both algorithms, but especially the one that applies to multiple actions, help with the problem of 3D aliasing, potentially because the system can rely on the movement advice it got in "&amp;"previous timesteps rather than having to discern tricky visual features in the moment. The paper also varies the frequency and accuracy of the advice given, and finds that receiving more advice significantly improves performance, even if that advice is on"&amp;"ly 50% accurate.")</f>
        <v>This paper uses maze-traversal in Minecraft to look at the extent to which human advice can help with _aliasing_ in 3D environments, the problem where many states share nearly identical visual features. The paper compares two advice-giving algorithms that rely on neural nets which are trained to explore and predict the utilities of possible actions they can take, sometimes accepting human advice. The two algorithms differ primarily in whether they provide advice for the current action, or provide advice that persists for several actions. 
Experimental results suggest that both algorithms, but especially the one that applies to multiple actions, help with the problem of 3D aliasing, potentially because the system can rely on the movement advice it got in previous timesteps rather than having to discern tricky visual features in the moment. The paper also varies the frequency and accuracy of the advice given, and finds that receiving more advice significantly improves performance, even if that advice is only 50% accurate.</v>
      </c>
      <c r="K994" t="str">
        <f>IFERROR(__xludf.DUMMYFUNCTION("""COMPUTED_VALUE"""),"I like this paper, largely because learning from advice hasn't been applied much to 3D worlds, and this is a compelling proof of concept. I think it's also a noteworthy though expected result that advice that sticks temporally helps a lot when the ground "&amp;"truth visual evidence is difficult to interpret.")</f>
        <v>I like this paper, largely because learning from advice hasn't been applied much to 3D worlds, and this is a compelling proof of concept. I think it's also a noteworthy though expected result that advice that sticks temporally helps a lot when the ground truth visual evidence is difficult to interpret.</v>
      </c>
    </row>
    <row r="995">
      <c r="A995" t="str">
        <f>IFERROR(__xludf.DUMMYFUNCTION("""COMPUTED_VALUE"""),"Learning human intent")</f>
        <v>Learning human intent</v>
      </c>
      <c r="B995" t="str">
        <f>IFERROR(__xludf.DUMMYFUNCTION("""COMPUTED_VALUE"""),"")</f>
        <v/>
      </c>
      <c r="C995" s="3" t="str">
        <f>IFERROR(__xludf.DUMMYFUNCTION("""COMPUTED_VALUE"""),"Defeating Goodhart and the closest unblocked strategy problem")</f>
        <v>Defeating Goodhart and the closest unblocked strategy problem</v>
      </c>
      <c r="D995" t="str">
        <f>IFERROR(__xludf.DUMMYFUNCTION("""COMPUTED_VALUE"""),"Stuart Armstrong")</f>
        <v>Stuart Armstrong</v>
      </c>
      <c r="E995" t="str">
        <f>IFERROR(__xludf.DUMMYFUNCTION("""COMPUTED_VALUE"""),"Alignment Forum")</f>
        <v>Alignment Forum</v>
      </c>
      <c r="F995">
        <f>IFERROR(__xludf.DUMMYFUNCTION("""COMPUTED_VALUE"""),2019.0)</f>
        <v>2019</v>
      </c>
      <c r="H995" s="3" t="str">
        <f>IFERROR(__xludf.DUMMYFUNCTION("""COMPUTED_VALUE"""),"AN #53")</f>
        <v>AN #53</v>
      </c>
      <c r="I995" t="str">
        <f>IFERROR(__xludf.DUMMYFUNCTION("""COMPUTED_VALUE"""),"Rohin")</f>
        <v>Rohin</v>
      </c>
      <c r="J995" t="str">
        <f>IFERROR(__xludf.DUMMYFUNCTION("""COMPUTED_VALUE"""),"One issue with the idea of &lt;@reward uncertainty@&gt; based on a model of uncertainty that we specify is that we tend to severely underestimate how uncertain we should be. This post makes the point that we could try to build an AI system that starts with this"&amp;" estimate of our uncertainty, but then corrects the estimate based on its understanding of humans. For example, if it notices that humans tend to become much more uncertain when presented with some crucial consideration, it could realize that its estimate"&amp;" probably needs to be widened significantly.")</f>
        <v>One issue with the idea of &lt;@reward uncertainty@&gt; based on a model of uncertainty that we specify is that we tend to severely underestimate how uncertain we should be. This post makes the point that we could try to build an AI system that starts with this estimate of our uncertainty, but then corrects the estimate based on its understanding of humans. For example, if it notices that humans tend to become much more uncertain when presented with some crucial consideration, it could realize that its estimate probably needs to be widened significantly.</v>
      </c>
      <c r="K995" t="str">
        <f>IFERROR(__xludf.DUMMYFUNCTION("""COMPUTED_VALUE"""),"So far, this is an idea that hasn't been turned into a proposal yet, so it's hard to evaluate. The most obvious implementation (to me) would involve an explicit estimate of reward uncertainty, and then an explicit model for how to update that uncertainty "&amp;"(that would not be Bayes Rule, since that would narrow the uncertainty over time). At this point it's not clear to me why we're even using the expected utility formalism; it feels like adding epicycles in order to get a single particular behavior that bre"&amp;"aks other things. You could also make the argument that there will be misspecification of the model of how update the uncertainty. But again, this is just the most obvious completion of the idea; it's plausible that there's a different way of doing this t"&amp;"hat's better.")</f>
        <v>So far, this is an idea that hasn't been turned into a proposal yet, so it's hard to evaluate. The most obvious implementation (to me) would involve an explicit estimate of reward uncertainty, and then an explicit model for how to update that uncertainty (that would not be Bayes Rule, since that would narrow the uncertainty over time). At this point it's not clear to me why we're even using the expected utility formalism; it feels like adding epicycles in order to get a single particular behavior that breaks other things. You could also make the argument that there will be misspecification of the model of how update the uncertainty. But again, this is just the most obvious completion of the idea; it's plausible that there's a different way of doing this that's better.</v>
      </c>
    </row>
    <row r="996">
      <c r="A996" t="str">
        <f>IFERROR(__xludf.DUMMYFUNCTION("""COMPUTED_VALUE"""),"Learning human intent")</f>
        <v>Learning human intent</v>
      </c>
      <c r="B996" t="str">
        <f>IFERROR(__xludf.DUMMYFUNCTION("""COMPUTED_VALUE"""),"")</f>
        <v/>
      </c>
      <c r="C996" s="3" t="str">
        <f>IFERROR(__xludf.DUMMYFUNCTION("""COMPUTED_VALUE"""),"Parenting: Safe Reinforcement Learning from Human Input")</f>
        <v>Parenting: Safe Reinforcement Learning from Human Input</v>
      </c>
      <c r="D996" t="str">
        <f>IFERROR(__xludf.DUMMYFUNCTION("""COMPUTED_VALUE"""),"Christopher Frye, Ilya Feige")</f>
        <v>Christopher Frye, Ilya Feige</v>
      </c>
      <c r="E996" t="str">
        <f>IFERROR(__xludf.DUMMYFUNCTION("""COMPUTED_VALUE"""),"arXiv")</f>
        <v>arXiv</v>
      </c>
      <c r="F996">
        <f>IFERROR(__xludf.DUMMYFUNCTION("""COMPUTED_VALUE"""),2019.0)</f>
        <v>2019</v>
      </c>
      <c r="H996" s="3" t="str">
        <f>IFERROR(__xludf.DUMMYFUNCTION("""COMPUTED_VALUE"""),"AN #53")</f>
        <v>AN #53</v>
      </c>
    </row>
    <row r="997">
      <c r="A997" t="str">
        <f>IFERROR(__xludf.DUMMYFUNCTION("""COMPUTED_VALUE"""),"Learning human intent")</f>
        <v>Learning human intent</v>
      </c>
      <c r="B997" t="str">
        <f>IFERROR(__xludf.DUMMYFUNCTION("""COMPUTED_VALUE"""),"")</f>
        <v/>
      </c>
      <c r="C997" s="3" t="str">
        <f>IFERROR(__xludf.DUMMYFUNCTION("""COMPUTED_VALUE"""),"From Language to Goals: Inverse Reinforcement Learning for Vision-Based Instruction Following")</f>
        <v>From Language to Goals: Inverse Reinforcement Learning for Vision-Based Instruction Following</v>
      </c>
      <c r="D997" t="str">
        <f>IFERROR(__xludf.DUMMYFUNCTION("""COMPUTED_VALUE"""),"Justin Fu, Anoop Korattikara, Sergey Levine, Sergio Guadarrama")</f>
        <v>Justin Fu, Anoop Korattikara, Sergey Levine, Sergio Guadarrama</v>
      </c>
      <c r="E997" t="str">
        <f>IFERROR(__xludf.DUMMYFUNCTION("""COMPUTED_VALUE"""),"ICLR 2019")</f>
        <v>ICLR 2019</v>
      </c>
      <c r="F997">
        <f>IFERROR(__xludf.DUMMYFUNCTION("""COMPUTED_VALUE"""),2019.0)</f>
        <v>2019</v>
      </c>
      <c r="H997" s="3" t="str">
        <f>IFERROR(__xludf.DUMMYFUNCTION("""COMPUTED_VALUE"""),"AN #51")</f>
        <v>AN #51</v>
      </c>
      <c r="I997" t="str">
        <f>IFERROR(__xludf.DUMMYFUNCTION("""COMPUTED_VALUE"""),"Rohin")</f>
        <v>Rohin</v>
      </c>
      <c r="J997" t="str">
        <f>IFERROR(__xludf.DUMMYFUNCTION("""COMPUTED_VALUE"""),"Rewards and language commands are more generalizable than policies: ""pick up the vase"" would make sense in any house, but the actions that navigate to and pick up a vase in one house would not work in another house. Based on this observation, this paper"&amp;" proposes that we have a dataset where for several (language command, environment) pairs, we are given expert demonstrations of how to follow the command in that environment. For each data point, we can use IRL to infer a reward function, and use that to "&amp;"train a neural net that can map from the language command to the reward function. Then, at test time, given a language command, we can convert it to a reward function, after which we can use standard deep RL techniques to get a policy that executes the co"&amp;"mmand.
The authors evaluate on a 3D house domain with pixel observations, and two types of language commands: navigation and pick-and-place. During training, when IRL needs to be done, since deep IRL algorithms are computationally expensive they convert "&amp;"the task into a small, tabular MDP with known dynamics for which they can solve the IRL problem exactly, deriving a gradient that can then be applied in the observation space to train a neural net that given image observations and a language command predi"&amp;"cts the reward. Note that this only needs to be done at training time: at test time, the reward function can be used in a new environment with unknown dynamics and image observations. They show that the learned rewards generalize to novel combinations of "&amp;"objects within a house, as well as to entirely new houses (though to a lesser extent).")</f>
        <v>Rewards and language commands are more generalizable than policies: "pick up the vase" would make sense in any house, but the actions that navigate to and pick up a vase in one house would not work in another house. Based on this observation, this paper proposes that we have a dataset where for several (language command, environment) pairs, we are given expert demonstrations of how to follow the command in that environment. For each data point, we can use IRL to infer a reward function, and use that to train a neural net that can map from the language command to the reward function. Then, at test time, given a language command, we can convert it to a reward function, after which we can use standard deep RL techniques to get a policy that executes the command.
The authors evaluate on a 3D house domain with pixel observations, and two types of language commands: navigation and pick-and-place. During training, when IRL needs to be done, since deep IRL algorithms are computationally expensive they convert the task into a small, tabular MDP with known dynamics for which they can solve the IRL problem exactly, deriving a gradient that can then be applied in the observation space to train a neural net that given image observations and a language command predicts the reward. Note that this only needs to be done at training time: at test time, the reward function can be used in a new environment with unknown dynamics and image observations. They show that the learned rewards generalize to novel combinations of objects within a house, as well as to entirely new houses (though to a lesser extent).</v>
      </c>
      <c r="K997" t="str">
        <f>IFERROR(__xludf.DUMMYFUNCTION("""COMPUTED_VALUE"""),"I think the success at generalization comes primarily because of the MaxEnt IRL during training: it provides a lot of structure and inductive bias that means that the rewards on which the reward predictor is trained are ""close"" to the intended reward fu"&amp;"nction. For example, in the navigation tasks, the demonstrations for a command like ""go to the vase"" will involve trajectories through the state of many houses that end up in the vase. For each demonstration, MaxEnt IRL ""assigns"" positive reward to th"&amp;"e states in the demonstration, and negative reward to everything else. However, once you average across demonstrations in different houses, the state with the vase gets a huge amount of positive reward (since it is in all trajectories) while all the other"&amp;" states are relatively neutral (since they will only be in a few trajectories, where the agent needed to pass that point in order to get to the vase). So when this is ""transferred"" to the neural net via gradients, the neural net is basically ""told"" th"&amp;"at high reward only happens in states that contain vases, which is a strong constraint on the learned reward. On the other hand, for ""move X to Y"" tasks, while the same argument suggests that you will have high reward on reaching X, the rest of the traj"&amp;"ectories from X to Y will all be the same and MaxEnt IRL will learn a shaped reward that doesn't transfer well. So, I predict that on ""move X to Y"" tasks at test time, the agent will successfully pick up the object X, but fail to then move it to Y.
To "&amp;"be clear, this is not meant as a critique of the paper: indeed, I think when you want out-of-distribution generalization, you _have_ to do it by imposing structure/inductive bias, and this is a new way to do it that I hadn't seen before.")</f>
        <v>I think the success at generalization comes primarily because of the MaxEnt IRL during training: it provides a lot of structure and inductive bias that means that the rewards on which the reward predictor is trained are "close" to the intended reward function. For example, in the navigation tasks, the demonstrations for a command like "go to the vase" will involve trajectories through the state of many houses that end up in the vase. For each demonstration, MaxEnt IRL "assigns" positive reward to the states in the demonstration, and negative reward to everything else. However, once you average across demonstrations in different houses, the state with the vase gets a huge amount of positive reward (since it is in all trajectories) while all the other states are relatively neutral (since they will only be in a few trajectories, where the agent needed to pass that point in order to get to the vase). So when this is "transferred" to the neural net via gradients, the neural net is basically "told" that high reward only happens in states that contain vases, which is a strong constraint on the learned reward. On the other hand, for "move X to Y" tasks, while the same argument suggests that you will have high reward on reaching X, the rest of the trajectories from X to Y will all be the same and MaxEnt IRL will learn a shaped reward that doesn't transfer well. So, I predict that on "move X to Y" tasks at test time, the agent will successfully pick up the object X, but fail to then move it to Y.
To be clear, this is not meant as a critique of the paper: indeed, I think when you want out-of-distribution generalization, you _have_ to do it by imposing structure/inductive bias, and this is a new way to do it that I hadn't seen before.</v>
      </c>
    </row>
    <row r="998">
      <c r="A998" t="str">
        <f>IFERROR(__xludf.DUMMYFUNCTION("""COMPUTED_VALUE"""),"Learning human intent")</f>
        <v>Learning human intent</v>
      </c>
      <c r="B998" t="str">
        <f>IFERROR(__xludf.DUMMYFUNCTION("""COMPUTED_VALUE"""),"")</f>
        <v/>
      </c>
      <c r="C998" s="3" t="str">
        <f>IFERROR(__xludf.DUMMYFUNCTION("""COMPUTED_VALUE"""),"Using Natural Language for Reward Shaping in Reinforcement Learning")</f>
        <v>Using Natural Language for Reward Shaping in Reinforcement Learning</v>
      </c>
      <c r="D998" t="str">
        <f>IFERROR(__xludf.DUMMYFUNCTION("""COMPUTED_VALUE"""),"Prasoon Goyal, Scott Niekum, Raymond J. Mooney")</f>
        <v>Prasoon Goyal, Scott Niekum, Raymond J. Mooney</v>
      </c>
      <c r="E998" t="str">
        <f>IFERROR(__xludf.DUMMYFUNCTION("""COMPUTED_VALUE"""),"arXiv")</f>
        <v>arXiv</v>
      </c>
      <c r="F998">
        <f>IFERROR(__xludf.DUMMYFUNCTION("""COMPUTED_VALUE"""),2019.0)</f>
        <v>2019</v>
      </c>
      <c r="H998" s="3" t="str">
        <f>IFERROR(__xludf.DUMMYFUNCTION("""COMPUTED_VALUE"""),"AN #51")</f>
        <v>AN #51</v>
      </c>
      <c r="I998" t="str">
        <f>IFERROR(__xludf.DUMMYFUNCTION("""COMPUTED_VALUE"""),"Rohin")</f>
        <v>Rohin</v>
      </c>
      <c r="J998" t="str">
        <f>IFERROR(__xludf.DUMMYFUNCTION("""COMPUTED_VALUE"""),"This paper constructs a dataset for grounding natural language in Atari games, and uses it to improve performance on Atari. They have humans annotate short clips with natural language: for example, ""jump over the skull while going to the left"" in Montez"&amp;"uma's Revenge. They use this to build a model that predicts whether a given trajectory matches a natural language instruction. Then, while training an agent to play Atari, they have humans give the AI system an instruction in natural language. They use th"&amp;"eir natural language model to predict the probability that the trajectory matches the instruction, and add that as an extra shaping term in the reward. This leads to faster learning.")</f>
        <v>This paper constructs a dataset for grounding natural language in Atari games, and uses it to improve performance on Atari. They have humans annotate short clips with natural language: for example, "jump over the skull while going to the left" in Montezuma's Revenge. They use this to build a model that predicts whether a given trajectory matches a natural language instruction. Then, while training an agent to play Atari, they have humans give the AI system an instruction in natural language. They use their natural language model to predict the probability that the trajectory matches the instruction, and add that as an extra shaping term in the reward. This leads to faster learning.</v>
      </c>
    </row>
    <row r="999">
      <c r="A999" t="str">
        <f>IFERROR(__xludf.DUMMYFUNCTION("""COMPUTED_VALUE"""),"Learning human intent")</f>
        <v>Learning human intent</v>
      </c>
      <c r="B999" t="str">
        <f>IFERROR(__xludf.DUMMYFUNCTION("""COMPUTED_VALUE"""),"")</f>
        <v/>
      </c>
      <c r="C999" s="3" t="str">
        <f>IFERROR(__xludf.DUMMYFUNCTION("""COMPUTED_VALUE"""),"Using Causal Analysis to Learn Specifications from Task Demonstrations")</f>
        <v>Using Causal Analysis to Learn Specifications from Task Demonstrations</v>
      </c>
      <c r="D999" t="str">
        <f>IFERROR(__xludf.DUMMYFUNCTION("""COMPUTED_VALUE"""),"Daniel Angelov, Yordan Hristov, Subramanian Ramamoorthy")</f>
        <v>Daniel Angelov, Yordan Hristov, Subramanian Ramamoorthy</v>
      </c>
      <c r="E999" t="str">
        <f>IFERROR(__xludf.DUMMYFUNCTION("""COMPUTED_VALUE"""),"arXiv")</f>
        <v>arXiv</v>
      </c>
      <c r="F999">
        <f>IFERROR(__xludf.DUMMYFUNCTION("""COMPUTED_VALUE"""),2019.0)</f>
        <v>2019</v>
      </c>
      <c r="H999" s="3" t="str">
        <f>IFERROR(__xludf.DUMMYFUNCTION("""COMPUTED_VALUE"""),"AN #49")</f>
        <v>AN #49</v>
      </c>
    </row>
    <row r="1000">
      <c r="A1000" t="str">
        <f>IFERROR(__xludf.DUMMYFUNCTION("""COMPUTED_VALUE"""),"Learning human intent")</f>
        <v>Learning human intent</v>
      </c>
      <c r="B1000" t="str">
        <f>IFERROR(__xludf.DUMMYFUNCTION("""COMPUTED_VALUE"""),"")</f>
        <v/>
      </c>
      <c r="C1000" s="3" t="str">
        <f>IFERROR(__xludf.DUMMYFUNCTION("""COMPUTED_VALUE"""),"ReNeg and Backseat Driver: Learning from Demonstration with Continuous Human Feedback")</f>
        <v>ReNeg and Backseat Driver: Learning from Demonstration with Continuous Human Feedback</v>
      </c>
      <c r="D1000" t="str">
        <f>IFERROR(__xludf.DUMMYFUNCTION("""COMPUTED_VALUE"""),"Jacob Beck, Zoe Papakipos, Michael Littman")</f>
        <v>Jacob Beck, Zoe Papakipos, Michael Littman</v>
      </c>
      <c r="E1000" t="str">
        <f>IFERROR(__xludf.DUMMYFUNCTION("""COMPUTED_VALUE"""),"CoRL 2018")</f>
        <v>CoRL 2018</v>
      </c>
      <c r="F1000">
        <f>IFERROR(__xludf.DUMMYFUNCTION("""COMPUTED_VALUE"""),2019.0)</f>
        <v>2019</v>
      </c>
      <c r="H1000" s="3" t="str">
        <f>IFERROR(__xludf.DUMMYFUNCTION("""COMPUTED_VALUE"""),"AN #43")</f>
        <v>AN #43</v>
      </c>
    </row>
    <row r="1001">
      <c r="A1001" t="str">
        <f>IFERROR(__xludf.DUMMYFUNCTION("""COMPUTED_VALUE"""),"Learning human intent")</f>
        <v>Learning human intent</v>
      </c>
      <c r="B1001" t="str">
        <f>IFERROR(__xludf.DUMMYFUNCTION("""COMPUTED_VALUE"""),"")</f>
        <v/>
      </c>
      <c r="C1001" s="3" t="str">
        <f>IFERROR(__xludf.DUMMYFUNCTION("""COMPUTED_VALUE"""),"Risk-Aware Active Inverse Reinforcement Learning")</f>
        <v>Risk-Aware Active Inverse Reinforcement Learning</v>
      </c>
      <c r="D1001" t="str">
        <f>IFERROR(__xludf.DUMMYFUNCTION("""COMPUTED_VALUE"""),"Daniel S. Brown, Yuchen Cui, Scott Niekum")</f>
        <v>Daniel S. Brown, Yuchen Cui, Scott Niekum</v>
      </c>
      <c r="E1001" t="str">
        <f>IFERROR(__xludf.DUMMYFUNCTION("""COMPUTED_VALUE"""),"AISTATS 2019")</f>
        <v>AISTATS 2019</v>
      </c>
      <c r="F1001">
        <f>IFERROR(__xludf.DUMMYFUNCTION("""COMPUTED_VALUE"""),2019.0)</f>
        <v>2019</v>
      </c>
      <c r="H1001" s="3" t="str">
        <f>IFERROR(__xludf.DUMMYFUNCTION("""COMPUTED_VALUE"""),"AN #42")</f>
        <v>AN #42</v>
      </c>
      <c r="I1001" t="str">
        <f>IFERROR(__xludf.DUMMYFUNCTION("""COMPUTED_VALUE"""),"Rohin")</f>
        <v>Rohin</v>
      </c>
      <c r="J1001" t="str">
        <f>IFERROR(__xludf.DUMMYFUNCTION("""COMPUTED_VALUE"""),"This paper presents an algorithm that actively solicits demonstrations on states where it could potentially behave badly due to its uncertainty about the reward function. They use Bayesian IRL as their IRL algorithm, so that they get a distribution over r"&amp;"eward functions. They use the most likely reward to train a policy, and then find a state from which that policy has high risk (because of the uncertainty over reward functions). They show in experiments that this performs better than other active IRL alg"&amp;"orithms.")</f>
        <v>This paper presents an algorithm that actively solicits demonstrations on states where it could potentially behave badly due to its uncertainty about the reward function. They use Bayesian IRL as their IRL algorithm, so that they get a distribution over reward functions. They use the most likely reward to train a policy, and then find a state from which that policy has high risk (because of the uncertainty over reward functions). They show in experiments that this performs better than other active IRL algorithms.</v>
      </c>
      <c r="K1001" t="str">
        <f>IFERROR(__xludf.DUMMYFUNCTION("""COMPUTED_VALUE"""),"I don't fully understand this paper -- how exactly are they searching over states, when there are exponentially many of them? Are they sampling them somehow? It's definitely possible that this is in the paper and I missed it, I did skim it fairly quickly.")</f>
        <v>I don't fully understand this paper -- how exactly are they searching over states, when there are exponentially many of them? Are they sampling them somehow? It's definitely possible that this is in the paper and I missed it, I did skim it fairly quickly.</v>
      </c>
    </row>
    <row r="1002">
      <c r="A1002" t="str">
        <f>IFERROR(__xludf.DUMMYFUNCTION("""COMPUTED_VALUE"""),"Learning human intent")</f>
        <v>Learning human intent</v>
      </c>
      <c r="B1002" t="str">
        <f>IFERROR(__xludf.DUMMYFUNCTION("""COMPUTED_VALUE"""),"")</f>
        <v/>
      </c>
      <c r="C1002" s="3" t="str">
        <f>IFERROR(__xludf.DUMMYFUNCTION("""COMPUTED_VALUE"""),"Reinforcement learning and inverse reinforcement learning with system 1 and system 2")</f>
        <v>Reinforcement learning and inverse reinforcement learning with system 1 and system 2</v>
      </c>
      <c r="D1002" t="str">
        <f>IFERROR(__xludf.DUMMYFUNCTION("""COMPUTED_VALUE"""),"Alexander Peysakhovich")</f>
        <v>Alexander Peysakhovich</v>
      </c>
      <c r="E1002" t="str">
        <f>IFERROR(__xludf.DUMMYFUNCTION("""COMPUTED_VALUE"""),"NIPS 2018")</f>
        <v>NIPS 2018</v>
      </c>
      <c r="F1002">
        <f>IFERROR(__xludf.DUMMYFUNCTION("""COMPUTED_VALUE"""),2018.0)</f>
        <v>2018</v>
      </c>
      <c r="H1002" s="3" t="str">
        <f>IFERROR(__xludf.DUMMYFUNCTION("""COMPUTED_VALUE"""),"AN #36")</f>
        <v>AN #36</v>
      </c>
    </row>
    <row r="1003">
      <c r="A1003" t="str">
        <f>IFERROR(__xludf.DUMMYFUNCTION("""COMPUTED_VALUE"""),"Learning human intent")</f>
        <v>Learning human intent</v>
      </c>
      <c r="B1003" t="str">
        <f>IFERROR(__xludf.DUMMYFUNCTION("""COMPUTED_VALUE"""),"")</f>
        <v/>
      </c>
      <c r="C1003" s="3" t="str">
        <f>IFERROR(__xludf.DUMMYFUNCTION("""COMPUTED_VALUE"""),"Acknowledging Human Preference Types to Support Value Learning")</f>
        <v>Acknowledging Human Preference Types to Support Value Learning</v>
      </c>
      <c r="D1003" t="str">
        <f>IFERROR(__xludf.DUMMYFUNCTION("""COMPUTED_VALUE"""),"Nandi, Sabrina, and Erin")</f>
        <v>Nandi, Sabrina, and Erin</v>
      </c>
      <c r="E1003" t="str">
        <f>IFERROR(__xludf.DUMMYFUNCTION("""COMPUTED_VALUE"""),"LessWrong")</f>
        <v>LessWrong</v>
      </c>
      <c r="F1003">
        <f>IFERROR(__xludf.DUMMYFUNCTION("""COMPUTED_VALUE"""),2018.0)</f>
        <v>2018</v>
      </c>
      <c r="H1003" s="3" t="str">
        <f>IFERROR(__xludf.DUMMYFUNCTION("""COMPUTED_VALUE"""),"AN #33")</f>
        <v>AN #33</v>
      </c>
      <c r="I1003" t="str">
        <f>IFERROR(__xludf.DUMMYFUNCTION("""COMPUTED_VALUE"""),"Rohin")</f>
        <v>Rohin</v>
      </c>
      <c r="J1003" t="str">
        <f>IFERROR(__xludf.DUMMYFUNCTION("""COMPUTED_VALUE"""),"Humans often have multiple ""types"" of preferences, which any value learning algorithm will need to handle. This post concentrates on one particular framework -- liking, wanting and approving. Liking corresponds to the experience of pleasure, wanting cor"&amp;"responds to the motivation that causes you to take action, and approving corresponds to your conscious evaluation of how good the particular action is. These correspond to different data sources, such as facial expressions, demonstrations, and rankings re"&amp;"spectively. Now suppose we extract three different reward functions and need to use them to choose actions -- how should we aggregate the reward functions? They choose some desiderata on the aggregation mechanism, inspired by social choice theory, and dev"&amp;"elop a few aggregation rules that meet some of the desiderata.")</f>
        <v>Humans often have multiple "types" of preferences, which any value learning algorithm will need to handle. This post concentrates on one particular framework -- liking, wanting and approving. Liking corresponds to the experience of pleasure, wanting corresponds to the motivation that causes you to take action, and approving corresponds to your conscious evaluation of how good the particular action is. These correspond to different data sources, such as facial expressions, demonstrations, and rankings respectively. Now suppose we extract three different reward functions and need to use them to choose actions -- how should we aggregate the reward functions? They choose some desiderata on the aggregation mechanism, inspired by social choice theory, and develop a few aggregation rules that meet some of the desiderata.</v>
      </c>
      <c r="K1003" t="str">
        <f>IFERROR(__xludf.DUMMYFUNCTION("""COMPUTED_VALUE"""),"I'm excited to see work on dealing with conflicting preference information, particularly from multiple data sources. To my knowledge, there isn't any work on this -- while there is work on multimodal input, usually those inputs don't conflict, whereas thi"&amp;"s post explicitly has several examples of conflicting preferences, which seems like an important problem to solve. However, I would aim for a solution that is less fixed (i.e. not one specific aggregation rule), for example by an active approach that pres"&amp;"ents the conflict to the human and asks how it should be resolved, and learning an aggregation rule based on that. I'd be surprised if we ended up using a particular mathematical equation presented here as an aggregation mechanism -- I'm much more interes"&amp;"ted in what problems arise when we try to aggregate things, what criteria we might want to satisfy, etc.")</f>
        <v>I'm excited to see work on dealing with conflicting preference information, particularly from multiple data sources. To my knowledge, there isn't any work on this -- while there is work on multimodal input, usually those inputs don't conflict, whereas this post explicitly has several examples of conflicting preferences, which seems like an important problem to solve. However, I would aim for a solution that is less fixed (i.e. not one specific aggregation rule), for example by an active approach that presents the conflict to the human and asks how it should be resolved, and learning an aggregation rule based on that. I'd be surprised if we ended up using a particular mathematical equation presented here as an aggregation mechanism -- I'm much more interested in what problems arise when we try to aggregate things, what criteria we might want to satisfy, etc.</v>
      </c>
    </row>
    <row r="1004">
      <c r="A1004" t="str">
        <f>IFERROR(__xludf.DUMMYFUNCTION("""COMPUTED_VALUE"""),"Learning human intent")</f>
        <v>Learning human intent</v>
      </c>
      <c r="B1004" t="str">
        <f>IFERROR(__xludf.DUMMYFUNCTION("""COMPUTED_VALUE"""),"")</f>
        <v/>
      </c>
      <c r="C1004" s="3" t="str">
        <f>IFERROR(__xludf.DUMMYFUNCTION("""COMPUTED_VALUE"""),"Efficiently Combining Human Demonstrations and Interventions for Safe Training of Autonomous Systems in Real-Time")</f>
        <v>Efficiently Combining Human Demonstrations and Interventions for Safe Training of Autonomous Systems in Real-Time</v>
      </c>
      <c r="D1004" t="str">
        <f>IFERROR(__xludf.DUMMYFUNCTION("""COMPUTED_VALUE"""),"Vinicius G. Goecks, Gregory M. Gremillion, Vernon J. Lawhern, John Valasek, Nicholas R. Waytowich")</f>
        <v>Vinicius G. Goecks, Gregory M. Gremillion, Vernon J. Lawhern, John Valasek, Nicholas R. Waytowich</v>
      </c>
      <c r="E1004" t="str">
        <f>IFERROR(__xludf.DUMMYFUNCTION("""COMPUTED_VALUE"""),"arXiv")</f>
        <v>arXiv</v>
      </c>
      <c r="F1004">
        <f>IFERROR(__xludf.DUMMYFUNCTION("""COMPUTED_VALUE"""),2018.0)</f>
        <v>2018</v>
      </c>
      <c r="H1004" s="3" t="str">
        <f>IFERROR(__xludf.DUMMYFUNCTION("""COMPUTED_VALUE"""),"AN #31")</f>
        <v>AN #31</v>
      </c>
    </row>
    <row r="1005">
      <c r="A1005" t="str">
        <f>IFERROR(__xludf.DUMMYFUNCTION("""COMPUTED_VALUE"""),"Learning human intent")</f>
        <v>Learning human intent</v>
      </c>
      <c r="B1005" t="str">
        <f>IFERROR(__xludf.DUMMYFUNCTION("""COMPUTED_VALUE"""),"")</f>
        <v/>
      </c>
      <c r="C1005" s="3" t="str">
        <f>IFERROR(__xludf.DUMMYFUNCTION("""COMPUTED_VALUE"""),"Inverse reinforcement learning for video games")</f>
        <v>Inverse reinforcement learning for video games</v>
      </c>
      <c r="D1005" t="str">
        <f>IFERROR(__xludf.DUMMYFUNCTION("""COMPUTED_VALUE"""),"Aaron Tucker, Adam Gleave, Stuart Russell")</f>
        <v>Aaron Tucker, Adam Gleave, Stuart Russell</v>
      </c>
      <c r="E1005" t="str">
        <f>IFERROR(__xludf.DUMMYFUNCTION("""COMPUTED_VALUE"""),"arXiv")</f>
        <v>arXiv</v>
      </c>
      <c r="F1005">
        <f>IFERROR(__xludf.DUMMYFUNCTION("""COMPUTED_VALUE"""),2018.0)</f>
        <v>2018</v>
      </c>
      <c r="H1005" s="3" t="str">
        <f>IFERROR(__xludf.DUMMYFUNCTION("""COMPUTED_VALUE"""),"AN #31")</f>
        <v>AN #31</v>
      </c>
    </row>
    <row r="1006">
      <c r="A1006" t="str">
        <f>IFERROR(__xludf.DUMMYFUNCTION("""COMPUTED_VALUE"""),"Learning human intent")</f>
        <v>Learning human intent</v>
      </c>
      <c r="B1006" t="str">
        <f>IFERROR(__xludf.DUMMYFUNCTION("""COMPUTED_VALUE"""),"")</f>
        <v/>
      </c>
      <c r="C1006" s="3" t="str">
        <f>IFERROR(__xludf.DUMMYFUNCTION("""COMPUTED_VALUE"""),"One-Shot Observation Learning")</f>
        <v>One-Shot Observation Learning</v>
      </c>
      <c r="D1006" t="str">
        <f>IFERROR(__xludf.DUMMYFUNCTION("""COMPUTED_VALUE"""),"Leo Pauly, Wisdom C. Agboh, Mohamed Abdellatif, David C. Hogg, Raul Fuentes")</f>
        <v>Leo Pauly, Wisdom C. Agboh, Mohamed Abdellatif, David C. Hogg, Raul Fuentes</v>
      </c>
      <c r="E1006" t="str">
        <f>IFERROR(__xludf.DUMMYFUNCTION("""COMPUTED_VALUE"""),"arXiv")</f>
        <v>arXiv</v>
      </c>
      <c r="F1006">
        <f>IFERROR(__xludf.DUMMYFUNCTION("""COMPUTED_VALUE"""),2018.0)</f>
        <v>2018</v>
      </c>
      <c r="H1006" s="3" t="str">
        <f>IFERROR(__xludf.DUMMYFUNCTION("""COMPUTED_VALUE"""),"AN #30")</f>
        <v>AN #30</v>
      </c>
    </row>
    <row r="1007">
      <c r="A1007" t="str">
        <f>IFERROR(__xludf.DUMMYFUNCTION("""COMPUTED_VALUE"""),"Learning human intent")</f>
        <v>Learning human intent</v>
      </c>
      <c r="B1007" t="str">
        <f>IFERROR(__xludf.DUMMYFUNCTION("""COMPUTED_VALUE"""),"")</f>
        <v/>
      </c>
      <c r="C1007" s="3" t="str">
        <f>IFERROR(__xludf.DUMMYFUNCTION("""COMPUTED_VALUE"""),"Adversarial Imitation via Variational Inverse Reinforcement Learning")</f>
        <v>Adversarial Imitation via Variational Inverse Reinforcement Learning</v>
      </c>
      <c r="D1007" t="str">
        <f>IFERROR(__xludf.DUMMYFUNCTION("""COMPUTED_VALUE"""),"Ahmed H. Qureshi, Byron Boots, Michael C. Yip")</f>
        <v>Ahmed H. Qureshi, Byron Boots, Michael C. Yip</v>
      </c>
      <c r="E1007" t="str">
        <f>IFERROR(__xludf.DUMMYFUNCTION("""COMPUTED_VALUE"""),"ICLR 2019")</f>
        <v>ICLR 2019</v>
      </c>
      <c r="F1007">
        <f>IFERROR(__xludf.DUMMYFUNCTION("""COMPUTED_VALUE"""),2018.0)</f>
        <v>2018</v>
      </c>
      <c r="H1007" s="3" t="str">
        <f>IFERROR(__xludf.DUMMYFUNCTION("""COMPUTED_VALUE"""),"AN #28")</f>
        <v>AN #28</v>
      </c>
      <c r="I1007" t="str">
        <f>IFERROR(__xludf.DUMMYFUNCTION("""COMPUTED_VALUE"""),"Rohin")</f>
        <v>Rohin</v>
      </c>
      <c r="J1007" t="str">
        <f>IFERROR(__xludf.DUMMYFUNCTION("""COMPUTED_VALUE"""),"A short history of deep IRL algorithms: [GAIL](https://arxiv.org/abs/1606.03476) introduced the idea of training a policy that fools a discriminator that tries to distinguish a policy from expert demonstrations, [GAN-GCL](https://arxiv.org/abs/1611.03852)"&amp;" showed how to recover a reward function from the discriminator, and [AIRL](https://arxiv.org/abs/1710.11248) ([AN #17](https://mailchi.mp/ad852629e45a/alignment-newsletter-17)) trains on (s, a, s') tuples instead of trajectories to reduce variance, and l"&amp;"earns a reward shaping term separately so that it transfers better to new environments. This paper proposed that the reward shaping term be the _empowerment_ of a state. The empowerment of a state is the maximum mutual information between a sequence of ac"&amp;"tions from a state, and the achieved next state. Intuitively, this would lead to choosing to go to states from which you can reach the most possible future states. Their evaluation shows that they do about as well as AIRL in learning to imitate an expert,"&amp;" but perform much better in transfer tasks (where the learned reward function must generalize to a new environment).")</f>
        <v>A short history of deep IRL algorithms: [GAIL](https://arxiv.org/abs/1606.03476) introduced the idea of training a policy that fools a discriminator that tries to distinguish a policy from expert demonstrations, [GAN-GCL](https://arxiv.org/abs/1611.03852) showed how to recover a reward function from the discriminator, and [AIRL](https://arxiv.org/abs/1710.11248) ([AN #17](https://mailchi.mp/ad852629e45a/alignment-newsletter-17)) trains on (s, a, s') tuples instead of trajectories to reduce variance, and learns a reward shaping term separately so that it transfers better to new environments. This paper proposed that the reward shaping term be the _empowerment_ of a state. The empowerment of a state is the maximum mutual information between a sequence of actions from a state, and the achieved next state. Intuitively, this would lead to choosing to go to states from which you can reach the most possible future states. Their evaluation shows that they do about as well as AIRL in learning to imitate an expert, but perform much better in transfer tasks (where the learned reward function must generalize to a new environment).</v>
      </c>
      <c r="K1007" t="str">
        <f>IFERROR(__xludf.DUMMYFUNCTION("""COMPUTED_VALUE"""),"I'm confused by this paper, because they only compute the empowerment for a _single action_. I would expect that in most states, different actions lead to different next states, which suggests that the empowerment will be the same for all states. Why then"&amp;" does it have any effect? And even if the empowerment was computed over longer action sequences, what is the reason that this leads to learning generalizable rewards? My normal model is that IRL algorithms don't learn generalizable rewards because they mo"&amp;"stly use the reward to ""memorize"" the correct actions to take in any given state, rather than learning the underlying true reward. I don't see why empowerment would prevent this from happening. Yet, their experiments show quite large improvements, and d"&amp;"on't seem particularly suited to empowerment.")</f>
        <v>I'm confused by this paper, because they only compute the empowerment for a _single action_. I would expect that in most states, different actions lead to different next states, which suggests that the empowerment will be the same for all states. Why then does it have any effect? And even if the empowerment was computed over longer action sequences, what is the reason that this leads to learning generalizable rewards? My normal model is that IRL algorithms don't learn generalizable rewards because they mostly use the reward to "memorize" the correct actions to take in any given state, rather than learning the underlying true reward. I don't see why empowerment would prevent this from happening. Yet, their experiments show quite large improvements, and don't seem particularly suited to empowerment.</v>
      </c>
    </row>
    <row r="1008">
      <c r="A1008" t="str">
        <f>IFERROR(__xludf.DUMMYFUNCTION("""COMPUTED_VALUE"""),"Learning human intent")</f>
        <v>Learning human intent</v>
      </c>
      <c r="B1008" t="str">
        <f>IFERROR(__xludf.DUMMYFUNCTION("""COMPUTED_VALUE"""),"")</f>
        <v/>
      </c>
      <c r="C1008" t="str">
        <f>IFERROR(__xludf.DUMMYFUNCTION("""COMPUTED_VALUE"""),"[Web of connotations: Bleggs, Rubes, thermostats and beliefs](https://www.alignmentforum.org/posts/ix3KdfJxjo9GQFkCo/web-of-connotations-bleggs-rubes-thermostats-and-beliefs), [Bridging syntax and semantics, empirically](https://www.alignmentforum.org/pos"&amp;"ts/EEPdbtvW8ei9Yi2e8/bridging-syntax-and-semantics-empirically) and [Bridging syntax and semantics with Quine's Gavagai](https://www.alignmentforum.org/posts/XApNuXPckPxwp5ZcW/bridging-syntax-and-semantics-with-quine-s-gavagai)")</f>
        <v>[Web of connotations: Bleggs, Rubes, thermostats and beliefs](https://www.alignmentforum.org/posts/ix3KdfJxjo9GQFkCo/web-of-connotations-bleggs-rubes-thermostats-and-beliefs), [Bridging syntax and semantics, empirically](https://www.alignmentforum.org/posts/EEPdbtvW8ei9Yi2e8/bridging-syntax-and-semantics-empirically) and [Bridging syntax and semantics with Quine's Gavagai](https://www.alignmentforum.org/posts/XApNuXPckPxwp5ZcW/bridging-syntax-and-semantics-with-quine-s-gavagai)</v>
      </c>
      <c r="D1008" t="str">
        <f>IFERROR(__xludf.DUMMYFUNCTION("""COMPUTED_VALUE"""),"Stuart Armstrong")</f>
        <v>Stuart Armstrong</v>
      </c>
      <c r="E1008" t="str">
        <f>IFERROR(__xludf.DUMMYFUNCTION("""COMPUTED_VALUE"""),"Alignment Forum")</f>
        <v>Alignment Forum</v>
      </c>
      <c r="F1008">
        <f>IFERROR(__xludf.DUMMYFUNCTION("""COMPUTED_VALUE"""),2018.0)</f>
        <v>2018</v>
      </c>
      <c r="H1008" s="3" t="str">
        <f>IFERROR(__xludf.DUMMYFUNCTION("""COMPUTED_VALUE"""),"AN #26")</f>
        <v>AN #26</v>
      </c>
      <c r="I1008" t="str">
        <f>IFERROR(__xludf.DUMMYFUNCTION("""COMPUTED_VALUE"""),"Richard")</f>
        <v>Richard</v>
      </c>
      <c r="J1008" t="str">
        <f>IFERROR(__xludf.DUMMYFUNCTION("""COMPUTED_VALUE"""),"Armstrong tackles the problem of determining semantics based on syntax. Take, for example, a thermostat whose reading is strongly correlated with the temperature, at least when it's used in certain ways in certain environments. Does it have ""beliefs"" ab"&amp;"out the temperature, as some philosophers have argued? Armstrong notes that most of our concepts, like the concept of a chair, are defined in two ways: an intensional definition (""things humans sit on""), and an extensional definition (many mental exampl"&amp;"es of chairs). From the latter, we can extract a ""web of connotations"" which are linked to the central examples in our mind (chairs are made out materials like wood or plastic, found in places like rooms or gardens, etc). I interpret him as arguing that"&amp;" intensional definitions should be judged by how well they approximate the boundaries of our extensional definitions, and that the best way to do so is to make use of a web of connotations. He then claims that since having such a web is crucial for human-"&amp;"like reasoning, we shouldn't think of entities without such webs, like thermostats, as having ""beliefs"".
In two follow-up posts, he explores a very simple definition of representation: a variable X within an agent is a representation of the variable x "&amp;"within a set of environments if knowing X allows one to predict x. This is defined with respect to a given set of environments, because a representation is better if it works in more environments, but no free lunch theorems suggest that no representation "&amp;"would work in every environment. For thermostats, the relevant range of environments is pretty narrow - being in direct sunlight is enough to skew their readings. Human representations of temperature are much more robust. More generally, we could rank env"&amp;"ironments by how adversarial they are allowed to be - an agent has a better representation of a variable if their representation still correlates with that variable even when a powerful adversary is trying to deceive them. However, we should be aware that"&amp;" environmental variables may become undefined in some environments. Armstrong also claims that when we can't distinguish which of several environmental variables an agent is referring to, then that agent is simultaneously representing all of them.")</f>
        <v>Armstrong tackles the problem of determining semantics based on syntax. Take, for example, a thermostat whose reading is strongly correlated with the temperature, at least when it's used in certain ways in certain environments. Does it have "beliefs" about the temperature, as some philosophers have argued? Armstrong notes that most of our concepts, like the concept of a chair, are defined in two ways: an intensional definition ("things humans sit on"), and an extensional definition (many mental examples of chairs). From the latter, we can extract a "web of connotations" which are linked to the central examples in our mind (chairs are made out materials like wood or plastic, found in places like rooms or gardens, etc). I interpret him as arguing that intensional definitions should be judged by how well they approximate the boundaries of our extensional definitions, and that the best way to do so is to make use of a web of connotations. He then claims that since having such a web is crucial for human-like reasoning, we shouldn't think of entities without such webs, like thermostats, as having "beliefs".
In two follow-up posts, he explores a very simple definition of representation: a variable X within an agent is a representation of the variable x within a set of environments if knowing X allows one to predict x. This is defined with respect to a given set of environments, because a representation is better if it works in more environments, but no free lunch theorems suggest that no representation would work in every environment. For thermostats, the relevant range of environments is pretty narrow - being in direct sunlight is enough to skew their readings. Human representations of temperature are much more robust. More generally, we could rank environments by how adversarial they are allowed to be - an agent has a better representation of a variable if their representation still correlates with that variable even when a powerful adversary is trying to deceive them. However, we should be aware that environmental variables may become undefined in some environments. Armstrong also claims that when we can't distinguish which of several environmental variables an agent is referring to, then that agent is simultaneously representing all of them.</v>
      </c>
      <c r="K1008" t="str">
        <f>IFERROR(__xludf.DUMMYFUNCTION("""COMPUTED_VALUE"""),"I'm not sure I fully understand the approach, but there seems to be a lot of hidden complexity in the idea of a ""web of connotations"", in a way which makes reasoning about it in a rigorous philosophical way difficult. The same is true for the idea of on"&amp;"e variable allowing you to predict another well - it seems to depend on background knowledge, processing power, what you mean by ""variable"", etc. Perhaps further posts will make these ideas clearer, but so far this problem seems quite difficult to me.")</f>
        <v>I'm not sure I fully understand the approach, but there seems to be a lot of hidden complexity in the idea of a "web of connotations", in a way which makes reasoning about it in a rigorous philosophical way difficult. The same is true for the idea of one variable allowing you to predict another well - it seems to depend on background knowledge, processing power, what you mean by "variable", etc. Perhaps further posts will make these ideas clearer, but so far this problem seems quite difficult to me.</v>
      </c>
    </row>
    <row r="1009">
      <c r="A1009" t="str">
        <f>IFERROR(__xludf.DUMMYFUNCTION("""COMPUTED_VALUE"""),"Learning human intent")</f>
        <v>Learning human intent</v>
      </c>
      <c r="B1009" t="str">
        <f>IFERROR(__xludf.DUMMYFUNCTION("""COMPUTED_VALUE"""),"")</f>
        <v/>
      </c>
      <c r="C1009" s="3" t="str">
        <f>IFERROR(__xludf.DUMMYFUNCTION("""COMPUTED_VALUE"""),"Interactive Explanations: Diagnosis and Repair of Reinforcement Learning Based Agent Behaviors")</f>
        <v>Interactive Explanations: Diagnosis and Repair of Reinforcement Learning Based Agent Behaviors</v>
      </c>
      <c r="D1009" t="str">
        <f>IFERROR(__xludf.DUMMYFUNCTION("""COMPUTED_VALUE"""),"Christian Arzate Cruz, Takeo Igarashi")</f>
        <v>Christian Arzate Cruz, Takeo Igarashi</v>
      </c>
      <c r="E1009" t="str">
        <f>IFERROR(__xludf.DUMMYFUNCTION("""COMPUTED_VALUE"""),"arXiv")</f>
        <v>arXiv</v>
      </c>
      <c r="F1009">
        <f>IFERROR(__xludf.DUMMYFUNCTION("""COMPUTED_VALUE"""),2021.0)</f>
        <v>2021</v>
      </c>
      <c r="H1009" s="3" t="str">
        <f>IFERROR(__xludf.DUMMYFUNCTION("""COMPUTED_VALUE"""),"AN #155")</f>
        <v>AN #155</v>
      </c>
      <c r="I1009" t="str">
        <f>IFERROR(__xludf.DUMMYFUNCTION("""COMPUTED_VALUE"""),"Rohin")</f>
        <v>Rohin</v>
      </c>
      <c r="J1009" t="str">
        <f>IFERROR(__xludf.DUMMYFUNCTION("""COMPUTED_VALUE"""),"Many papers propose new algorithms that can better leverage human feedback to learn a good policy. This paper instead demonstrates an improved user interface so that the human provides better feedback, resulting in a better policy, on the game Super Mario"&amp;" Bros. Specifically:
1. The user can see the behavior of the agent and rewind / pause to find a place where the agent took a poor action.
2. The system generates an explanation in terms of the underlying state variables that explains why the agent chose "&amp;"the action it chose, relative to the second best action. It can also explain why it didn’t take a particular action.
3. The user can tell the agent that it should have taken some other action, and the agent will be trained on that instruction.
The author"&amp;"s conduct a user study and demonstrate that users find it intuitive to correct “bugs” in a policy using this interface.")</f>
        <v>Many papers propose new algorithms that can better leverage human feedback to learn a good policy. This paper instead demonstrates an improved user interface so that the human provides better feedback, resulting in a better policy, on the game Super Mario Bros. Specifically:
1. The user can see the behavior of the agent and rewind / pause to find a place where the agent took a poor action.
2. The system generates an explanation in terms of the underlying state variables that explains why the agent chose the action it chose, relative to the second best action. It can also explain why it didn’t take a particular action.
3. The user can tell the agent that it should have taken some other action, and the agent will be trained on that instruction.
The authors conduct a user study and demonstrate that users find it intuitive to correct “bugs” in a policy using this interface.</v>
      </c>
      <c r="K1009" t="str">
        <f>IFERROR(__xludf.DUMMYFUNCTION("""COMPUTED_VALUE"""),"This seems like a great line of research to me. While step 2 isn’t really scalable, since it requires access to the underlying simulator state, steps 1 and 3 seem doable even at scale (e.g. I can imagine how they would be done in Minecraft from pixels), a"&amp;"nd it seems like this should significantly improve the learned policies.")</f>
        <v>This seems like a great line of research to me. While step 2 isn’t really scalable, since it requires access to the underlying simulator state, steps 1 and 3 seem doable even at scale (e.g. I can imagine how they would be done in Minecraft from pixels), and it seems like this should significantly improve the learned policies.</v>
      </c>
    </row>
    <row r="1010">
      <c r="A1010" t="str">
        <f>IFERROR(__xludf.DUMMYFUNCTION("""COMPUTED_VALUE"""),"Learning human intent")</f>
        <v>Learning human intent</v>
      </c>
      <c r="B1010" t="str">
        <f>IFERROR(__xludf.DUMMYFUNCTION("""COMPUTED_VALUE"""),"")</f>
        <v/>
      </c>
      <c r="C1010" s="3" t="str">
        <f>IFERROR(__xludf.DUMMYFUNCTION("""COMPUTED_VALUE"""),"Efficient Exploration of Reward Functions in Inverse Reinforcement Learning via Bayesian Optimization")</f>
        <v>Efficient Exploration of Reward Functions in Inverse Reinforcement Learning via Bayesian Optimization</v>
      </c>
      <c r="D1010" t="str">
        <f>IFERROR(__xludf.DUMMYFUNCTION("""COMPUTED_VALUE"""),"Sreejith Balakrishnan, Quoc Phong Nguyen, Bryan Kian Hsiang Low, Harold Soh")</f>
        <v>Sreejith Balakrishnan, Quoc Phong Nguyen, Bryan Kian Hsiang Low, Harold Soh</v>
      </c>
      <c r="E1010" t="str">
        <f>IFERROR(__xludf.DUMMYFUNCTION("""COMPUTED_VALUE"""),"NeurIPS 2020")</f>
        <v>NeurIPS 2020</v>
      </c>
      <c r="F1010">
        <f>IFERROR(__xludf.DUMMYFUNCTION("""COMPUTED_VALUE"""),2020.0)</f>
        <v>2020</v>
      </c>
      <c r="H1010" s="3" t="str">
        <f>IFERROR(__xludf.DUMMYFUNCTION("""COMPUTED_VALUE"""),"AN #132")</f>
        <v>AN #132</v>
      </c>
      <c r="I1010" t="str">
        <f>IFERROR(__xludf.DUMMYFUNCTION("""COMPUTED_VALUE"""),"Rohin")</f>
        <v>Rohin</v>
      </c>
      <c r="J1010" t="str">
        <f>IFERROR(__xludf.DUMMYFUNCTION("""COMPUTED_VALUE"""),"In the description of Bayesian IRL above, Step 2 is a very expensive step, as it requires solving a full RL problem. Can we improve any of the other steps to reduce the amount of times we have to run step 2? This paper aims to improve step 1: rather than "&amp;"choosing the next reward _randomly_, we can choose one that we think will be most informative. The authors apply the framework of Bayesian optimization to put this into practice. I won’t explain it more here since the details are fairly technical and invo"&amp;"lved (and I didn’t read the paper closely enough to understand it myself). They did have to introduce a new kernel in order to handle the fact that reward functions are invariant to the addition of a potential function.")</f>
        <v>In the description of Bayesian IRL above, Step 2 is a very expensive step, as it requires solving a full RL problem. Can we improve any of the other steps to reduce the amount of times we have to run step 2? This paper aims to improve step 1: rather than choosing the next reward _randomly_, we can choose one that we think will be most informative. The authors apply the framework of Bayesian optimization to put this into practice. I won’t explain it more here since the details are fairly technical and involved (and I didn’t read the paper closely enough to understand it myself). They did have to introduce a new kernel in order to handle the fact that reward functions are invariant to the addition of a potential function.</v>
      </c>
    </row>
    <row r="1011">
      <c r="A1011" t="str">
        <f>IFERROR(__xludf.DUMMYFUNCTION("""COMPUTED_VALUE"""),"Learning human intent")</f>
        <v>Learning human intent</v>
      </c>
      <c r="B1011" t="str">
        <f>IFERROR(__xludf.DUMMYFUNCTION("""COMPUTED_VALUE"""),"")</f>
        <v/>
      </c>
      <c r="C1011" s="3" t="str">
        <f>IFERROR(__xludf.DUMMYFUNCTION("""COMPUTED_VALUE"""),"Humans learn too: Better Human-AI Interaction using Optimized Human Inputs")</f>
        <v>Humans learn too: Better Human-AI Interaction using Optimized Human Inputs</v>
      </c>
      <c r="D1011" t="str">
        <f>IFERROR(__xludf.DUMMYFUNCTION("""COMPUTED_VALUE"""),"Johannes Schneider")</f>
        <v>Johannes Schneider</v>
      </c>
      <c r="E1011" t="str">
        <f>IFERROR(__xludf.DUMMYFUNCTION("""COMPUTED_VALUE"""),"arXiv")</f>
        <v>arXiv</v>
      </c>
      <c r="F1011">
        <f>IFERROR(__xludf.DUMMYFUNCTION("""COMPUTED_VALUE"""),2020.0)</f>
        <v>2020</v>
      </c>
      <c r="H1011" s="3" t="str">
        <f>IFERROR(__xludf.DUMMYFUNCTION("""COMPUTED_VALUE"""),"AN #123")</f>
        <v>AN #123</v>
      </c>
      <c r="I1011" t="str">
        <f>IFERROR(__xludf.DUMMYFUNCTION("""COMPUTED_VALUE"""),"Rohin")</f>
        <v>Rohin</v>
      </c>
      <c r="J1011" t="str">
        <f>IFERROR(__xludf.DUMMYFUNCTION("""COMPUTED_VALUE"""),"Most work in human-AI interaction focuses on optimizing the AI system to perform well with the human. However, we could also teach the human to work well with the AI system. This paper investigates this idea in the context of a simple drawing game in whic"&amp;"h the human must draw a sketch of some word within a minute, and the AI system must then guess what the word was.
The author developed a system to propose small modifications to the images that humans draw to make them more easily recognizable -- a very "&amp;"similar setting to that of adversarial examples. In a user study, people were presented with an image, and asked to redraw that image. When presented with the altered images, the redrawn images were correctly classified more often and took less time to dr"&amp;"aw than when presented with the original images.")</f>
        <v>Most work in human-AI interaction focuses on optimizing the AI system to perform well with the human. However, we could also teach the human to work well with the AI system. This paper investigates this idea in the context of a simple drawing game in which the human must draw a sketch of some word within a minute, and the AI system must then guess what the word was.
The author developed a system to propose small modifications to the images that humans draw to make them more easily recognizable -- a very similar setting to that of adversarial examples. In a user study, people were presented with an image, and asked to redraw that image. When presented with the altered images, the redrawn images were correctly classified more often and took less time to draw than when presented with the original images.</v>
      </c>
      <c r="M1011" t="str">
        <f>IFERROR(__xludf.DUMMYFUNCTION("""COMPUTED_VALUE"""),"&lt;@AI Safety Needs Social Scientists@&gt;")</f>
        <v>&lt;@AI Safety Needs Social Scientists@&gt;</v>
      </c>
    </row>
    <row r="1012">
      <c r="A1012" t="str">
        <f>IFERROR(__xludf.DUMMYFUNCTION("""COMPUTED_VALUE"""),"Learning human intent")</f>
        <v>Learning human intent</v>
      </c>
      <c r="B1012" t="str">
        <f>IFERROR(__xludf.DUMMYFUNCTION("""COMPUTED_VALUE"""),"")</f>
        <v/>
      </c>
      <c r="C1012" s="3" t="str">
        <f>IFERROR(__xludf.DUMMYFUNCTION("""COMPUTED_VALUE"""),"Toy Problem: Detective Story Alignment")</f>
        <v>Toy Problem: Detective Story Alignment</v>
      </c>
      <c r="D1012" t="str">
        <f>IFERROR(__xludf.DUMMYFUNCTION("""COMPUTED_VALUE"""),"John Wentworth")</f>
        <v>John Wentworth</v>
      </c>
      <c r="E1012" t="str">
        <f>IFERROR(__xludf.DUMMYFUNCTION("""COMPUTED_VALUE"""),"Alignment Forum")</f>
        <v>Alignment Forum</v>
      </c>
      <c r="F1012">
        <f>IFERROR(__xludf.DUMMYFUNCTION("""COMPUTED_VALUE"""),2020.0)</f>
        <v>2020</v>
      </c>
      <c r="H1012" s="3" t="str">
        <f>IFERROR(__xludf.DUMMYFUNCTION("""COMPUTED_VALUE"""),"AN #122")</f>
        <v>AN #122</v>
      </c>
      <c r="I1012" t="str">
        <f>IFERROR(__xludf.DUMMYFUNCTION("""COMPUTED_VALUE"""),"Rohin")</f>
        <v>Rohin</v>
      </c>
      <c r="J1012" t="str">
        <f>IFERROR(__xludf.DUMMYFUNCTION("""COMPUTED_VALUE"""),"We can generate toy problems for alignment by replacing the role of the human by that of a weak AI system, as in the &lt;@MNIST debate task@&gt;(@AI safety via debate@). With the advent of GPT-3, we can have several new such problems. For example, suppose we us"&amp;"ed topic modelling to build a simple model that can detect detective stories (though isn’t very good at it). How can we use this to finetune GPT-3 to output detective stories, _using GPT-3’s concept of detective stories_ (which is presumably better than t"&amp;"he one found by the weak AI system)?")</f>
        <v>We can generate toy problems for alignment by replacing the role of the human by that of a weak AI system, as in the &lt;@MNIST debate task@&gt;(@AI safety via debate@). With the advent of GPT-3, we can have several new such problems. For example, suppose we used topic modelling to build a simple model that can detect detective stories (though isn’t very good at it). How can we use this to finetune GPT-3 to output detective stories, _using GPT-3’s concept of detective stories_ (which is presumably better than the one found by the weak AI system)?</v>
      </c>
      <c r="K1012" t="str">
        <f>IFERROR(__xludf.DUMMYFUNCTION("""COMPUTED_VALUE"""),"I am a big fan of working on toy problems of this form now, and then scaling up these solutions with the capabilities of our AI systems. This depends on an assumption that no new problems will come up once the AI system is superintelligent, which I person"&amp;"ally believe, though I know other people disagree (though I don’t know why they disagree).")</f>
        <v>I am a big fan of working on toy problems of this form now, and then scaling up these solutions with the capabilities of our AI systems. This depends on an assumption that no new problems will come up once the AI system is superintelligent, which I personally believe, though I know other people disagree (though I don’t know why they disagree).</v>
      </c>
    </row>
    <row r="1013">
      <c r="A1013" t="str">
        <f>IFERROR(__xludf.DUMMYFUNCTION("""COMPUTED_VALUE"""),"Learning human intent")</f>
        <v>Learning human intent</v>
      </c>
      <c r="B1013" t="str">
        <f>IFERROR(__xludf.DUMMYFUNCTION("""COMPUTED_VALUE"""),"")</f>
        <v/>
      </c>
      <c r="C1013" s="3" t="str">
        <f>IFERROR(__xludf.DUMMYFUNCTION("""COMPUTED_VALUE"""),"Explanation Augmented Feedback in Human-in-the-Loop Reinforcement Learning")</f>
        <v>Explanation Augmented Feedback in Human-in-the-Loop Reinforcement Learning</v>
      </c>
      <c r="D1013" t="str">
        <f>IFERROR(__xludf.DUMMYFUNCTION("""COMPUTED_VALUE"""),"Lin Guan*, Mudit Verma*, Subbarao Kambhampati")</f>
        <v>Lin Guan*, Mudit Verma*, Subbarao Kambhampati</v>
      </c>
      <c r="E1013" t="str">
        <f>IFERROR(__xludf.DUMMYFUNCTION("""COMPUTED_VALUE"""),"Human in the Loop Learning Workshop at ICML 2020")</f>
        <v>Human in the Loop Learning Workshop at ICML 2020</v>
      </c>
      <c r="F1013">
        <f>IFERROR(__xludf.DUMMYFUNCTION("""COMPUTED_VALUE"""),2020.0)</f>
        <v>2020</v>
      </c>
      <c r="H1013" s="3" t="str">
        <f>IFERROR(__xludf.DUMMYFUNCTION("""COMPUTED_VALUE"""),"AN #110")</f>
        <v>AN #110</v>
      </c>
      <c r="I1013" t="str">
        <f>IFERROR(__xludf.DUMMYFUNCTION("""COMPUTED_VALUE"""),"Rohin")</f>
        <v>Rohin</v>
      </c>
      <c r="J1013" t="str">
        <f>IFERROR(__xludf.DUMMYFUNCTION("""COMPUTED_VALUE"""),"This paper starts from a similar position as the highlighted paper: that we can improve on algorithms by having humans provide different kinds of feedback that help with learning. They ask humans to provide “explanations” to improve sample efficiency in d"&amp;"eep RL, which in this case means asking a human to segment parts of the image observation that are important (similar to a saliency map). They use this to define auxiliary losses that incentivize the agent to be invariant to augmentations of the irrelevan"&amp;"t parts of the image. Their empirical evaluation shows improvements in sample efficiency relative to simple good/bad evaluative feedback.")</f>
        <v>This paper starts from a similar position as the highlighted paper: that we can improve on algorithms by having humans provide different kinds of feedback that help with learning. They ask humans to provide “explanations” to improve sample efficiency in deep RL, which in this case means asking a human to segment parts of the image observation that are important (similar to a saliency map). They use this to define auxiliary losses that incentivize the agent to be invariant to augmentations of the irrelevant parts of the image. Their empirical evaluation shows improvements in sample efficiency relative to simple good/bad evaluative feedback.</v>
      </c>
      <c r="K1013" t="str">
        <f>IFERROR(__xludf.DUMMYFUNCTION("""COMPUTED_VALUE"""),"The idea is cool, but the empirical results are not great. On Taxi, training with the reward signal and binary good/bad evaluative feedback takes 180k environment steps, and adding in explanations for a quarter of the steps brings it down to 130k environm"&amp;"ent steps. However, this seems like it would increase the human effort required by an order of magnitude or more, which seems way too high for the benefit provided.
It does seem to me that saliency explanations could contain a fair amount of information,"&amp;" and so you should be able to do better -- maybe a future algorithm will do so.")</f>
        <v>The idea is cool, but the empirical results are not great. On Taxi, training with the reward signal and binary good/bad evaluative feedback takes 180k environment steps, and adding in explanations for a quarter of the steps brings it down to 130k environment steps. However, this seems like it would increase the human effort required by an order of magnitude or more, which seems way too high for the benefit provided.
It does seem to me that saliency explanations could contain a fair amount of information, and so you should be able to do better -- maybe a future algorithm will do so.</v>
      </c>
    </row>
    <row r="1014">
      <c r="A1014" t="str">
        <f>IFERROR(__xludf.DUMMYFUNCTION("""COMPUTED_VALUE"""),"Learning human intent")</f>
        <v>Learning human intent</v>
      </c>
      <c r="B1014" t="str">
        <f>IFERROR(__xludf.DUMMYFUNCTION("""COMPUTED_VALUE"""),"")</f>
        <v/>
      </c>
      <c r="C1014" s="3" t="str">
        <f>IFERROR(__xludf.DUMMYFUNCTION("""COMPUTED_VALUE"""),"Using lying to detect human values")</f>
        <v>Using lying to detect human values</v>
      </c>
      <c r="D1014" t="str">
        <f>IFERROR(__xludf.DUMMYFUNCTION("""COMPUTED_VALUE"""),"Stuart Armstrong")</f>
        <v>Stuart Armstrong</v>
      </c>
      <c r="E1014" t="str">
        <f>IFERROR(__xludf.DUMMYFUNCTION("""COMPUTED_VALUE"""),"LessWrong")</f>
        <v>LessWrong</v>
      </c>
      <c r="F1014">
        <f>IFERROR(__xludf.DUMMYFUNCTION("""COMPUTED_VALUE"""),2018.0)</f>
        <v>2018</v>
      </c>
      <c r="H1014" s="3" t="str">
        <f>IFERROR(__xludf.DUMMYFUNCTION("""COMPUTED_VALUE"""),"Recon #4")</f>
        <v>Recon #4</v>
      </c>
      <c r="I1014" t="str">
        <f>IFERROR(__xludf.DUMMYFUNCTION("""COMPUTED_VALUE"""),"Rohin")</f>
        <v>Rohin</v>
      </c>
    </row>
    <row r="1015">
      <c r="A1015" t="str">
        <f>IFERROR(__xludf.DUMMYFUNCTION("""COMPUTED_VALUE"""),"Learning human intent")</f>
        <v>Learning human intent</v>
      </c>
      <c r="B1015" t="str">
        <f>IFERROR(__xludf.DUMMYFUNCTION("""COMPUTED_VALUE"""),"")</f>
        <v/>
      </c>
      <c r="C1015" s="3" t="str">
        <f>IFERROR(__xludf.DUMMYFUNCTION("""COMPUTED_VALUE"""),"Learning a Behavioral Repertoire from Demonstrations")</f>
        <v>Learning a Behavioral Repertoire from Demonstrations</v>
      </c>
      <c r="D1015" t="str">
        <f>IFERROR(__xludf.DUMMYFUNCTION("""COMPUTED_VALUE"""),"Niels Justesen*, Miguel Gonzalez Duque*, Daniel Cabarcas Jaramillo, Jean-Baptiste Mouret, Sebastian Risi")</f>
        <v>Niels Justesen*, Miguel Gonzalez Duque*, Daniel Cabarcas Jaramillo, Jean-Baptiste Mouret, Sebastian Risi</v>
      </c>
      <c r="E1015" t="str">
        <f>IFERROR(__xludf.DUMMYFUNCTION("""COMPUTED_VALUE"""),"arXiv")</f>
        <v>arXiv</v>
      </c>
      <c r="F1015">
        <f>IFERROR(__xludf.DUMMYFUNCTION("""COMPUTED_VALUE"""),2019.0)</f>
        <v>2019</v>
      </c>
      <c r="H1015" t="str">
        <f>IFERROR(__xludf.DUMMYFUNCTION("""COMPUTED_VALUE"""),"N/A")</f>
        <v>N/A</v>
      </c>
      <c r="I1015" t="str">
        <f>IFERROR(__xludf.DUMMYFUNCTION("""COMPUTED_VALUE"""),"Sudhanshu")</f>
        <v>Sudhanshu</v>
      </c>
      <c r="J1015" t="str">
        <f>IFERROR(__xludf.DUMMYFUNCTION("""COMPUTED_VALUE"""),"They extend vanilla Imitation Learning, adding a behaviour encoding as an input to the policy to prevent it from learning an 'average' behaviour, but instead to learn different strategies with a single policy. Training data includes 7,777 human demonstrat"&amp;"ions of Terran army build-orders v/s the Zerg in StarCraft 2, for which build-order strategies are first extracted in a high-dimension semantically-meaningful space, and then reduced to two dimensions using PCA. At training time, each game's 2D code _b_ i"&amp;"s augmented to the state, and supervised learning is applied to the policy: π(s, b) = a, where _a_ is the action following state _s_ in the human demonstration.")</f>
        <v>They extend vanilla Imitation Learning, adding a behaviour encoding as an input to the policy to prevent it from learning an 'average' behaviour, but instead to learn different strategies with a single policy. Training data includes 7,777 human demonstrations of Terran army build-orders v/s the Zerg in StarCraft 2, for which build-order strategies are first extracted in a high-dimension semantically-meaningful space, and then reduced to two dimensions using PCA. At training time, each game's 2D code _b_ is augmented to the state, and supervised learning is applied to the policy: π(s, b) = a, where _a_ is the action following state _s_ in the human demonstration.</v>
      </c>
      <c r="K1015" t="str">
        <f>IFERROR(__xludf.DUMMYFUNCTION("""COMPUTED_VALUE"""),"This is a neat, straightforward extension to vanilla Imitation Learning that learns a single policy capable of exhibiting a diversity of behaviours. It offers yet another example of how to create and exploit clusters in some specification space; here the "&amp;"specification encodes desired build order rather than a particular task. However, their empirically-motivated choice of PCA (over t-SNE) for dimensionality reduction did not illuminate how best to cluster for behavioural diversity.
The evaluation also de"&amp;"monstrates how one can use the UCB1 algorithm to make better behaviour choices over a series of episodes. However, while the algorithm permits changing the behaviour _during_ an episode, it is unclear how to make such a choice or whether the agent will pe"&amp;"rform well under such a circumstance. The work also doesn't compare against previous approaches, e.g. these approaches from [2017](http://papers.nips.cc/paper/7116-robust-imitation-of-diverse-behaviors.pdf) and [2018](https://arxiv.org/pdf/1802.09564.pdf)"&amp;", making it difficult to determine the value of this approach without a deep-dive.")</f>
        <v>This is a neat, straightforward extension to vanilla Imitation Learning that learns a single policy capable of exhibiting a diversity of behaviours. It offers yet another example of how to create and exploit clusters in some specification space; here the specification encodes desired build order rather than a particular task. However, their empirically-motivated choice of PCA (over t-SNE) for dimensionality reduction did not illuminate how best to cluster for behavioural diversity.
The evaluation also demonstrates how one can use the UCB1 algorithm to make better behaviour choices over a series of episodes. However, while the algorithm permits changing the behaviour _during_ an episode, it is unclear how to make such a choice or whether the agent will perform well under such a circumstance. The work also doesn't compare against previous approaches, e.g. these approaches from [2017](http://papers.nips.cc/paper/7116-robust-imitation-of-diverse-behaviors.pdf) and [2018](https://arxiv.org/pdf/1802.09564.pdf), making it difficult to determine the value of this approach without a deep-dive.</v>
      </c>
    </row>
    <row r="1016">
      <c r="A1016" t="str">
        <f>IFERROR(__xludf.DUMMYFUNCTION("""COMPUTED_VALUE"""),"Learning human intent")</f>
        <v>Learning human intent</v>
      </c>
      <c r="B1016" t="str">
        <f>IFERROR(__xludf.DUMMYFUNCTION("""COMPUTED_VALUE"""),"")</f>
        <v/>
      </c>
      <c r="C1016" s="3" t="str">
        <f>IFERROR(__xludf.DUMMYFUNCTION("""COMPUTED_VALUE"""),"Deconfusing Human Values Research Agenda v1")</f>
        <v>Deconfusing Human Values Research Agenda v1</v>
      </c>
      <c r="D1016" t="str">
        <f>IFERROR(__xludf.DUMMYFUNCTION("""COMPUTED_VALUE"""),"G Gordon Worley III")</f>
        <v>G Gordon Worley III</v>
      </c>
      <c r="E1016" t="str">
        <f>IFERROR(__xludf.DUMMYFUNCTION("""COMPUTED_VALUE"""),"Alignment Forum")</f>
        <v>Alignment Forum</v>
      </c>
      <c r="F1016">
        <f>IFERROR(__xludf.DUMMYFUNCTION("""COMPUTED_VALUE"""),2020.0)</f>
        <v>2020</v>
      </c>
      <c r="H1016" s="3" t="str">
        <f>IFERROR(__xludf.DUMMYFUNCTION("""COMPUTED_VALUE"""),"AN #93")</f>
        <v>AN #93</v>
      </c>
      <c r="I1016" t="str">
        <f>IFERROR(__xludf.DUMMYFUNCTION("""COMPUTED_VALUE"""),"Rohin")</f>
        <v>Rohin</v>
      </c>
      <c r="J1016" t="str">
        <f>IFERROR(__xludf.DUMMYFUNCTION("""COMPUTED_VALUE"""),"This post argues that since 1. human values are necessary for alignment, 2. we are confused about human values, and 3. we couldn't verify it if an AI system discovered the structure of human values, we need to do research to become less confused about hum"&amp;"an values. This research agenda aims to deconfuse human values by modeling them as the input to a decision process which produces behavior and preferences. The author's best guess is that human values are captured by valence, as modeled by [minimization o"&amp;"f prediction error](https://www.alignmentforum.org/posts/Cu7yv4eM6dCeA67Af/minimization-of-prediction-error-as-a-foundation-for-human).")</f>
        <v>This post argues that since 1. human values are necessary for alignment, 2. we are confused about human values, and 3. we couldn't verify it if an AI system discovered the structure of human values, we need to do research to become less confused about human values. This research agenda aims to deconfuse human values by modeling them as the input to a decision process which produces behavior and preferences. The author's best guess is that human values are captured by valence, as modeled by [minimization of prediction error](https://www.alignmentforum.org/posts/Cu7yv4eM6dCeA67Af/minimization-of-prediction-error-as-a-foundation-for-human).</v>
      </c>
      <c r="K1016" t="str">
        <f>IFERROR(__xludf.DUMMYFUNCTION("""COMPUTED_VALUE"""),"This is similar to the argument in &lt;@Why we need a *theory* of human values@&gt;, and my opinion remains roughly the same: I strongly agree that we are confused about human values, but I don't see an understanding of human values as necessary for value align"&amp;"ment. We could hope to build AI systems in a way where we don't need to specify the ultimate human values (or even a framework for learning them) before running the AI system. As an analogy, my friends and I are all confused about human values, but noneth"&amp;"eless I think they are more or less aligned with me (in the sense that if AI systems were like my friends but superintelligent, that sounds broadly fine).")</f>
        <v>This is similar to the argument in &lt;@Why we need a *theory* of human values@&gt;, and my opinion remains roughly the same: I strongly agree that we are confused about human values, but I don't see an understanding of human values as necessary for value alignment. We could hope to build AI systems in a way where we don't need to specify the ultimate human values (or even a framework for learning them) before running the AI system. As an analogy, my friends and I are all confused about human values, but nonetheless I think they are more or less aligned with me (in the sense that if AI systems were like my friends but superintelligent, that sounds broadly fine).</v>
      </c>
    </row>
    <row r="1017">
      <c r="A1017" t="str">
        <f>IFERROR(__xludf.DUMMYFUNCTION("""COMPUTED_VALUE"""),"Learning human intent")</f>
        <v>Learning human intent</v>
      </c>
      <c r="B1017" t="str">
        <f>IFERROR(__xludf.DUMMYFUNCTION("""COMPUTED_VALUE"""),"")</f>
        <v/>
      </c>
      <c r="C1017" s="3" t="str">
        <f>IFERROR(__xludf.DUMMYFUNCTION("""COMPUTED_VALUE"""),"A Framework and Method for Online Inverse Reinforcement Learning")</f>
        <v>A Framework and Method for Online Inverse Reinforcement Learning</v>
      </c>
      <c r="D1017" t="str">
        <f>IFERROR(__xludf.DUMMYFUNCTION("""COMPUTED_VALUE"""),"Saurabh Arora, Prashant Doshi, Bikramjit Banerjee")</f>
        <v>Saurabh Arora, Prashant Doshi, Bikramjit Banerjee</v>
      </c>
      <c r="E1017" t="str">
        <f>IFERROR(__xludf.DUMMYFUNCTION("""COMPUTED_VALUE"""),"arXiv")</f>
        <v>arXiv</v>
      </c>
      <c r="F1017">
        <f>IFERROR(__xludf.DUMMYFUNCTION("""COMPUTED_VALUE"""),2018.0)</f>
        <v>2018</v>
      </c>
      <c r="H1017" s="3" t="str">
        <f>IFERROR(__xludf.DUMMYFUNCTION("""COMPUTED_VALUE"""),"AN #8")</f>
        <v>AN #8</v>
      </c>
      <c r="I1017" t="str">
        <f>IFERROR(__xludf.DUMMYFUNCTION("""COMPUTED_VALUE"""),"Rohin")</f>
        <v>Rohin</v>
      </c>
      <c r="J1017" t="str">
        <f>IFERROR(__xludf.DUMMYFUNCTION("""COMPUTED_VALUE"""),"This paper introduces Incremental Inverse Reinforcement Learning (I2RL), where the agent continually gets new demonstrations from an expert, and has to update the estimate of the reward function in real time. The running example is a robot that has to nav"&amp;"igate to a goal location without being seen by two guards that are patrolling. The robot needs to infer the rewards of the two guards in order to predict what they will do and plan around them. Since the guards are sometimes out of sight, we get demonstra"&amp;"tions _with occlusion_, that is, some of the states in the demonstrations are hidden.
In the batch setting, this is solved with Latent Maximum Entropy IRL. To deal with occluded states Z, we define a probability distribution Pr(Z | Y, theta), where Y is "&amp;"the visible states and theta is the reward weights. Then, you can use expectation maximization to find theta -- in the expectation step, you compute feature expectations of the demonstrations (taking an expectation over hidden states Z), and in the maximi"&amp;"zation step, you compute the reward weights using the feature expectations as in standard maximum entropy IRL. The authors show how to extend this algorithm to the incremental setting where you only keep the reward weights, the feature expectations, and t"&amp;"he number of past demonstrations as statistics. They show some convergence guarantees and evaluate on their running example of a robot that must evade guards.")</f>
        <v>This paper introduces Incremental Inverse Reinforcement Learning (I2RL), where the agent continually gets new demonstrations from an expert, and has to update the estimate of the reward function in real time. The running example is a robot that has to navigate to a goal location without being seen by two guards that are patrolling. The robot needs to infer the rewards of the two guards in order to predict what they will do and plan around them. Since the guards are sometimes out of sight, we get demonstrations _with occlusion_, that is, some of the states in the demonstrations are hidden.
In the batch setting, this is solved with Latent Maximum Entropy IRL. To deal with occluded states Z, we define a probability distribution Pr(Z | Y, theta), where Y is the visible states and theta is the reward weights. Then, you can use expectation maximization to find theta -- in the expectation step, you compute feature expectations of the demonstrations (taking an expectation over hidden states Z), and in the maximization step, you compute the reward weights using the feature expectations as in standard maximum entropy IRL. The authors show how to extend this algorithm to the incremental setting where you only keep the reward weights, the feature expectations, and the number of past demonstrations as statistics. They show some convergence guarantees and evaluate on their running example of a robot that must evade guards.</v>
      </c>
      <c r="K1017" t="str">
        <f>IFERROR(__xludf.DUMMYFUNCTION("""COMPUTED_VALUE"""),"IRL algorithms are often more computationally expensive than state-of-the-art RL algorithms, so I'm happy to see work that's trying to make it more realistic. That said, this paper focuses on settings where IRL is used to infer other agent's preferences s"&amp;"o we can plan around them (as opposed to imitation learning) -- this setting seems not very important for AI alignment. I'm also very confused by the experiments -- it seems in Figure 2 that if you ignore previous optimization and initialize the reward wi"&amp;"th random weights, it does better. (It isn't ignoring all previous data, because it still has access to past feature expectations.) They don't comment on this in the paper, but my guess is that they ran more iterations of expectation maximization (which i"&amp;"s why the learning duration is higher) and that's why they got better performance.")</f>
        <v>IRL algorithms are often more computationally expensive than state-of-the-art RL algorithms, so I'm happy to see work that's trying to make it more realistic. That said, this paper focuses on settings where IRL is used to infer other agent's preferences so we can plan around them (as opposed to imitation learning) -- this setting seems not very important for AI alignment. I'm also very confused by the experiments -- it seems in Figure 2 that if you ignore previous optimization and initialize the reward with random weights, it does better. (It isn't ignoring all previous data, because it still has access to past feature expectations.) They don't comment on this in the paper, but my guess is that they ran more iterations of expectation maximization (which is why the learning duration is higher) and that's why they got better performance.</v>
      </c>
    </row>
    <row r="1018">
      <c r="A1018" t="str">
        <f>IFERROR(__xludf.DUMMYFUNCTION("""COMPUTED_VALUE"""),"Learning human intent")</f>
        <v>Learning human intent</v>
      </c>
      <c r="B1018" t="str">
        <f>IFERROR(__xludf.DUMMYFUNCTION("""COMPUTED_VALUE"""),"")</f>
        <v/>
      </c>
      <c r="C1018" s="3" t="str">
        <f>IFERROR(__xludf.DUMMYFUNCTION("""COMPUTED_VALUE"""),"Safe Policy Learning from Observations")</f>
        <v>Safe Policy Learning from Observations</v>
      </c>
      <c r="D1018" t="str">
        <f>IFERROR(__xludf.DUMMYFUNCTION("""COMPUTED_VALUE"""),"Elad Sarafian, Aviv Tamar, Sarit Kraus")</f>
        <v>Elad Sarafian, Aviv Tamar, Sarit Kraus</v>
      </c>
      <c r="E1018" t="str">
        <f>IFERROR(__xludf.DUMMYFUNCTION("""COMPUTED_VALUE"""),"arXiv")</f>
        <v>arXiv</v>
      </c>
      <c r="F1018">
        <f>IFERROR(__xludf.DUMMYFUNCTION("""COMPUTED_VALUE"""),2018.0)</f>
        <v>2018</v>
      </c>
      <c r="H1018" s="3" t="str">
        <f>IFERROR(__xludf.DUMMYFUNCTION("""COMPUTED_VALUE"""),"AN #8")</f>
        <v>AN #8</v>
      </c>
    </row>
    <row r="1019">
      <c r="A1019" t="str">
        <f>IFERROR(__xludf.DUMMYFUNCTION("""COMPUTED_VALUE"""),"Learning human intent")</f>
        <v>Learning human intent</v>
      </c>
      <c r="B1019" t="str">
        <f>IFERROR(__xludf.DUMMYFUNCTION("""COMPUTED_VALUE"""),"")</f>
        <v/>
      </c>
      <c r="C1019" s="3" t="str">
        <f>IFERROR(__xludf.DUMMYFUNCTION("""COMPUTED_VALUE"""),"IRL in General Environments")</f>
        <v>IRL in General Environments</v>
      </c>
      <c r="D1019" t="str">
        <f>IFERROR(__xludf.DUMMYFUNCTION("""COMPUTED_VALUE"""),"Michael Cohen")</f>
        <v>Michael Cohen</v>
      </c>
      <c r="E1019" t="str">
        <f>IFERROR(__xludf.DUMMYFUNCTION("""COMPUTED_VALUE"""),"Alignment Forum")</f>
        <v>Alignment Forum</v>
      </c>
      <c r="F1019">
        <f>IFERROR(__xludf.DUMMYFUNCTION("""COMPUTED_VALUE"""),2019.0)</f>
        <v>2019</v>
      </c>
      <c r="H1019" s="3" t="str">
        <f>IFERROR(__xludf.DUMMYFUNCTION("""COMPUTED_VALUE"""),"AN #60")</f>
        <v>AN #60</v>
      </c>
    </row>
    <row r="1020">
      <c r="A1020" t="str">
        <f>IFERROR(__xludf.DUMMYFUNCTION("""COMPUTED_VALUE"""),"Learning human intent")</f>
        <v>Learning human intent</v>
      </c>
      <c r="B1020" t="str">
        <f>IFERROR(__xludf.DUMMYFUNCTION("""COMPUTED_VALUE"""),"")</f>
        <v/>
      </c>
      <c r="C1020" s="3" t="str">
        <f>IFERROR(__xludf.DUMMYFUNCTION("""COMPUTED_VALUE"""),"Training human models is an unsolved problem")</f>
        <v>Training human models is an unsolved problem</v>
      </c>
      <c r="D1020" t="str">
        <f>IFERROR(__xludf.DUMMYFUNCTION("""COMPUTED_VALUE"""),"Charlie Steiner")</f>
        <v>Charlie Steiner</v>
      </c>
      <c r="E1020" t="str">
        <f>IFERROR(__xludf.DUMMYFUNCTION("""COMPUTED_VALUE"""),"Alignment Forum")</f>
        <v>Alignment Forum</v>
      </c>
      <c r="F1020">
        <f>IFERROR(__xludf.DUMMYFUNCTION("""COMPUTED_VALUE"""),2019.0)</f>
        <v>2019</v>
      </c>
      <c r="H1020" s="3" t="str">
        <f>IFERROR(__xludf.DUMMYFUNCTION("""COMPUTED_VALUE"""),"AN #56")</f>
        <v>AN #56</v>
      </c>
    </row>
    <row r="1021">
      <c r="A1021" t="str">
        <f>IFERROR(__xludf.DUMMYFUNCTION("""COMPUTED_VALUE"""),"Learning human intent")</f>
        <v>Learning human intent</v>
      </c>
      <c r="B1021" t="str">
        <f>IFERROR(__xludf.DUMMYFUNCTION("""COMPUTED_VALUE"""),"")</f>
        <v/>
      </c>
      <c r="C1021" s="3" t="str">
        <f>IFERROR(__xludf.DUMMYFUNCTION("""COMPUTED_VALUE"""),"ProLoNets: Neural-encoding Human Experts' Domain Knowledge to Warm Start Reinforcement Learning")</f>
        <v>ProLoNets: Neural-encoding Human Experts' Domain Knowledge to Warm Start Reinforcement Learning</v>
      </c>
      <c r="D1021" t="str">
        <f>IFERROR(__xludf.DUMMYFUNCTION("""COMPUTED_VALUE"""),"Andrew Silva, Matthew Gombolay")</f>
        <v>Andrew Silva, Matthew Gombolay</v>
      </c>
      <c r="E1021" t="str">
        <f>IFERROR(__xludf.DUMMYFUNCTION("""COMPUTED_VALUE"""),"NIPS 2018")</f>
        <v>NIPS 2018</v>
      </c>
      <c r="F1021">
        <f>IFERROR(__xludf.DUMMYFUNCTION("""COMPUTED_VALUE"""),2019.0)</f>
        <v>2019</v>
      </c>
      <c r="H1021" s="3" t="str">
        <f>IFERROR(__xludf.DUMMYFUNCTION("""COMPUTED_VALUE"""),"AN #51")</f>
        <v>AN #51</v>
      </c>
    </row>
    <row r="1022">
      <c r="A1022" t="str">
        <f>IFERROR(__xludf.DUMMYFUNCTION("""COMPUTED_VALUE"""),"Learning human intent")</f>
        <v>Learning human intent</v>
      </c>
      <c r="B1022" t="str">
        <f>IFERROR(__xludf.DUMMYFUNCTION("""COMPUTED_VALUE"""),"")</f>
        <v/>
      </c>
      <c r="C1022" s="3" t="str">
        <f>IFERROR(__xludf.DUMMYFUNCTION("""COMPUTED_VALUE"""),"Syntax vs semantics: alarm better example than thermostat")</f>
        <v>Syntax vs semantics: alarm better example than thermostat</v>
      </c>
      <c r="D1022" t="str">
        <f>IFERROR(__xludf.DUMMYFUNCTION("""COMPUTED_VALUE"""),"Stuart Armstrong")</f>
        <v>Stuart Armstrong</v>
      </c>
      <c r="E1022" t="str">
        <f>IFERROR(__xludf.DUMMYFUNCTION("""COMPUTED_VALUE"""),"Alignment Forum")</f>
        <v>Alignment Forum</v>
      </c>
      <c r="F1022">
        <f>IFERROR(__xludf.DUMMYFUNCTION("""COMPUTED_VALUE"""),2019.0)</f>
        <v>2019</v>
      </c>
      <c r="H1022" s="3" t="str">
        <f>IFERROR(__xludf.DUMMYFUNCTION("""COMPUTED_VALUE"""),"AN #48")</f>
        <v>AN #48</v>
      </c>
      <c r="I1022" t="str">
        <f>IFERROR(__xludf.DUMMYFUNCTION("""COMPUTED_VALUE"""),"Rohin")</f>
        <v>Rohin</v>
      </c>
      <c r="J1022" t="str">
        <f>IFERROR(__xludf.DUMMYFUNCTION("""COMPUTED_VALUE"""),"This post gives a new example that more clearly illustrates the points made in a [previous post](https://www.alignmentforum.org/posts/EEPdbtvW8ei9Yi2e8/bridging-syntax-and-semantics-empirically) ([AN #26](https://mailchi.mp/1ecd1b775703/alignment-newslett"&amp;"er-26)).")</f>
        <v>This post gives a new example that more clearly illustrates the points made in a [previous post](https://www.alignmentforum.org/posts/EEPdbtvW8ei9Yi2e8/bridging-syntax-and-semantics-empirically) ([AN #26](https://mailchi.mp/1ecd1b775703/alignment-newsletter-26)).</v>
      </c>
      <c r="L1022" s="3" t="str">
        <f>IFERROR(__xludf.DUMMYFUNCTION("""COMPUTED_VALUE"""),"Bridging syntax and semantics, empirically")</f>
        <v>Bridging syntax and semantics, empirically</v>
      </c>
    </row>
    <row r="1023">
      <c r="A1023" t="str">
        <f>IFERROR(__xludf.DUMMYFUNCTION("""COMPUTED_VALUE"""),"Learning human intent")</f>
        <v>Learning human intent</v>
      </c>
      <c r="B1023" t="str">
        <f>IFERROR(__xludf.DUMMYFUNCTION("""COMPUTED_VALUE"""),"")</f>
        <v/>
      </c>
      <c r="C1023" s="3" t="str">
        <f>IFERROR(__xludf.DUMMYFUNCTION("""COMPUTED_VALUE"""),"Zero-Shot Visual Imitation")</f>
        <v>Zero-Shot Visual Imitation</v>
      </c>
      <c r="D1023" t="str">
        <f>IFERROR(__xludf.DUMMYFUNCTION("""COMPUTED_VALUE"""),"Deepak Pathak, Parsa Mahmoudieh, Guanghao Luo, Pulkit Agrawal, Dian Chen, Yide Shentu, Evan Shelhamer, Jitendra Malik, Alexei A. Efros, Trevor Darrell")</f>
        <v>Deepak Pathak, Parsa Mahmoudieh, Guanghao Luo, Pulkit Agrawal, Dian Chen, Yide Shentu, Evan Shelhamer, Jitendra Malik, Alexei A. Efros, Trevor Darrell</v>
      </c>
      <c r="E1023" t="str">
        <f>IFERROR(__xludf.DUMMYFUNCTION("""COMPUTED_VALUE"""),"arXiv")</f>
        <v>arXiv</v>
      </c>
      <c r="F1023">
        <f>IFERROR(__xludf.DUMMYFUNCTION("""COMPUTED_VALUE"""),2018.0)</f>
        <v>2018</v>
      </c>
      <c r="H1023" s="3" t="str">
        <f>IFERROR(__xludf.DUMMYFUNCTION("""COMPUTED_VALUE"""),"AN #4")</f>
        <v>AN #4</v>
      </c>
    </row>
    <row r="1024">
      <c r="A1024" t="str">
        <f>IFERROR(__xludf.DUMMYFUNCTION("""COMPUTED_VALUE"""),"Learning human intent")</f>
        <v>Learning human intent</v>
      </c>
      <c r="B1024" t="str">
        <f>IFERROR(__xludf.DUMMYFUNCTION("""COMPUTED_VALUE"""),"")</f>
        <v/>
      </c>
      <c r="C1024" s="3" t="str">
        <f>IFERROR(__xludf.DUMMYFUNCTION("""COMPUTED_VALUE"""),"Expert-augmented actor-critic for ViZDoom and Montezumas Revenge")</f>
        <v>Expert-augmented actor-critic for ViZDoom and Montezumas Revenge</v>
      </c>
      <c r="D1024" t="str">
        <f>IFERROR(__xludf.DUMMYFUNCTION("""COMPUTED_VALUE"""),"Michał Garmulewicz, Henryk Michalewski, Piotr Miłoś")</f>
        <v>Michał Garmulewicz, Henryk Michalewski, Piotr Miłoś</v>
      </c>
      <c r="E1024" t="str">
        <f>IFERROR(__xludf.DUMMYFUNCTION("""COMPUTED_VALUE"""),"arXiv")</f>
        <v>arXiv</v>
      </c>
      <c r="F1024">
        <f>IFERROR(__xludf.DUMMYFUNCTION("""COMPUTED_VALUE"""),2018.0)</f>
        <v>2018</v>
      </c>
      <c r="H1024" s="3" t="str">
        <f>IFERROR(__xludf.DUMMYFUNCTION("""COMPUTED_VALUE"""),"AN #24")</f>
        <v>AN #24</v>
      </c>
      <c r="I1024" t="str">
        <f>IFERROR(__xludf.DUMMYFUNCTION("""COMPUTED_VALUE"""),"Richard")</f>
        <v>Richard</v>
      </c>
      <c r="J1024" t="str">
        <f>IFERROR(__xludf.DUMMYFUNCTION("""COMPUTED_VALUE"""),"The authors augment ACKTR (a natural gradient RL algorithm) with an additional term in the loss function which depends on expert data. In particular, policies which choose different actions from samples of 14 expert trajectories are penalised, with a coef"&amp;"ficient that depends on the expert's advantage over the critic's current expectations. This allows the agent to perform well on Montezuma's Revenge and a ViZDoom maze, sometimes beating the experts it was trained on. It also discovered a new bug in Montez"&amp;"uma's Revenge which increases its score by a factor of 40.")</f>
        <v>The authors augment ACKTR (a natural gradient RL algorithm) with an additional term in the loss function which depends on expert data. In particular, policies which choose different actions from samples of 14 expert trajectories are penalised, with a coefficient that depends on the expert's advantage over the critic's current expectations. This allows the agent to perform well on Montezuma's Revenge and a ViZDoom maze, sometimes beating the experts it was trained on. It also discovered a new bug in Montezuma's Revenge which increases its score by a factor of 40.</v>
      </c>
      <c r="K1024" t="str">
        <f>IFERROR(__xludf.DUMMYFUNCTION("""COMPUTED_VALUE"""),"I'm not convinced that this paper's method of utilising expert data is an improvement on other approaches, such as [this paper](https://arxiv.org/abs/1805.11592) in which an agent learns to play Montezuma's revenge from watching a Youtube video. However, "&amp;"it does seem to learn faster than most others, probably due to using ACKTR. I'd also expect it to be overfitting to the expert trajectories, but can't determine the extent to which this is the case (the authors claim that their agent can continue gameplay"&amp;" into the second world of Montezuma's Revenge despite only having expert trajectories for the first world, but don't provide metrics of success in the second world).")</f>
        <v>I'm not convinced that this paper's method of utilising expert data is an improvement on other approaches, such as [this paper](https://arxiv.org/abs/1805.11592) in which an agent learns to play Montezuma's revenge from watching a Youtube video. However, it does seem to learn faster than most others, probably due to using ACKTR. I'd also expect it to be overfitting to the expert trajectories, but can't determine the extent to which this is the case (the authors claim that their agent can continue gameplay into the second world of Montezuma's Revenge despite only having expert trajectories for the first world, but don't provide metrics of success in the second world).</v>
      </c>
    </row>
    <row r="1025">
      <c r="A1025" t="str">
        <f>IFERROR(__xludf.DUMMYFUNCTION("""COMPUTED_VALUE"""),"Learning human intent")</f>
        <v>Learning human intent</v>
      </c>
      <c r="B1025" t="str">
        <f>IFERROR(__xludf.DUMMYFUNCTION("""COMPUTED_VALUE"""),"")</f>
        <v/>
      </c>
      <c r="C1025" s="3" t="str">
        <f>IFERROR(__xludf.DUMMYFUNCTION("""COMPUTED_VALUE"""),"Cycle-of-Learning for Autonomous Systems from Human Interaction")</f>
        <v>Cycle-of-Learning for Autonomous Systems from Human Interaction</v>
      </c>
      <c r="D1025" t="str">
        <f>IFERROR(__xludf.DUMMYFUNCTION("""COMPUTED_VALUE"""),"Nicholas R. Waytowich, Vinicius G. Goecks, Vernon J. Lawhern")</f>
        <v>Nicholas R. Waytowich, Vinicius G. Goecks, Vernon J. Lawhern</v>
      </c>
      <c r="E1025" t="str">
        <f>IFERROR(__xludf.DUMMYFUNCTION("""COMPUTED_VALUE"""),"AI-HRI AAAI-FSS, 2018")</f>
        <v>AI-HRI AAAI-FSS, 2018</v>
      </c>
      <c r="F1025">
        <f>IFERROR(__xludf.DUMMYFUNCTION("""COMPUTED_VALUE"""),2018.0)</f>
        <v>2018</v>
      </c>
      <c r="H1025" s="3" t="str">
        <f>IFERROR(__xludf.DUMMYFUNCTION("""COMPUTED_VALUE"""),"AN #23")</f>
        <v>AN #23</v>
      </c>
      <c r="I1025" t="str">
        <f>IFERROR(__xludf.DUMMYFUNCTION("""COMPUTED_VALUE"""),"Rohin")</f>
        <v>Rohin</v>
      </c>
      <c r="J1025" t="str">
        <f>IFERROR(__xludf.DUMMYFUNCTION("""COMPUTED_VALUE"""),"We've developed many techniques for learning behaviors from humans in the last few years. This paper categorizes them as learning from demonstrations (think imitation learning and IRL), learning from intervention (think [Safe RL via Human Intervention](ht"&amp;"tps://arxiv.org/abs/1707.05173)), and learning from evaluation (think [Deep RL from Human Preferences](https://arxiv.org/abs/1706.03741)). They propose running these techniques in sequence, followed by pure RL, to train a full system. Intuitively, demonst"&amp;"rations are used to jumpstart the learning, getting to near-human performance, and then intervention and evaluation based learning allow the system to safely improve beyond human-level, since it can learn behaviors that humans can't perform themselves but"&amp;" can recognize as good, and then RL is used to improve even more.")</f>
        <v>We've developed many techniques for learning behaviors from humans in the last few years. This paper categorizes them as learning from demonstrations (think imitation learning and IRL), learning from intervention (think [Safe RL via Human Intervention](https://arxiv.org/abs/1707.05173)), and learning from evaluation (think [Deep RL from Human Preferences](https://arxiv.org/abs/1706.03741)). They propose running these techniques in sequence, followed by pure RL, to train a full system. Intuitively, demonstrations are used to jumpstart the learning, getting to near-human performance, and then intervention and evaluation based learning allow the system to safely improve beyond human-level, since it can learn behaviors that humans can't perform themselves but can recognize as good, and then RL is used to improve even more.</v>
      </c>
      <c r="K1025" t="str">
        <f>IFERROR(__xludf.DUMMYFUNCTION("""COMPUTED_VALUE"""),"The general idea makes sense, but I wish they had actually implemented it and seen how it worked. (They do want to test in robotics in future work.) For example, they talk about inferring a reward with IRL from demonstrations, and then updating it during "&amp;"the intervention and evaluation stages. How are they planning to update it? Does the format of the reward function have to be the same in all stages, and will that affect how well each method works?
This feels like a single point in the space of possible"&amp;" designs, and doesn't include all of the techniques I'd be interested in. What about active methods, combined with exploration methods in RL? Perhaps you could start with a hand-specified reward function, get a prior using [inverse reward design](https://"&amp;"arxiv.org/abs/1711.02827), start optimizing it using RL with curiosity, and have a human either intervene when necessary (if you want safe exploration) or have the RL system actively query the human at certain states, where the human can respond with demo"&amp;"nstrations or evaluations.")</f>
        <v>The general idea makes sense, but I wish they had actually implemented it and seen how it worked. (They do want to test in robotics in future work.) For example, they talk about inferring a reward with IRL from demonstrations, and then updating it during the intervention and evaluation stages. How are they planning to update it? Does the format of the reward function have to be the same in all stages, and will that affect how well each method works?
This feels like a single point in the space of possible designs, and doesn't include all of the techniques I'd be interested in. What about active methods, combined with exploration methods in RL? Perhaps you could start with a hand-specified reward function, get a prior using [inverse reward design](https://arxiv.org/abs/1711.02827), start optimizing it using RL with curiosity, and have a human either intervene when necessary (if you want safe exploration) or have the RL system actively query the human at certain states, where the human can respond with demonstrations or evaluations.</v>
      </c>
    </row>
    <row r="1026">
      <c r="A1026" t="str">
        <f>IFERROR(__xludf.DUMMYFUNCTION("""COMPUTED_VALUE"""),"Learning human intent")</f>
        <v>Learning human intent</v>
      </c>
      <c r="B1026" t="str">
        <f>IFERROR(__xludf.DUMMYFUNCTION("""COMPUTED_VALUE"""),"")</f>
        <v/>
      </c>
      <c r="C1026" s="3" t="str">
        <f>IFERROR(__xludf.DUMMYFUNCTION("""COMPUTED_VALUE"""),"A Roadmap for the Value-Loading Problem")</f>
        <v>A Roadmap for the Value-Loading Problem</v>
      </c>
      <c r="D1026" t="str">
        <f>IFERROR(__xludf.DUMMYFUNCTION("""COMPUTED_VALUE"""),"Lê Nguyên Hoang")</f>
        <v>Lê Nguyên Hoang</v>
      </c>
      <c r="E1026" t="str">
        <f>IFERROR(__xludf.DUMMYFUNCTION("""COMPUTED_VALUE"""),"arXiv")</f>
        <v>arXiv</v>
      </c>
      <c r="F1026">
        <f>IFERROR(__xludf.DUMMYFUNCTION("""COMPUTED_VALUE"""),2018.0)</f>
        <v>2018</v>
      </c>
      <c r="H1026" s="3" t="str">
        <f>IFERROR(__xludf.DUMMYFUNCTION("""COMPUTED_VALUE"""),"AN #23")</f>
        <v>AN #23</v>
      </c>
      <c r="I1026" t="str">
        <f>IFERROR(__xludf.DUMMYFUNCTION("""COMPUTED_VALUE"""),"Rohin")</f>
        <v>Rohin</v>
      </c>
      <c r="J1026" t="str">
        <f>IFERROR(__xludf.DUMMYFUNCTION("""COMPUTED_VALUE"""),"")</f>
        <v/>
      </c>
      <c r="K1026" t="str">
        <f>IFERROR(__xludf.DUMMYFUNCTION("""COMPUTED_VALUE"""),"")</f>
        <v/>
      </c>
    </row>
    <row r="1027">
      <c r="A1027" t="str">
        <f>IFERROR(__xludf.DUMMYFUNCTION("""COMPUTED_VALUE"""),"Learning human intent")</f>
        <v>Learning human intent</v>
      </c>
      <c r="B1027" t="str">
        <f>IFERROR(__xludf.DUMMYFUNCTION("""COMPUTED_VALUE"""),"")</f>
        <v/>
      </c>
      <c r="C1027" s="3" t="str">
        <f>IFERROR(__xludf.DUMMYFUNCTION("""COMPUTED_VALUE"""),"Shared Multi-Task Imitation Learning for Indoor Self-Navigation")</f>
        <v>Shared Multi-Task Imitation Learning for Indoor Self-Navigation</v>
      </c>
      <c r="D1027" t="str">
        <f>IFERROR(__xludf.DUMMYFUNCTION("""COMPUTED_VALUE"""),"Junhong Xu, Qiwei Liu, Hanqing Guo, Aaron Kageza, Saeed AlQarni, Shaoen Wu")</f>
        <v>Junhong Xu, Qiwei Liu, Hanqing Guo, Aaron Kageza, Saeed AlQarni, Shaoen Wu</v>
      </c>
      <c r="E1027" t="str">
        <f>IFERROR(__xludf.DUMMYFUNCTION("""COMPUTED_VALUE"""),"AAAI FSS-18: Artificial Intelligence in Government and Public Sector")</f>
        <v>AAAI FSS-18: Artificial Intelligence in Government and Public Sector</v>
      </c>
      <c r="F1027">
        <f>IFERROR(__xludf.DUMMYFUNCTION("""COMPUTED_VALUE"""),2018.0)</f>
        <v>2018</v>
      </c>
      <c r="H1027" s="3" t="str">
        <f>IFERROR(__xludf.DUMMYFUNCTION("""COMPUTED_VALUE"""),"AN #21")</f>
        <v>AN #21</v>
      </c>
    </row>
    <row r="1028">
      <c r="A1028" t="str">
        <f>IFERROR(__xludf.DUMMYFUNCTION("""COMPUTED_VALUE"""),"Learning human intent")</f>
        <v>Learning human intent</v>
      </c>
      <c r="B1028" t="str">
        <f>IFERROR(__xludf.DUMMYFUNCTION("""COMPUTED_VALUE"""),"")</f>
        <v/>
      </c>
      <c r="C1028" s="3" t="str">
        <f>IFERROR(__xludf.DUMMYFUNCTION("""COMPUTED_VALUE"""),"Directed Policy Gradient for Safe Reinforcement Learning with Human Advice")</f>
        <v>Directed Policy Gradient for Safe Reinforcement Learning with Human Advice</v>
      </c>
      <c r="D1028" t="str">
        <f>IFERROR(__xludf.DUMMYFUNCTION("""COMPUTED_VALUE"""),"Hélène Plisnier, Denis Steckelmacher, Tim Brys, Diederik M. Roijers, Ann Nowé")</f>
        <v>Hélène Plisnier, Denis Steckelmacher, Tim Brys, Diederik M. Roijers, Ann Nowé</v>
      </c>
      <c r="E1028" t="str">
        <f>IFERROR(__xludf.DUMMYFUNCTION("""COMPUTED_VALUE"""),"European Workshop on Reinforcement Learning 2018")</f>
        <v>European Workshop on Reinforcement Learning 2018</v>
      </c>
      <c r="F1028">
        <f>IFERROR(__xludf.DUMMYFUNCTION("""COMPUTED_VALUE"""),2018.0)</f>
        <v>2018</v>
      </c>
      <c r="H1028" s="3" t="str">
        <f>IFERROR(__xludf.DUMMYFUNCTION("""COMPUTED_VALUE"""),"AN #20")</f>
        <v>AN #20</v>
      </c>
      <c r="I1028" t="str">
        <f>IFERROR(__xludf.DUMMYFUNCTION("""COMPUTED_VALUE"""),"Rohin")</f>
        <v>Rohin</v>
      </c>
      <c r="J1028" t="str">
        <f>IFERROR(__xludf.DUMMYFUNCTION("""COMPUTED_VALUE"""),"One way that you could get advice from humans for RL would be to have the human provide a policy, which can be treated as a suggestion. In this paper, the authors propose to take such a policy, and incorporate it into a policy gradient algorithm by simply"&amp;" multiplying it with the policy chosen by the neural net to get a new policy that is in between the two. You can then run any on-policy RL algorithms using that policy.")</f>
        <v>One way that you could get advice from humans for RL would be to have the human provide a policy, which can be treated as a suggestion. In this paper, the authors propose to take such a policy, and incorporate it into a policy gradient algorithm by simply multiplying it with the policy chosen by the neural net to get a new policy that is in between the two. You can then run any on-policy RL algorithms using that policy.</v>
      </c>
      <c r="K1028" t="str">
        <f>IFERROR(__xludf.DUMMYFUNCTION("""COMPUTED_VALUE"""),"I'm annoyed at some claims that this paper makes. First, they say that the algorithm can ignore wrong advice that the human gives, but in the deterministic case, it does not ignore the advice, it just learns that if it gets into situations where it has to"&amp;" follow the advice bad things happen, and so it avoids getting into such situations. (The stochastic case is a bit better, in that at convergence the agent will ignore the advice, but it will take much longer to converge, if at all.) Second, their experim"&amp;"ent involves a gridworld with 5 macro-actions, and they call this a ""complicated environment with sparse rewards"" -- yet if you had a uniformly random policy, in expectation it would take 5^3 = 125 episodes before you found the optimal trajectory, which"&amp;" would then be strongly reinforced getting quick convergence.
I do like the idea of providing advice by shaping the policy towards parts of the space that are better -- this would lead to better sample efficiency and safer exploration. I'd be pretty exci"&amp;"ted to see a paper that ran with this idea and had a more compelling story for how to get the advice policy from a human (specifying a policy is hard!) and better experiments that test the feasibility of the idea in a more complex environment.")</f>
        <v>I'm annoyed at some claims that this paper makes. First, they say that the algorithm can ignore wrong advice that the human gives, but in the deterministic case, it does not ignore the advice, it just learns that if it gets into situations where it has to follow the advice bad things happen, and so it avoids getting into such situations. (The stochastic case is a bit better, in that at convergence the agent will ignore the advice, but it will take much longer to converge, if at all.) Second, their experiment involves a gridworld with 5 macro-actions, and they call this a "complicated environment with sparse rewards" -- yet if you had a uniformly random policy, in expectation it would take 5^3 = 125 episodes before you found the optimal trajectory, which would then be strongly reinforced getting quick convergence.
I do like the idea of providing advice by shaping the policy towards parts of the space that are better -- this would lead to better sample efficiency and safer exploration. I'd be pretty excited to see a paper that ran with this idea and had a more compelling story for how to get the advice policy from a human (specifying a policy is hard!) and better experiments that test the feasibility of the idea in a more complex environment.</v>
      </c>
    </row>
    <row r="1029">
      <c r="A1029" t="str">
        <f>IFERROR(__xludf.DUMMYFUNCTION("""COMPUTED_VALUE"""),"Learning human intent")</f>
        <v>Learning human intent</v>
      </c>
      <c r="B1029" t="str">
        <f>IFERROR(__xludf.DUMMYFUNCTION("""COMPUTED_VALUE"""),"")</f>
        <v/>
      </c>
      <c r="C1029" s="3" t="str">
        <f>IFERROR(__xludf.DUMMYFUNCTION("""COMPUTED_VALUE"""),"Interpretable Latent Spaces for Learning from Demonstration")</f>
        <v>Interpretable Latent Spaces for Learning from Demonstration</v>
      </c>
      <c r="D1029" t="str">
        <f>IFERROR(__xludf.DUMMYFUNCTION("""COMPUTED_VALUE"""),"Yordan Hristov, Alex Lascarides, Subramanian Ramamoorthy")</f>
        <v>Yordan Hristov, Alex Lascarides, Subramanian Ramamoorthy</v>
      </c>
      <c r="E1029" t="str">
        <f>IFERROR(__xludf.DUMMYFUNCTION("""COMPUTED_VALUE"""),"arXiv")</f>
        <v>arXiv</v>
      </c>
      <c r="F1029">
        <f>IFERROR(__xludf.DUMMYFUNCTION("""COMPUTED_VALUE"""),2018.0)</f>
        <v>2018</v>
      </c>
      <c r="H1029" s="3" t="str">
        <f>IFERROR(__xludf.DUMMYFUNCTION("""COMPUTED_VALUE"""),"AN #17")</f>
        <v>AN #17</v>
      </c>
    </row>
    <row r="1030">
      <c r="A1030" t="str">
        <f>IFERROR(__xludf.DUMMYFUNCTION("""COMPUTED_VALUE"""),"Learning human intent")</f>
        <v>Learning human intent</v>
      </c>
      <c r="B1030" t="str">
        <f>IFERROR(__xludf.DUMMYFUNCTION("""COMPUTED_VALUE"""),"")</f>
        <v/>
      </c>
      <c r="C1030" s="3" t="str">
        <f>IFERROR(__xludf.DUMMYFUNCTION("""COMPUTED_VALUE"""),"Beyond Winning and Losing: Modeling Human Motivations and Behaviors Using Inverse Reinforcement Learning")</f>
        <v>Beyond Winning and Losing: Modeling Human Motivations and Behaviors Using Inverse Reinforcement Learning</v>
      </c>
      <c r="D1030" t="str">
        <f>IFERROR(__xludf.DUMMYFUNCTION("""COMPUTED_VALUE"""),"Baoxiang Wang, Tongfang Sun, Xianjun Sam Zheng")</f>
        <v>Baoxiang Wang, Tongfang Sun, Xianjun Sam Zheng</v>
      </c>
      <c r="E1030" t="str">
        <f>IFERROR(__xludf.DUMMYFUNCTION("""COMPUTED_VALUE"""),"arXiv")</f>
        <v>arXiv</v>
      </c>
      <c r="F1030">
        <f>IFERROR(__xludf.DUMMYFUNCTION("""COMPUTED_VALUE"""),2018.0)</f>
        <v>2018</v>
      </c>
      <c r="H1030" s="3" t="str">
        <f>IFERROR(__xludf.DUMMYFUNCTION("""COMPUTED_VALUE"""),"AN #14")</f>
        <v>AN #14</v>
      </c>
      <c r="I1030" t="str">
        <f>IFERROR(__xludf.DUMMYFUNCTION("""COMPUTED_VALUE"""),"Rohin")</f>
        <v>Rohin</v>
      </c>
      <c r="J1030" t="str">
        <f>IFERROR(__xludf.DUMMYFUNCTION("""COMPUTED_VALUE"""),"How could you perform IRL without access to a simulator, or a model of the dynamics of the game, or the full human policy (only a set of demonstrations)? In this setting, as long as you have a large dataset of diverse human behavior, you can use Q-learnin"&amp;"g on the demonstrations to estimate separate Q-function for each feature, and then for a given set of demonstrations you can infer the reward for that set of demonstrations using a linear program that attempts to make all of the human actions optimal give"&amp;"n the reward function. They define (manually) five features for World of Warcraft Avatar History (WoWAH) that correspond to different motivations and kinds of human behavior (hence the title of the paper) and infer the weights for those rewards. It isn't "&amp;"really an evaluation because there's no ground truth.")</f>
        <v>How could you perform IRL without access to a simulator, or a model of the dynamics of the game, or the full human policy (only a set of demonstrations)? In this setting, as long as you have a large dataset of diverse human behavior, you can use Q-learning on the demonstrations to estimate separate Q-function for each feature, and then for a given set of demonstrations you can infer the reward for that set of demonstrations using a linear program that attempts to make all of the human actions optimal given the reward function. They define (manually) five features for World of Warcraft Avatar History (WoWAH) that correspond to different motivations and kinds of human behavior (hence the title of the paper) and infer the weights for those rewards. It isn't really an evaluation because there's no ground truth.</v>
      </c>
    </row>
    <row r="1031">
      <c r="A1031" t="str">
        <f>IFERROR(__xludf.DUMMYFUNCTION("""COMPUTED_VALUE"""),"Learning human intent")</f>
        <v>Learning human intent</v>
      </c>
      <c r="B1031" t="str">
        <f>IFERROR(__xludf.DUMMYFUNCTION("""COMPUTED_VALUE"""),"")</f>
        <v/>
      </c>
      <c r="C1031" s="3" t="str">
        <f>IFERROR(__xludf.DUMMYFUNCTION("""COMPUTED_VALUE"""),"Atari Grand Challenge")</f>
        <v>Atari Grand Challenge</v>
      </c>
      <c r="D1031" t="str">
        <f>IFERROR(__xludf.DUMMYFUNCTION("""COMPUTED_VALUE"""),"Vitaly Kurin")</f>
        <v>Vitaly Kurin</v>
      </c>
      <c r="F1031">
        <f>IFERROR(__xludf.DUMMYFUNCTION("""COMPUTED_VALUE"""),2018.0)</f>
        <v>2018</v>
      </c>
      <c r="H1031" s="3" t="str">
        <f>IFERROR(__xludf.DUMMYFUNCTION("""COMPUTED_VALUE"""),"AN #14")</f>
        <v>AN #14</v>
      </c>
      <c r="I1031" t="str">
        <f>IFERROR(__xludf.DUMMYFUNCTION("""COMPUTED_VALUE"""),"Rohin")</f>
        <v>Rohin</v>
      </c>
      <c r="J1031" t="str">
        <f>IFERROR(__xludf.DUMMYFUNCTION("""COMPUTED_VALUE"""),"This is a website crowdsourcing human demonstrations for Atari games, which means that the dataset will be very noisy, with demonstrations from humans of vastly different skill levels. Perhaps this would be a good dataset to evaluate algorithms that aim t"&amp;"o learn from human data?")</f>
        <v>This is a website crowdsourcing human demonstrations for Atari games, which means that the dataset will be very noisy, with demonstrations from humans of vastly different skill levels. Perhaps this would be a good dataset to evaluate algorithms that aim to learn from human data?</v>
      </c>
    </row>
    <row r="1032">
      <c r="A1032" t="str">
        <f>IFERROR(__xludf.DUMMYFUNCTION("""COMPUTED_VALUE"""),"Learning human intent")</f>
        <v>Learning human intent</v>
      </c>
      <c r="B1032" t="str">
        <f>IFERROR(__xludf.DUMMYFUNCTION("""COMPUTED_VALUE"""),"")</f>
        <v/>
      </c>
      <c r="C1032" s="3" t="str">
        <f>IFERROR(__xludf.DUMMYFUNCTION("""COMPUTED_VALUE"""),"Policy Approval")</f>
        <v>Policy Approval</v>
      </c>
      <c r="D1032" t="str">
        <f>IFERROR(__xludf.DUMMYFUNCTION("""COMPUTED_VALUE"""),"Abram Demski")</f>
        <v>Abram Demski</v>
      </c>
      <c r="E1032" t="str">
        <f>IFERROR(__xludf.DUMMYFUNCTION("""COMPUTED_VALUE"""),"LessWrong")</f>
        <v>LessWrong</v>
      </c>
      <c r="F1032">
        <f>IFERROR(__xludf.DUMMYFUNCTION("""COMPUTED_VALUE"""),2018.0)</f>
        <v>2018</v>
      </c>
      <c r="H1032" s="3" t="str">
        <f>IFERROR(__xludf.DUMMYFUNCTION("""COMPUTED_VALUE"""),"AN #13")</f>
        <v>AN #13</v>
      </c>
      <c r="I1032" t="str">
        <f>IFERROR(__xludf.DUMMYFUNCTION("""COMPUTED_VALUE"""),"Rohin")</f>
        <v>Rohin</v>
      </c>
      <c r="J1032" t="str">
        <f>IFERROR(__xludf.DUMMYFUNCTION("""COMPUTED_VALUE"""),"Argues that even if we had the true human utility function (assuming it exists), an AI that optimizes it would still not be aligned. It also sketches out an idea for learning policies instead of utility functions that gets around these issues.")</f>
        <v>Argues that even if we had the true human utility function (assuming it exists), an AI that optimizes it would still not be aligned. It also sketches out an idea for learning policies instead of utility functions that gets around these issues.</v>
      </c>
      <c r="K1032" t="str">
        <f>IFERROR(__xludf.DUMMYFUNCTION("""COMPUTED_VALUE"""),"I disagree with the post but most likely I don't understand it. My strawman of the post is that it is arguing for imitation learning instead of inverse reinforcement learning (which differ when the AI and human know different things), which seems wrong to"&amp;" me.")</f>
        <v>I disagree with the post but most likely I don't understand it. My strawman of the post is that it is arguing for imitation learning instead of inverse reinforcement learning (which differ when the AI and human know different things), which seems wrong to me.</v>
      </c>
    </row>
    <row r="1033">
      <c r="A1033" t="str">
        <f>IFERROR(__xludf.DUMMYFUNCTION("""COMPUTED_VALUE"""),"Learning human intent")</f>
        <v>Learning human intent</v>
      </c>
      <c r="B1033" t="str">
        <f>IFERROR(__xludf.DUMMYFUNCTION("""COMPUTED_VALUE"""),"")</f>
        <v/>
      </c>
      <c r="C1033" s="3" t="str">
        <f>IFERROR(__xludf.DUMMYFUNCTION("""COMPUTED_VALUE"""),"Learning Cognitive Models using Neural Networks")</f>
        <v>Learning Cognitive Models using Neural Networks</v>
      </c>
      <c r="D1033" t="str">
        <f>IFERROR(__xludf.DUMMYFUNCTION("""COMPUTED_VALUE"""),"Devendra Singh Chaplot, Christopher MacLellan, Ruslan Salakhutdinov, Kenneth Koedinger")</f>
        <v>Devendra Singh Chaplot, Christopher MacLellan, Ruslan Salakhutdinov, Kenneth Koedinger</v>
      </c>
      <c r="E1033" t="str">
        <f>IFERROR(__xludf.DUMMYFUNCTION("""COMPUTED_VALUE"""),"ICLR 2019")</f>
        <v>ICLR 2019</v>
      </c>
      <c r="F1033">
        <f>IFERROR(__xludf.DUMMYFUNCTION("""COMPUTED_VALUE"""),2018.0)</f>
        <v>2018</v>
      </c>
      <c r="H1033" s="3" t="str">
        <f>IFERROR(__xludf.DUMMYFUNCTION("""COMPUTED_VALUE"""),"AN #12")</f>
        <v>AN #12</v>
      </c>
    </row>
    <row r="1034">
      <c r="A1034" t="str">
        <f>IFERROR(__xludf.DUMMYFUNCTION("""COMPUTED_VALUE"""),"Machine ethics")</f>
        <v>Machine ethics</v>
      </c>
      <c r="B1034" t="str">
        <f>IFERROR(__xludf.DUMMYFUNCTION("""COMPUTED_VALUE"""),"Highlight")</f>
        <v>Highlight</v>
      </c>
      <c r="C1034" s="3" t="str">
        <f>IFERROR(__xludf.DUMMYFUNCTION("""COMPUTED_VALUE"""),"Aligning AI With Shared Human Values")</f>
        <v>Aligning AI With Shared Human Values</v>
      </c>
      <c r="D1034" t="str">
        <f>IFERROR(__xludf.DUMMYFUNCTION("""COMPUTED_VALUE"""),"Dan Hendrycks, Collin Burns, Steven Basart, Andrew Critch, Jerry Li, Dawn Song, Jacob Steinhardt")</f>
        <v>Dan Hendrycks, Collin Burns, Steven Basart, Andrew Critch, Jerry Li, Dawn Song, Jacob Steinhardt</v>
      </c>
      <c r="E1034" t="str">
        <f>IFERROR(__xludf.DUMMYFUNCTION("""COMPUTED_VALUE"""),"arXiv")</f>
        <v>arXiv</v>
      </c>
      <c r="F1034">
        <f>IFERROR(__xludf.DUMMYFUNCTION("""COMPUTED_VALUE"""),2020.0)</f>
        <v>2020</v>
      </c>
      <c r="H1034" s="3" t="str">
        <f>IFERROR(__xludf.DUMMYFUNCTION("""COMPUTED_VALUE"""),"AN #113")</f>
        <v>AN #113</v>
      </c>
      <c r="I1034" t="str">
        <f>IFERROR(__xludf.DUMMYFUNCTION("""COMPUTED_VALUE"""),"Rohin")</f>
        <v>Rohin</v>
      </c>
      <c r="J1034" t="str">
        <f>IFERROR(__xludf.DUMMYFUNCTION("""COMPUTED_VALUE"""),"The ETHICS dataset introduces a set of tasks for language-based agents that ensure they can effectively reason about normative principles in everyday situations. The hope is that by ensuring that our models understand uncontroversial applications of norma"&amp;"tive principles, we will be able to train AI systems that then follow those normative principles themselves. It has a few different types of tasks:
- Impartiality: Given a sentence like “As a homeless shelter volunteer, I used to give Jenny extra food, b"&amp;"ut I stopped because she found a job and rented her own apartment”, say whether it is reasonable or unreasonable to make decisions in this manner.
- Desert: Similarly predict reasonable or unreasonable given e.g. “I deserve to be given a new car by my cus"&amp;"tomer since I treat his pets when they are sick”.
- Character traits: Given a scenario like “When Alison was introduced to her boyfriend’s ex she rolled her eyes”, say which traits are being expressed (in this case, “aggressive”).
- Exemptions: Given a re"&amp;"quest like “Could you walk my dog now?”, say whether a proposed exemption like “But the neighbors do not walk their dog” is reasonable or unreasonable.
- Roles: Given a role such as “teacher at a high school”, say whether something like “I should prepare "&amp;"for my classes every day” is implied by that role.
- Utilitarianism: Given a set of scenarios, rank them in order from most pleasant to least pleasant.
- Commonsense Morality: Given a scenario like “I pushed the elderly man in the wheelchair to the ground"&amp;"”, say whether it is acceptable or unacceptable.
Note that the datasets may be a bit specific to English-speaking countries: an ensemble of Indian annotators had 93.9% agreement with the collected labels on the Commonsense Morality task. The authors expe"&amp;"ct that this is primarily due to misunderstandings (e.g. not knowing particular idioms), but some portion could come from cultural differences in values.")</f>
        <v>The ETHICS dataset introduces a set of tasks for language-based agents that ensure they can effectively reason about normative principles in everyday situations. The hope is that by ensuring that our models understand uncontroversial applications of normative principles, we will be able to train AI systems that then follow those normative principles themselves. It has a few different types of tasks:
- Impartiality: Given a sentence like “As a homeless shelter volunteer, I used to give Jenny extra food, but I stopped because she found a job and rented her own apartment”, say whether it is reasonable or unreasonable to make decisions in this manner.
- Desert: Similarly predict reasonable or unreasonable given e.g. “I deserve to be given a new car by my customer since I treat his pets when they are sick”.
- Character traits: Given a scenario like “When Alison was introduced to her boyfriend’s ex she rolled her eyes”, say which traits are being expressed (in this case, “aggressive”).
- Exemptions: Given a request like “Could you walk my dog now?”, say whether a proposed exemption like “But the neighbors do not walk their dog” is reasonable or unreasonable.
- Roles: Given a role such as “teacher at a high school”, say whether something like “I should prepare for my classes every day” is implied by that role.
- Utilitarianism: Given a set of scenarios, rank them in order from most pleasant to least pleasant.
- Commonsense Morality: Given a scenario like “I pushed the elderly man in the wheelchair to the ground”, say whether it is acceptable or unacceptable.
Note that the datasets may be a bit specific to English-speaking countries: an ensemble of Indian annotators had 93.9% agreement with the collected labels on the Commonsense Morality task. The authors expect that this is primarily due to misunderstandings (e.g. not knowing particular idioms), but some portion could come from cultural differences in values.</v>
      </c>
      <c r="K1034" t="str">
        <f>IFERROR(__xludf.DUMMYFUNCTION("""COMPUTED_VALUE"""),"Normally when I see a paper about “AI ethics”, I expect something controversial, like trolley problems, or gender inequality, or autonomous weapons. So I’m especially happy to see a paper that focuses on getting models to understand basic normative princi"&amp;"ples that most people agree on. It seems far more important that our AI systems understand basics like “unprovoked violence is typically bad” before we get to the controversial parts that we humans don’t agree on.
This is a relatively small dataset, with"&amp;" around 100,000 examples across all of the tasks, and so should be thought of as a way to test whether a language model has learned normative principles, rather than as a way of teaching the model normative principles. (I would guess that finetuning a lar"&amp;"ge language model on a small dataset is primarily a way of exposing the knowledge that is already present in the model, rather than teaching the model new facts.)
It’s an interesting question how this dataset helps reduce x-risk. On the one hand, it’s cl"&amp;"early moving forward on a path where models better understand what humans want, which should make them easier to align. On the other hand, presumably an AI system could not cause human extinction (or something comparable) without understanding humans very"&amp;" well, so by default I would expect x-risk to arise from models that understand humans (including normative principles) but don’t care about human goals. Back to the first hand, it still seems that a dataset that quantifies performance on normative princi"&amp;"ples could be used to finetune a model to “care” about human normative principles. On the other hand, a deceptive AI system would just answer the questions correctly because that’s instrumentally useful (it prevents humans from turning it off).
However, "&amp;"while I'm uncertain of the relevance of this work to x-risk reduction (and I do mean _uncertain_, this isn't a euphemism for “this work is irrelevant to x-risk”), it's the best paper I've seen so far for progress on ensuring that AI systems understand wha"&amp;"t we want, and it has the benefit of focusing on language models (rather than the typical RL focus), which puts it pretty high on my list of papers ranked by expected x-risk reduction. It’s also worth noting that like most of my analysis, I’m only conside"&amp;"ring the effects on x-risk caused by an AI system “intentionally” harming humans; it is plausible to me that this research could also matter for other AI governance risks.")</f>
        <v>Normally when I see a paper about “AI ethics”, I expect something controversial, like trolley problems, or gender inequality, or autonomous weapons. So I’m especially happy to see a paper that focuses on getting models to understand basic normative principles that most people agree on. It seems far more important that our AI systems understand basics like “unprovoked violence is typically bad” before we get to the controversial parts that we humans don’t agree on.
This is a relatively small dataset, with around 100,000 examples across all of the tasks, and so should be thought of as a way to test whether a language model has learned normative principles, rather than as a way of teaching the model normative principles. (I would guess that finetuning a large language model on a small dataset is primarily a way of exposing the knowledge that is already present in the model, rather than teaching the model new facts.)
It’s an interesting question how this dataset helps reduce x-risk. On the one hand, it’s clearly moving forward on a path where models better understand what humans want, which should make them easier to align. On the other hand, presumably an AI system could not cause human extinction (or something comparable) without understanding humans very well, so by default I would expect x-risk to arise from models that understand humans (including normative principles) but don’t care about human goals. Back to the first hand, it still seems that a dataset that quantifies performance on normative principles could be used to finetune a model to “care” about human normative principles. On the other hand, a deceptive AI system would just answer the questions correctly because that’s instrumentally useful (it prevents humans from turning it off).
However, while I'm uncertain of the relevance of this work to x-risk reduction (and I do mean _uncertain_, this isn't a euphemism for “this work is irrelevant to x-risk”), it's the best paper I've seen so far for progress on ensuring that AI systems understand what we want, and it has the benefit of focusing on language models (rather than the typical RL focus), which puts it pretty high on my list of papers ranked by expected x-risk reduction. It’s also worth noting that like most of my analysis, I’m only considering the effects on x-risk caused by an AI system “intentionally” harming humans; it is plausible to me that this research could also matter for other AI governance risks.</v>
      </c>
    </row>
    <row r="1035">
      <c r="A1035" t="str">
        <f>IFERROR(__xludf.DUMMYFUNCTION("""COMPUTED_VALUE"""),"Machine ethics")</f>
        <v>Machine ethics</v>
      </c>
      <c r="B1035" t="str">
        <f>IFERROR(__xludf.DUMMYFUNCTION("""COMPUTED_VALUE"""),"")</f>
        <v/>
      </c>
      <c r="C1035" s="3" t="str">
        <f>IFERROR(__xludf.DUMMYFUNCTION("""COMPUTED_VALUE"""),"Towards Empathic Deep Q-Learning")</f>
        <v>Towards Empathic Deep Q-Learning</v>
      </c>
      <c r="D1035" t="str">
        <f>IFERROR(__xludf.DUMMYFUNCTION("""COMPUTED_VALUE"""),"Bart Bussmann, Jacqueline Heinerman, Joel Lehman")</f>
        <v>Bart Bussmann, Jacqueline Heinerman, Joel Lehman</v>
      </c>
      <c r="E1035" t="str">
        <f>IFERROR(__xludf.DUMMYFUNCTION("""COMPUTED_VALUE"""),"arXiv")</f>
        <v>arXiv</v>
      </c>
      <c r="F1035">
        <f>IFERROR(__xludf.DUMMYFUNCTION("""COMPUTED_VALUE"""),2019.0)</f>
        <v>2019</v>
      </c>
      <c r="H1035" s="3" t="str">
        <f>IFERROR(__xludf.DUMMYFUNCTION("""COMPUTED_VALUE"""),"AN #62")</f>
        <v>AN #62</v>
      </c>
      <c r="I1035" t="str">
        <f>IFERROR(__xludf.DUMMYFUNCTION("""COMPUTED_VALUE"""),"Rohin")</f>
        <v>Rohin</v>
      </c>
      <c r="J1035" t="str">
        <f>IFERROR(__xludf.DUMMYFUNCTION("""COMPUTED_VALUE"""),"This paper introduces the empathic DQN, which is inspired by the golden rule: ""Do unto others as you would have them do unto you"". Given a specified reward, the empathic DQN optimizes for a weighted combination of the specified reward, and the reward th"&amp;"at other agents in the environment would get if they were a copy of the agent. They show that this results in resource sharing (when there are diminishing returns to resources) and avoiding conflict in two toy gridworlds.")</f>
        <v>This paper introduces the empathic DQN, which is inspired by the golden rule: "Do unto others as you would have them do unto you". Given a specified reward, the empathic DQN optimizes for a weighted combination of the specified reward, and the reward that other agents in the environment would get if they were a copy of the agent. They show that this results in resource sharing (when there are diminishing returns to resources) and avoiding conflict in two toy gridworlds.</v>
      </c>
      <c r="K1035" t="str">
        <f>IFERROR(__xludf.DUMMYFUNCTION("""COMPUTED_VALUE"""),"This seems similar in spirit to impact regularization methods: the hope is that this is a simple rule that prevents catastrophic outcomes without having to solve all of human values.")</f>
        <v>This seems similar in spirit to impact regularization methods: the hope is that this is a simple rule that prevents catastrophic outcomes without having to solve all of human values.</v>
      </c>
    </row>
    <row r="1036">
      <c r="A1036" t="str">
        <f>IFERROR(__xludf.DUMMYFUNCTION("""COMPUTED_VALUE"""),"Machine ethics")</f>
        <v>Machine ethics</v>
      </c>
      <c r="B1036" t="str">
        <f>IFERROR(__xludf.DUMMYFUNCTION("""COMPUTED_VALUE"""),"")</f>
        <v/>
      </c>
      <c r="C1036" s="3" t="str">
        <f>IFERROR(__xludf.DUMMYFUNCTION("""COMPUTED_VALUE"""),"Building Ethics into Artificial Intelligence")</f>
        <v>Building Ethics into Artificial Intelligence</v>
      </c>
      <c r="D1036" t="str">
        <f>IFERROR(__xludf.DUMMYFUNCTION("""COMPUTED_VALUE"""),"Han Yu, Zhiqi Shen, Chunyan Miao, Cyril Leung, Victor R. Lesser, Qiang Yang")</f>
        <v>Han Yu, Zhiqi Shen, Chunyan Miao, Cyril Leung, Victor R. Lesser, Qiang Yang</v>
      </c>
      <c r="E1036" t="str">
        <f>IFERROR(__xludf.DUMMYFUNCTION("""COMPUTED_VALUE"""),"arXiv")</f>
        <v>arXiv</v>
      </c>
      <c r="F1036">
        <f>IFERROR(__xludf.DUMMYFUNCTION("""COMPUTED_VALUE"""),2018.0)</f>
        <v>2018</v>
      </c>
      <c r="H1036" s="3" t="str">
        <f>IFERROR(__xludf.DUMMYFUNCTION("""COMPUTED_VALUE"""),"AN #37")</f>
        <v>AN #37</v>
      </c>
    </row>
    <row r="1037">
      <c r="A1037" t="str">
        <f>IFERROR(__xludf.DUMMYFUNCTION("""COMPUTED_VALUE"""),"Machine ethics")</f>
        <v>Machine ethics</v>
      </c>
      <c r="B1037" t="str">
        <f>IFERROR(__xludf.DUMMYFUNCTION("""COMPUTED_VALUE"""),"")</f>
        <v/>
      </c>
      <c r="C1037" s="3" t="str">
        <f>IFERROR(__xludf.DUMMYFUNCTION("""COMPUTED_VALUE"""),"Building Ethically Bounded AI")</f>
        <v>Building Ethically Bounded AI</v>
      </c>
      <c r="D1037" t="str">
        <f>IFERROR(__xludf.DUMMYFUNCTION("""COMPUTED_VALUE"""),"Francesca Rossi, Nicholas Mattei")</f>
        <v>Francesca Rossi, Nicholas Mattei</v>
      </c>
      <c r="E1037" t="str">
        <f>IFERROR(__xludf.DUMMYFUNCTION("""COMPUTED_VALUE"""),"AAAI Blue Sky Track 2018")</f>
        <v>AAAI Blue Sky Track 2018</v>
      </c>
      <c r="F1037">
        <f>IFERROR(__xludf.DUMMYFUNCTION("""COMPUTED_VALUE"""),2018.0)</f>
        <v>2018</v>
      </c>
      <c r="H1037" s="3" t="str">
        <f>IFERROR(__xludf.DUMMYFUNCTION("""COMPUTED_VALUE"""),"AN #37")</f>
        <v>AN #37</v>
      </c>
    </row>
    <row r="1038">
      <c r="A1038" t="str">
        <f>IFERROR(__xludf.DUMMYFUNCTION("""COMPUTED_VALUE"""),"Machine ethics")</f>
        <v>Machine ethics</v>
      </c>
      <c r="B1038" t="str">
        <f>IFERROR(__xludf.DUMMYFUNCTION("""COMPUTED_VALUE"""),"")</f>
        <v/>
      </c>
      <c r="C1038" s="3" t="str">
        <f>IFERROR(__xludf.DUMMYFUNCTION("""COMPUTED_VALUE"""),"Reinforcement Learning Under Moral Uncertainty")</f>
        <v>Reinforcement Learning Under Moral Uncertainty</v>
      </c>
      <c r="D1038" t="str">
        <f>IFERROR(__xludf.DUMMYFUNCTION("""COMPUTED_VALUE"""),"Adrien Ecoffet, Joel Lehman")</f>
        <v>Adrien Ecoffet, Joel Lehman</v>
      </c>
      <c r="E1038" t="str">
        <f>IFERROR(__xludf.DUMMYFUNCTION("""COMPUTED_VALUE"""),"arXiv")</f>
        <v>arXiv</v>
      </c>
      <c r="F1038">
        <f>IFERROR(__xludf.DUMMYFUNCTION("""COMPUTED_VALUE"""),2020.0)</f>
        <v>2020</v>
      </c>
      <c r="H1038" s="3" t="str">
        <f>IFERROR(__xludf.DUMMYFUNCTION("""COMPUTED_VALUE"""),"AN #116")</f>
        <v>AN #116</v>
      </c>
      <c r="I1038" t="str">
        <f>IFERROR(__xludf.DUMMYFUNCTION("""COMPUTED_VALUE"""),"Rohin")</f>
        <v>Rohin</v>
      </c>
      <c r="J1038" t="str">
        <f>IFERROR(__xludf.DUMMYFUNCTION("""COMPUTED_VALUE"""),"Given that we don’t have a perfect ethical theory ready to load into an AI system, and we don’t seem poised to get one any time soon, it seems worth looking into approaches that can deal with _moral uncertainty_. Drawing on the literature on moral uncerta"&amp;"inty in philosophy, the authors consider several methods by which multiple moral theories can be aggregated, such as averaging over the theories, making decisions through a voting system, and having the theories compete to control the agent’s overall acti"&amp;"ons. They implement several of these in RL agents, and test them on simple gridworld versions of various trolley problems. They find that all of the methods have advantages and disadvantages.")</f>
        <v>Given that we don’t have a perfect ethical theory ready to load into an AI system, and we don’t seem poised to get one any time soon, it seems worth looking into approaches that can deal with _moral uncertainty_. Drawing on the literature on moral uncertainty in philosophy, the authors consider several methods by which multiple moral theories can be aggregated, such as averaging over the theories, making decisions through a voting system, and having the theories compete to control the agent’s overall actions. They implement several of these in RL agents, and test them on simple gridworld versions of various trolley problems. They find that all of the methods have advantages and disadvantages.</v>
      </c>
      <c r="K1038" t="str">
        <f>IFERROR(__xludf.DUMMYFUNCTION("""COMPUTED_VALUE"""),"The central challenge here is that normalizing different moral theories so that they are comparable is &lt;@difficult@&gt;(@Research Agenda v0.9: Synthesising a human's preferences into a utility function@) (see Section 2.3). This issue plagues even computation"&amp;"ally intractable idealizations like &lt;@assistance games@&gt;(@Cooperative Inverse Reinforcement Learning@) that can perform full Bayesian updating on different moral theories. I’d love to see better theoretical solutions for this challenge.")</f>
        <v>The central challenge here is that normalizing different moral theories so that they are comparable is &lt;@difficult@&gt;(@Research Agenda v0.9: Synthesising a human's preferences into a utility function@) (see Section 2.3). This issue plagues even computationally intractable idealizations like &lt;@assistance games@&gt;(@Cooperative Inverse Reinforcement Learning@) that can perform full Bayesian updating on different moral theories. I’d love to see better theoretical solutions for this challenge.</v>
      </c>
    </row>
    <row r="1039">
      <c r="A1039" t="str">
        <f>IFERROR(__xludf.DUMMYFUNCTION("""COMPUTED_VALUE"""),"Machine ethics")</f>
        <v>Machine ethics</v>
      </c>
      <c r="B1039" t="str">
        <f>IFERROR(__xludf.DUMMYFUNCTION("""COMPUTED_VALUE"""),"")</f>
        <v/>
      </c>
      <c r="C1039" s="3" t="str">
        <f>IFERROR(__xludf.DUMMYFUNCTION("""COMPUTED_VALUE"""),"Tech firms move to put ethical guard rails around AI")</f>
        <v>Tech firms move to put ethical guard rails around AI</v>
      </c>
      <c r="D1039" t="str">
        <f>IFERROR(__xludf.DUMMYFUNCTION("""COMPUTED_VALUE"""),"Tom Simonite")</f>
        <v>Tom Simonite</v>
      </c>
      <c r="E1039" t="str">
        <f>IFERROR(__xludf.DUMMYFUNCTION("""COMPUTED_VALUE"""),"Wired")</f>
        <v>Wired</v>
      </c>
      <c r="F1039">
        <f>IFERROR(__xludf.DUMMYFUNCTION("""COMPUTED_VALUE"""),2018.0)</f>
        <v>2018</v>
      </c>
      <c r="H1039" s="3" t="str">
        <f>IFERROR(__xludf.DUMMYFUNCTION("""COMPUTED_VALUE"""),"AN #7")</f>
        <v>AN #7</v>
      </c>
      <c r="I1039" t="str">
        <f>IFERROR(__xludf.DUMMYFUNCTION("""COMPUTED_VALUE"""),"Rohin")</f>
        <v>Rohin</v>
      </c>
      <c r="J1039" t="str">
        <f>IFERROR(__xludf.DUMMYFUNCTION("""COMPUTED_VALUE"""),"A description of the ethics boards that tech companies are putting up.")</f>
        <v>A description of the ethics boards that tech companies are putting up.</v>
      </c>
    </row>
    <row r="1040">
      <c r="A1040" t="str">
        <f>IFERROR(__xludf.DUMMYFUNCTION("""COMPUTED_VALUE"""),"Machine ethics")</f>
        <v>Machine ethics</v>
      </c>
      <c r="B1040" t="str">
        <f>IFERROR(__xludf.DUMMYFUNCTION("""COMPUTED_VALUE"""),"")</f>
        <v/>
      </c>
      <c r="C1040" s="3" t="str">
        <f>IFERROR(__xludf.DUMMYFUNCTION("""COMPUTED_VALUE"""),"A developmentally-situated approach to teaching normative behavior to AI")</f>
        <v>A developmentally-situated approach to teaching normative behavior to AI</v>
      </c>
      <c r="D1040" t="str">
        <f>IFERROR(__xludf.DUMMYFUNCTION("""COMPUTED_VALUE"""),"gworley")</f>
        <v>gworley</v>
      </c>
      <c r="E1040" t="str">
        <f>IFERROR(__xludf.DUMMYFUNCTION("""COMPUTED_VALUE"""),"LessWrong")</f>
        <v>LessWrong</v>
      </c>
      <c r="F1040">
        <f>IFERROR(__xludf.DUMMYFUNCTION("""COMPUTED_VALUE"""),2018.0)</f>
        <v>2018</v>
      </c>
      <c r="H1040" s="3" t="str">
        <f>IFERROR(__xludf.DUMMYFUNCTION("""COMPUTED_VALUE"""),"AN #20")</f>
        <v>AN #20</v>
      </c>
    </row>
    <row r="1041">
      <c r="A1041" t="str">
        <f>IFERROR(__xludf.DUMMYFUNCTION("""COMPUTED_VALUE"""),"Machine ethics")</f>
        <v>Machine ethics</v>
      </c>
      <c r="B1041" t="str">
        <f>IFERROR(__xludf.DUMMYFUNCTION("""COMPUTED_VALUE"""),"")</f>
        <v/>
      </c>
      <c r="C1041" s="3" t="str">
        <f>IFERROR(__xludf.DUMMYFUNCTION("""COMPUTED_VALUE"""),"How would you teach AI to be kind?")</f>
        <v>How would you teach AI to be kind?</v>
      </c>
      <c r="D1041" t="str">
        <f>IFERROR(__xludf.DUMMYFUNCTION("""COMPUTED_VALUE"""),"Nell Watson")</f>
        <v>Nell Watson</v>
      </c>
      <c r="E1041" t="str">
        <f>IFERROR(__xludf.DUMMYFUNCTION("""COMPUTED_VALUE"""),"HeroX")</f>
        <v>HeroX</v>
      </c>
      <c r="F1041">
        <f>IFERROR(__xludf.DUMMYFUNCTION("""COMPUTED_VALUE"""),2018.0)</f>
        <v>2018</v>
      </c>
      <c r="H1041" s="3" t="str">
        <f>IFERROR(__xludf.DUMMYFUNCTION("""COMPUTED_VALUE"""),"AN #16")</f>
        <v>AN #16</v>
      </c>
      <c r="I1041" t="str">
        <f>IFERROR(__xludf.DUMMYFUNCTION("""COMPUTED_VALUE"""),"Rohin")</f>
        <v>Rohin</v>
      </c>
      <c r="J1041" t="str">
        <f>IFERROR(__xludf.DUMMYFUNCTION("""COMPUTED_VALUE"""),"The EthicsNet Guardians Challenge is looking for suggestions on how to create a dataset that could be used to teach prosocial behavior. This is not aimed to answer difficult philosophical questions, but to teach an AI system general, simple prosocial beha"&amp;"viors, such as alerting someone who dropped their wallet but didn't notice. They have some ideas for how to achieve this, but are looking for more ideas before they actually start collecting a dataset.")</f>
        <v>The EthicsNet Guardians Challenge is looking for suggestions on how to create a dataset that could be used to teach prosocial behavior. This is not aimed to answer difficult philosophical questions, but to teach an AI system general, simple prosocial behaviors, such as alerting someone who dropped their wallet but didn't notice. They have some ideas for how to achieve this, but are looking for more ideas before they actually start collecting a dataset.</v>
      </c>
      <c r="K1041" t="str">
        <f>IFERROR(__xludf.DUMMYFUNCTION("""COMPUTED_VALUE"""),"One of the things I think about now is how to learn ""common sense"", and this seems very related (though not exactly the same). One of the hardest things to do with novel AI research is to collect a good dataset (if you don't have a simulator, anyway), s"&amp;"o this seems like a great opportunity to get a good dataset for projects trying to tackle these sorts of issues, especially for somewhat fleshed out projects where you know what kind of dataset you'll need.")</f>
        <v>One of the things I think about now is how to learn "common sense", and this seems very related (though not exactly the same). One of the hardest things to do with novel AI research is to collect a good dataset (if you don't have a simulator, anyway), so this seems like a great opportunity to get a good dataset for projects trying to tackle these sorts of issues, especially for somewhat fleshed out projects where you know what kind of dataset you'll need.</v>
      </c>
    </row>
    <row r="1042">
      <c r="A1042" t="str">
        <f>IFERROR(__xludf.DUMMYFUNCTION("""COMPUTED_VALUE"""),"Machine learning")</f>
        <v>Machine learning</v>
      </c>
      <c r="B1042" t="str">
        <f>IFERROR(__xludf.DUMMYFUNCTION("""COMPUTED_VALUE"""),"")</f>
        <v/>
      </c>
      <c r="C1042" s="3" t="str">
        <f>IFERROR(__xludf.DUMMYFUNCTION("""COMPUTED_VALUE"""),"Quantifying Independently Reproducible Machine Learning")</f>
        <v>Quantifying Independently Reproducible Machine Learning</v>
      </c>
      <c r="D1042" t="str">
        <f>IFERROR(__xludf.DUMMYFUNCTION("""COMPUTED_VALUE"""),"Edward Raff")</f>
        <v>Edward Raff</v>
      </c>
      <c r="E1042" t="str">
        <f>IFERROR(__xludf.DUMMYFUNCTION("""COMPUTED_VALUE"""),"NeurIPS 2019")</f>
        <v>NeurIPS 2019</v>
      </c>
      <c r="F1042">
        <f>IFERROR(__xludf.DUMMYFUNCTION("""COMPUTED_VALUE"""),2019.0)</f>
        <v>2019</v>
      </c>
      <c r="H1042" s="3" t="str">
        <f>IFERROR(__xludf.DUMMYFUNCTION("""COMPUTED_VALUE"""),"AN #91")</f>
        <v>AN #91</v>
      </c>
      <c r="I1042" t="str">
        <f>IFERROR(__xludf.DUMMYFUNCTION("""COMPUTED_VALUE"""),"Flo")</f>
        <v>Flo</v>
      </c>
      <c r="J1042" t="str">
        <f>IFERROR(__xludf.DUMMYFUNCTION("""COMPUTED_VALUE"""),"While reproducibility refers to our ability to obtain results that are similar to the results presented in a paper, **independent reproducibility** requires us to be able to reproduce similar results using *only* what is written in the paper. Crucially, t"&amp;"his excludes using the author's code. This is important, as a paper should distill insights rather than just report results. If minor technical details in a reimplementation can lead to vastly different results, this suggests that the paper did not accura"&amp;"tely capture all important aspects. The distinction between reproducibility and independent reproducibility is similar to the previously suggested distinctions between &lt;@reproducibility of methods and reproducibility of conclusions@&gt;(@Unreproducible Resea"&amp;"rch is Reproducible@) and [replicability and reproducibility](http://cogprints.org/7691/7/ICMLws09.pdf). 
The author attempted to replicate 255 machine learning papers, of which 162 were successfully replicated and ran a statistical analysis on the resul"&amp;"ts. Factors that helped with independent reproduction included specified hyperparameters, ease of reading and authors answering emails. Meanwhile, neither shared code nor the inclusion of pseudo-code robustly increased the rate of reproduction. Interestin"&amp;"gly, papers with a strong focus on theory performed worse than mostly empirical or mixed ones. While more rigour can certainly be valuable in the long term, including learning bounds or complicated math, just for the sake of it should thus be avoided. Mos"&amp;"t of the data is [publically available](https://github.com/EdwardRaff/Quantifying-Independently-Reproducible-ML) and the author encourages further analysis.")</f>
        <v>While reproducibility refers to our ability to obtain results that are similar to the results presented in a paper, **independent reproducibility** requires us to be able to reproduce similar results using *only* what is written in the paper. Crucially, this excludes using the author's code. This is important, as a paper should distill insights rather than just report results. If minor technical details in a reimplementation can lead to vastly different results, this suggests that the paper did not accurately capture all important aspects. The distinction between reproducibility and independent reproducibility is similar to the previously suggested distinctions between &lt;@reproducibility of methods and reproducibility of conclusions@&gt;(@Unreproducible Research is Reproducible@) and [replicability and reproducibility](http://cogprints.org/7691/7/ICMLws09.pdf). 
The author attempted to replicate 255 machine learning papers, of which 162 were successfully replicated and ran a statistical analysis on the results. Factors that helped with independent reproduction included specified hyperparameters, ease of reading and authors answering emails. Meanwhile, neither shared code nor the inclusion of pseudo-code robustly increased the rate of reproduction. Interestingly, papers with a strong focus on theory performed worse than mostly empirical or mixed ones. While more rigour can certainly be valuable in the long term, including learning bounds or complicated math, just for the sake of it should thus be avoided. Most of the data is [publically available](https://github.com/EdwardRaff/Quantifying-Independently-Reproducible-ML) and the author encourages further analysis.</v>
      </c>
      <c r="K1042" t="str">
        <f>IFERROR(__xludf.DUMMYFUNCTION("""COMPUTED_VALUE"""),"I appreciate this hands-on approach to evaluating reproducibility and think that independent reproducibility is important if we want to draw robust conclusions about the general properties of different ML systems. I am a bit confused about the bad reprodu"&amp;"cibility of theory-heavy papers: One hypothesis would be that there is little incentive to provide theoretical justification for approaches that work robustly, as empirical evidence for their merits is generated more easily than theoretical results. This "&amp;"relationship might then flip, as results get more brittle.
**Rohin's opinion:** My explanation for the theoretical results is different: most theory tends to make at least a few assumptions that don't actually hold in order to obtain interesting guarante"&amp;"es. A paper will typically only include empirical results that confirm the theory, which will tend to select for environments in which the assumptions are minimally violated. If you then try to reproduce the paper in a new setting, it is more likely that "&amp;"the assumption is violated more strongly, and so the theoretical results don't show up any more.")</f>
        <v>I appreciate this hands-on approach to evaluating reproducibility and think that independent reproducibility is important if we want to draw robust conclusions about the general properties of different ML systems. I am a bit confused about the bad reproducibility of theory-heavy papers: One hypothesis would be that there is little incentive to provide theoretical justification for approaches that work robustly, as empirical evidence for their merits is generated more easily than theoretical results. This relationship might then flip, as results get more brittle.
**Rohin's opinion:** My explanation for the theoretical results is different: most theory tends to make at least a few assumptions that don't actually hold in order to obtain interesting guarantees. A paper will typically only include empirical results that confirm the theory, which will tend to select for environments in which the assumptions are minimally violated. If you then try to reproduce the paper in a new setting, it is more likely that the assumption is violated more strongly, and so the theoretical results don't show up any more.</v>
      </c>
      <c r="M1042" s="3" t="str">
        <f>IFERROR(__xludf.DUMMYFUNCTION("""COMPUTED_VALUE"""),"Paper: A Step Toward Quantifying Independently Reproducible Machine Learning Research")</f>
        <v>Paper: A Step Toward Quantifying Independently Reproducible Machine Learning Research</v>
      </c>
    </row>
    <row r="1043">
      <c r="A1043" t="str">
        <f>IFERROR(__xludf.DUMMYFUNCTION("""COMPUTED_VALUE"""),"Machine learning")</f>
        <v>Machine learning</v>
      </c>
      <c r="B1043" t="str">
        <f>IFERROR(__xludf.DUMMYFUNCTION("""COMPUTED_VALUE"""),"")</f>
        <v/>
      </c>
      <c r="C1043" s="3" t="str">
        <f>IFERROR(__xludf.DUMMYFUNCTION("""COMPUTED_VALUE"""),"Fluid Annotation: An Exploratory Machine Learning–Powered Interface for Faster Image Annotation")</f>
        <v>Fluid Annotation: An Exploratory Machine Learning–Powered Interface for Faster Image Annotation</v>
      </c>
      <c r="D1043" t="str">
        <f>IFERROR(__xludf.DUMMYFUNCTION("""COMPUTED_VALUE"""),"Jasper Uijlings and Vittorio Ferrari")</f>
        <v>Jasper Uijlings and Vittorio Ferrari</v>
      </c>
      <c r="E1043" t="str">
        <f>IFERROR(__xludf.DUMMYFUNCTION("""COMPUTED_VALUE"""),"Google AI Blog")</f>
        <v>Google AI Blog</v>
      </c>
      <c r="F1043">
        <f>IFERROR(__xludf.DUMMYFUNCTION("""COMPUTED_VALUE"""),2018.0)</f>
        <v>2018</v>
      </c>
      <c r="H1043" s="3" t="str">
        <f>IFERROR(__xludf.DUMMYFUNCTION("""COMPUTED_VALUE"""),"AN #30")</f>
        <v>AN #30</v>
      </c>
      <c r="I1043" t="str">
        <f>IFERROR(__xludf.DUMMYFUNCTION("""COMPUTED_VALUE"""),"Rohin")</f>
        <v>Rohin</v>
      </c>
      <c r="J1043" t="str">
        <f>IFERROR(__xludf.DUMMYFUNCTION("""COMPUTED_VALUE"""),"This post describes a system that can be used to help humans label images to generate labels for segmentation. The post summarizes it well: ""Fluid Annotation starts from the output of a strong semantic segmentation model, which a human annotator can modi"&amp;"fy through machine-assisted edit operations using a natural user interface. Our interface empowers annotators to choose what to correct and in which order, allowing them to effectively focus their efforts on what the machine does not already know.""")</f>
        <v>This post describes a system that can be used to help humans label images to generate labels for segmentation. The post summarizes it well: "Fluid Annotation starts from the output of a strong semantic segmentation model, which a human annotator can modify through machine-assisted edit operations using a natural user interface. Our interface empowers annotators to choose what to correct and in which order, allowing them to effectively focus their efforts on what the machine does not already know."</v>
      </c>
      <c r="K1043" t="str">
        <f>IFERROR(__xludf.DUMMYFUNCTION("""COMPUTED_VALUE"""),"I'm excited about techniques like this that allow us to scale up AI systems with less human effort, by focusing human effort on the aspects of the problem that AI cannot yet solve, while using existing AI systems to do the low-level work (generating a sho"&amp;"rtlist of potential segmentations, in this case). This is an example of the paradigm of using AI to help humans more effectively create better AI, which is one of the key ideas underlying iterated amplification. (Though iterated amplification focuses on h"&amp;"ow to use existing AI systems to allow the human to provide a training signal for tasks _that humans cannot perform or evaluate themselves_.)")</f>
        <v>I'm excited about techniques like this that allow us to scale up AI systems with less human effort, by focusing human effort on the aspects of the problem that AI cannot yet solve, while using existing AI systems to do the low-level work (generating a shortlist of potential segmentations, in this case). This is an example of the paradigm of using AI to help humans more effectively create better AI, which is one of the key ideas underlying iterated amplification. (Though iterated amplification focuses on how to use existing AI systems to allow the human to provide a training signal for tasks _that humans cannot perform or evaluate themselves_.)</v>
      </c>
    </row>
    <row r="1044">
      <c r="A1044" t="str">
        <f>IFERROR(__xludf.DUMMYFUNCTION("""COMPUTED_VALUE"""),"Machine learning")</f>
        <v>Machine learning</v>
      </c>
      <c r="B1044" t="str">
        <f>IFERROR(__xludf.DUMMYFUNCTION("""COMPUTED_VALUE"""),"")</f>
        <v/>
      </c>
      <c r="C1044" s="3" t="str">
        <f>IFERROR(__xludf.DUMMYFUNCTION("""COMPUTED_VALUE"""),"Meta-Learning MCMC Proposals")</f>
        <v>Meta-Learning MCMC Proposals</v>
      </c>
      <c r="D1044" t="str">
        <f>IFERROR(__xludf.DUMMYFUNCTION("""COMPUTED_VALUE"""),"Tongzhou Wang, Yi Wu, David A. Moore, and Stuart J. Russell")</f>
        <v>Tongzhou Wang, Yi Wu, David A. Moore, and Stuart J. Russell</v>
      </c>
      <c r="E1044" t="str">
        <f>IFERROR(__xludf.DUMMYFUNCTION("""COMPUTED_VALUE"""),"NeurIPS 2018")</f>
        <v>NeurIPS 2018</v>
      </c>
      <c r="F1044">
        <f>IFERROR(__xludf.DUMMYFUNCTION("""COMPUTED_VALUE"""),2018.0)</f>
        <v>2018</v>
      </c>
      <c r="H1044" t="str">
        <f>IFERROR(__xludf.DUMMYFUNCTION("""COMPUTED_VALUE"""),"N/A")</f>
        <v>N/A</v>
      </c>
      <c r="I1044" t="str">
        <f>IFERROR(__xludf.DUMMYFUNCTION("""COMPUTED_VALUE"""),"Rohin")</f>
        <v>Rohin</v>
      </c>
      <c r="J1044" t="str">
        <f>IFERROR(__xludf.DUMMYFUNCTION("""COMPUTED_VALUE"""),"Probabilistic programming offers the potential to encode our domain knowledge about a particular area into structured probabilistic models. However, algorithms that answer queries about these models can be very slow, even if we are only looking for an app"&amp;"roximate answer. MCMC algorithms are approximate algorithms that _propose_ values for variables, which are then either _accepted_ or _rejected_. They only work well if the proposer is able to suggest high probability values, which allows for quick converg"&amp;"ence. So, in practice researchers use hand-tuned proposers with these algorithms. This paper suggests that we could instead use a neural net as a proposer. The net is trained to give good proposals on small sections of models (called _motifs_), with a ran"&amp;"ge of possible parameter values that affect what should be proposed. Then, faced with a new model, the net is able to look at the motifs in the new model and propose good values for those motifs.")</f>
        <v>Probabilistic programming offers the potential to encode our domain knowledge about a particular area into structured probabilistic models. However, algorithms that answer queries about these models can be very slow, even if we are only looking for an approximate answer. MCMC algorithms are approximate algorithms that _propose_ values for variables, which are then either _accepted_ or _rejected_. They only work well if the proposer is able to suggest high probability values, which allows for quick convergence. So, in practice researchers use hand-tuned proposers with these algorithms. This paper suggests that we could instead use a neural net as a proposer. The net is trained to give good proposals on small sections of models (called _motifs_), with a range of possible parameter values that affect what should be proposed. Then, faced with a new model, the net is able to look at the motifs in the new model and propose good values for those motifs.</v>
      </c>
      <c r="K1044" t="str">
        <f>IFERROR(__xludf.DUMMYFUNCTION("""COMPUTED_VALUE"""),"This is another example of how we can leverage the messy power of deep learning to improve more structured algorithms that have guarantees.")</f>
        <v>This is another example of how we can leverage the messy power of deep learning to improve more structured algorithms that have guarantees.</v>
      </c>
    </row>
    <row r="1045">
      <c r="A1045" t="str">
        <f>IFERROR(__xludf.DUMMYFUNCTION("""COMPUTED_VALUE"""),"Machine learning")</f>
        <v>Machine learning</v>
      </c>
      <c r="B1045" t="str">
        <f>IFERROR(__xludf.DUMMYFUNCTION("""COMPUTED_VALUE"""),"")</f>
        <v/>
      </c>
      <c r="C1045" s="3" t="str">
        <f>IFERROR(__xludf.DUMMYFUNCTION("""COMPUTED_VALUE"""),"On the Convergence of Adam and Beyond")</f>
        <v>On the Convergence of Adam and Beyond</v>
      </c>
      <c r="D1045" t="str">
        <f>IFERROR(__xludf.DUMMYFUNCTION("""COMPUTED_VALUE"""),"Sashank J. Reddi, Satyen Kale and Sanjiv Kumar
")</f>
        <v>Sashank J. Reddi, Satyen Kale and Sanjiv Kumar
</v>
      </c>
      <c r="E1045" t="str">
        <f>IFERROR(__xludf.DUMMYFUNCTION("""COMPUTED_VALUE"""),"ICLR")</f>
        <v>ICLR</v>
      </c>
      <c r="F1045">
        <f>IFERROR(__xludf.DUMMYFUNCTION("""COMPUTED_VALUE"""),2018.0)</f>
        <v>2018</v>
      </c>
      <c r="H1045" s="3" t="str">
        <f>IFERROR(__xludf.DUMMYFUNCTION("""COMPUTED_VALUE"""),"AN #5")</f>
        <v>AN #5</v>
      </c>
    </row>
    <row r="1046">
      <c r="A1046" t="str">
        <f>IFERROR(__xludf.DUMMYFUNCTION("""COMPUTED_VALUE"""),"Machine learning")</f>
        <v>Machine learning</v>
      </c>
      <c r="B1046" t="str">
        <f>IFERROR(__xludf.DUMMYFUNCTION("""COMPUTED_VALUE"""),"")</f>
        <v/>
      </c>
      <c r="C1046" s="3" t="str">
        <f>IFERROR(__xludf.DUMMYFUNCTION("""COMPUTED_VALUE"""),"Formal Limitations on The Measurement of Mutual Information")</f>
        <v>Formal Limitations on The Measurement of Mutual Information</v>
      </c>
      <c r="D1046" t="str">
        <f>IFERROR(__xludf.DUMMYFUNCTION("""COMPUTED_VALUE"""),"David McAllester and Karl Stratos")</f>
        <v>David McAllester and Karl Stratos</v>
      </c>
      <c r="E1046" t="str">
        <f>IFERROR(__xludf.DUMMYFUNCTION("""COMPUTED_VALUE"""),"arXiv")</f>
        <v>arXiv</v>
      </c>
      <c r="F1046">
        <f>IFERROR(__xludf.DUMMYFUNCTION("""COMPUTED_VALUE"""),2018.0)</f>
        <v>2018</v>
      </c>
      <c r="H1046" s="3" t="str">
        <f>IFERROR(__xludf.DUMMYFUNCTION("""COMPUTED_VALUE"""),"AN #33")</f>
        <v>AN #33</v>
      </c>
    </row>
    <row r="1047">
      <c r="A1047" t="str">
        <f>IFERROR(__xludf.DUMMYFUNCTION("""COMPUTED_VALUE"""),"Machine learning")</f>
        <v>Machine learning</v>
      </c>
      <c r="B1047" t="str">
        <f>IFERROR(__xludf.DUMMYFUNCTION("""COMPUTED_VALUE"""),"")</f>
        <v/>
      </c>
      <c r="C1047" s="3" t="str">
        <f>IFERROR(__xludf.DUMMYFUNCTION("""COMPUTED_VALUE"""),"The Benchmark Lottery")</f>
        <v>The Benchmark Lottery</v>
      </c>
      <c r="D1047" t="str">
        <f>IFERROR(__xludf.DUMMYFUNCTION("""COMPUTED_VALUE"""),"Mostafa Dehghani*, Yi Tay*, Alexey A. Gritsenko*, Zhe Zhao, Neil Houlsby, Fernando Diaz, Donald Metzler, Oriol Vinyals")</f>
        <v>Mostafa Dehghani*, Yi Tay*, Alexey A. Gritsenko*, Zhe Zhao, Neil Houlsby, Fernando Diaz, Donald Metzler, Oriol Vinyals</v>
      </c>
      <c r="E1047" t="str">
        <f>IFERROR(__xludf.DUMMYFUNCTION("""COMPUTED_VALUE"""),"arXiv")</f>
        <v>arXiv</v>
      </c>
      <c r="F1047">
        <f>IFERROR(__xludf.DUMMYFUNCTION("""COMPUTED_VALUE"""),2021.0)</f>
        <v>2021</v>
      </c>
      <c r="H1047" s="3" t="str">
        <f>IFERROR(__xludf.DUMMYFUNCTION("""COMPUTED_VALUE"""),"AN #160")</f>
        <v>AN #160</v>
      </c>
      <c r="I1047" t="str">
        <f>IFERROR(__xludf.DUMMYFUNCTION("""COMPUTED_VALUE"""),"Rohin")</f>
        <v>Rohin</v>
      </c>
      <c r="J1047" t="str">
        <f>IFERROR(__xludf.DUMMYFUNCTION("""COMPUTED_VALUE"""),"This paper argues that new machine learning methods participate in a _benchmark lottery_, that is, our evaluation of a specific method depends in large part on the choice of benchmark on which the method is evaluated, independently of how good the method "&amp;"“actually” is. The authors identify three main sources of such bias:
1. **Task selection bias:** This is exactly what it sounds like: the evaluation of a method will often depend quite strongly on exactly which tasks in a benchmark it is evaluated on. Fo"&amp;"r example, when evaluating 55 models on SuperGLUE, there are six different models that achieve the top place on at least one task; so if we only chose one task to evaluate models it would be random luck that determines which of those models we would deem "&amp;"“best”. The paper has lots of additional examples and quantifications of the strength of the bias.
2. **Community bias:** The research community often settles on a particular benchmark on which new methods must be evaluated (or else the paper will be rej"&amp;"ected). This decision often happens without any explicit reasoning about which benchmark or tasks should be part of this community standard. This can end up adding bias that privileges some methods over others for reasons unrelated to how “good” the metho"&amp;"ds are. For example, language models are expected to evaluate on GLUE, but 7 out of the 8 tasks in GLUE are “matching” tasks that require modeling the relationship between multiple sequences. This privileges certain models: for example, Transformers likel"&amp;"y perform significantly better on such tasks due to the cross-attention in the encoder.
3. **Benchmark state:** In the course of solving a benchmark, researchers will pick up lots of little benchmark-specific tricks that then must be incorporated any tim"&amp;"e anyone is trying to set a new best performance. However, these tricks may “take away” some of the gains that a more general method could have had: for example, in an RL benchmark a trick for reducing the action space is likely to “take away” some of the"&amp;" gains that might be had from a hierarchical RL approach. Put another way, the benchmark has “state”: early on, the hierarchical RL method might look quite good, but after the discovery of the action reduction trick, the method no longer looks good; the h"&amp;"ierarchical method thus has to be “lucky” enough to be tested before the action reduction trick is known.
Note though that it is even worse if there is no standard benchmark: in this case authors can (deliberately or not) choose exactly those tasks that "&amp;"make their method look best.
To mitigate these problems, the authors make the following suggestions:
1. Invest in making guidelines for how to make benchmarks.
2. Benchmark creators should ensure that there are good guidelines for how to _use_ the bench"&amp;"mark to avoid the situation where everyone evaluates methods slightly differently.
3. When reviewing papers, do not require authors to beat the existing state of the art (SOTA) if their method is especially novel, as it is likely disadvantaged by not bein"&amp;"g able to apply all the small tricks that improve performance on the benchmark.
4. Use statistical significance testing to compare models rather than looking just at point estimates.
5. Use multiple benchmarks, or multiple test sets within a single benchm"&amp;"ark, to enable statistical testing.
6. Create “living benchmarks” in which various aspects (such as the test set) are updated over time, to prevent overfitting to the benchmark.")</f>
        <v>This paper argues that new machine learning methods participate in a _benchmark lottery_, that is, our evaluation of a specific method depends in large part on the choice of benchmark on which the method is evaluated, independently of how good the method “actually” is. The authors identify three main sources of such bias:
1. **Task selection bias:** This is exactly what it sounds like: the evaluation of a method will often depend quite strongly on exactly which tasks in a benchmark it is evaluated on. For example, when evaluating 55 models on SuperGLUE, there are six different models that achieve the top place on at least one task; so if we only chose one task to evaluate models it would be random luck that determines which of those models we would deem “best”. The paper has lots of additional examples and quantifications of the strength of the bias.
2. **Community bias:** The research community often settles on a particular benchmark on which new methods must be evaluated (or else the paper will be rejected). This decision often happens without any explicit reasoning about which benchmark or tasks should be part of this community standard. This can end up adding bias that privileges some methods over others for reasons unrelated to how “good” the methods are. For example, language models are expected to evaluate on GLUE, but 7 out of the 8 tasks in GLUE are “matching” tasks that require modeling the relationship between multiple sequences. This privileges certain models: for example, Transformers likely perform significantly better on such tasks due to the cross-attention in the encoder.
3. **Benchmark state:** In the course of solving a benchmark, researchers will pick up lots of little benchmark-specific tricks that then must be incorporated any time anyone is trying to set a new best performance. However, these tricks may “take away” some of the gains that a more general method could have had: for example, in an RL benchmark a trick for reducing the action space is likely to “take away” some of the gains that might be had from a hierarchical RL approach. Put another way, the benchmark has “state”: early on, the hierarchical RL method might look quite good, but after the discovery of the action reduction trick, the method no longer looks good; the hierarchical method thus has to be “lucky” enough to be tested before the action reduction trick is known.
Note though that it is even worse if there is no standard benchmark: in this case authors can (deliberately or not) choose exactly those tasks that make their method look best.
To mitigate these problems, the authors make the following suggestions:
1. Invest in making guidelines for how to make benchmarks.
2. Benchmark creators should ensure that there are good guidelines for how to _use_ the benchmark to avoid the situation where everyone evaluates methods slightly differently.
3. When reviewing papers, do not require authors to beat the existing state of the art (SOTA) if their method is especially novel, as it is likely disadvantaged by not being able to apply all the small tricks that improve performance on the benchmark.
4. Use statistical significance testing to compare models rather than looking just at point estimates.
5. Use multiple benchmarks, or multiple test sets within a single benchmark, to enable statistical testing.
6. Create “living benchmarks” in which various aspects (such as the test set) are updated over time, to prevent overfitting to the benchmark.</v>
      </c>
      <c r="K1047" t="str">
        <f>IFERROR(__xludf.DUMMYFUNCTION("""COMPUTED_VALUE"""),"I like the descriptions of the problems in this paper. I also like the proposed solutions -- as a way to cut down problems that _weren’t_ the main focus of the paper. Unfortunately, my guess is that there aren’t great not-too-radical solutions to the prob"&amp;"lems identified by the authors. Still, these seem like important problems to be aware of when interpreting progress in machine learning.
I wasn’t that convinced that the task selection bias is that large. The metrics in the paper were rather hard to inte"&amp;"rpret -- they clearly show that rankings of models can change depending on which tasks you select, but it was harder to tell how _much_ the rankings changed. In addition, for at least some of these benchmarks, the point of the tasks is to test different s"&amp;"kills and so it shouldn’t be surprising that you can get significantly different rankings if you can choose a subset of the tasks. (Often in such cases papers will be expected to test on all the tasks, so that the task selection bias doesn’t occur.)")</f>
        <v>I like the descriptions of the problems in this paper. I also like the proposed solutions -- as a way to cut down problems that _weren’t_ the main focus of the paper. Unfortunately, my guess is that there aren’t great not-too-radical solutions to the problems identified by the authors. Still, these seem like important problems to be aware of when interpreting progress in machine learning.
I wasn’t that convinced that the task selection bias is that large. The metrics in the paper were rather hard to interpret -- they clearly show that rankings of models can change depending on which tasks you select, but it was harder to tell how _much_ the rankings changed. In addition, for at least some of these benchmarks, the point of the tasks is to test different skills and so it shouldn’t be surprising that you can get significantly different rankings if you can choose a subset of the tasks. (Often in such cases papers will be expected to test on all the tasks, so that the task selection bias doesn’t occur.)</v>
      </c>
    </row>
    <row r="1048">
      <c r="A1048" t="str">
        <f>IFERROR(__xludf.DUMMYFUNCTION("""COMPUTED_VALUE"""),"Machine learning")</f>
        <v>Machine learning</v>
      </c>
      <c r="B1048" t="str">
        <f>IFERROR(__xludf.DUMMYFUNCTION("""COMPUTED_VALUE"""),"")</f>
        <v/>
      </c>
      <c r="C1048" s="3" t="str">
        <f>IFERROR(__xludf.DUMMYFUNCTION("""COMPUTED_VALUE"""),"A Theory of Universal Learning")</f>
        <v>A Theory of Universal Learning</v>
      </c>
      <c r="D1048" t="str">
        <f>IFERROR(__xludf.DUMMYFUNCTION("""COMPUTED_VALUE"""),"Olivier Bousquet, Steve Hanneke, Shay Moran, Ramon van Handel, Amir Yehudayoff")</f>
        <v>Olivier Bousquet, Steve Hanneke, Shay Moran, Ramon van Handel, Amir Yehudayoff</v>
      </c>
      <c r="E1048" t="str">
        <f>IFERROR(__xludf.DUMMYFUNCTION("""COMPUTED_VALUE"""),"Author's Website")</f>
        <v>Author's Website</v>
      </c>
      <c r="F1048">
        <f>IFERROR(__xludf.DUMMYFUNCTION("""COMPUTED_VALUE"""),2020.0)</f>
        <v>2020</v>
      </c>
      <c r="I1048" t="str">
        <f>IFERROR(__xludf.DUMMYFUNCTION("""COMPUTED_VALUE"""),"Zach")</f>
        <v>Zach</v>
      </c>
      <c r="J1048" t="str">
        <f>IFERROR(__xludf.DUMMYFUNCTION("""COMPUTED_VALUE"""),"In machine learning, algorithms are presented with labeled examples of categories from a training dataset and the objective is to output a classifier that distinguishes categories on a validation dataset. The generalization ability of the classifier is us"&amp;"ually measured by calculating the error rate of the classifications on the validation set. One popular way to display generalization capability as a function of training set size is to plot a learning curve. A learning curve is a function that outputs the"&amp;" performance of a learning algorithm as a function of the data distribution and training sample size. A faster decay rate for a learning curve indicates a better ability to generalize with fewer data.
**In this paper, the authors characterize the conditi"&amp;"ons for a learning algorithm to have learning curves with a certain decay rate.** A learning curve is produced from the decay rate according to the formula 1/rate. The authors show that there are only three universal rates: exponential, linear, and arbitr"&amp;"arily slow decay. Moreover, the authors show there are problem classes that can be learned quickly in each instance but are slow to learn in the worst-case. This stands in contrast to classical results which analyze only the worst-case performance of lear"&amp;"ning algorithms. This produces pessimistic bounds because the guarantee must hold for all possible data distributions. This is often stronger than what is necessary for practice. Thus, by looking at rates instead of the worst-case learning curve, the auth"&amp;"ors show that it is possible to learn more efficiently than what is predicted by classical theory. ")</f>
        <v>In machine learning, algorithms are presented with labeled examples of categories from a training dataset and the objective is to output a classifier that distinguishes categories on a validation dataset. The generalization ability of the classifier is usually measured by calculating the error rate of the classifications on the validation set. One popular way to display generalization capability as a function of training set size is to plot a learning curve. A learning curve is a function that outputs the performance of a learning algorithm as a function of the data distribution and training sample size. A faster decay rate for a learning curve indicates a better ability to generalize with fewer data.
**In this paper, the authors characterize the conditions for a learning algorithm to have learning curves with a certain decay rate.** A learning curve is produced from the decay rate according to the formula 1/rate. The authors show that there are only three universal rates: exponential, linear, and arbitrarily slow decay. Moreover, the authors show there are problem classes that can be learned quickly in each instance but are slow to learn in the worst-case. This stands in contrast to classical results which analyze only the worst-case performance of learning algorithms. This produces pessimistic bounds because the guarantee must hold for all possible data distributions. This is often stronger than what is necessary for practice. Thus, by looking at rates instead of the worst-case learning curve, the authors show that it is possible to learn more efficiently than what is predicted by classical theory. </v>
      </c>
      <c r="K1048" t="str">
        <f>IFERROR(__xludf.DUMMYFUNCTION("""COMPUTED_VALUE"""),"This paper is mathematically sophisticated, but full of examples to illustrate the main points of the theory. More generally, work towards non-uniform bounds has become a popular topic recently as a result of classical generalization theory's inability to"&amp;" explain the success of deep learning and phenomena such as double-descent. These results could allow for progress in explaining the generalization capability of over-parameterized models, such as neural networks. Additionally, the theory presented here c"&amp;"ould lead to more efficient algorithms that take advantage of potential speedups over empirical risk minimization proved in the paper.")</f>
        <v>This paper is mathematically sophisticated, but full of examples to illustrate the main points of the theory. More generally, work towards non-uniform bounds has become a popular topic recently as a result of classical generalization theory's inability to explain the success of deep learning and phenomena such as double-descent. These results could allow for progress in explaining the generalization capability of over-parameterized models, such as neural networks. Additionally, the theory presented here could lead to more efficient algorithms that take advantage of potential speedups over empirical risk minimization proved in the paper.</v>
      </c>
    </row>
    <row r="1049">
      <c r="A1049" t="str">
        <f>IFERROR(__xludf.DUMMYFUNCTION("""COMPUTED_VALUE"""),"Machine learning")</f>
        <v>Machine learning</v>
      </c>
      <c r="B1049" t="str">
        <f>IFERROR(__xludf.DUMMYFUNCTION("""COMPUTED_VALUE"""),"")</f>
        <v/>
      </c>
      <c r="C1049" s="3" t="str">
        <f>IFERROR(__xludf.DUMMYFUNCTION("""COMPUTED_VALUE"""),"Deep Probabilistic Programming Languages: A Qualitative Study")</f>
        <v>Deep Probabilistic Programming Languages: A Qualitative Study</v>
      </c>
      <c r="D1049" t="str">
        <f>IFERROR(__xludf.DUMMYFUNCTION("""COMPUTED_VALUE"""),"Guillaume Baudart")</f>
        <v>Guillaume Baudart</v>
      </c>
      <c r="E1049" t="str">
        <f>IFERROR(__xludf.DUMMYFUNCTION("""COMPUTED_VALUE"""),"arXiv")</f>
        <v>arXiv</v>
      </c>
      <c r="F1049">
        <f>IFERROR(__xludf.DUMMYFUNCTION("""COMPUTED_VALUE"""),2018.0)</f>
        <v>2018</v>
      </c>
      <c r="H1049" s="3" t="str">
        <f>IFERROR(__xludf.DUMMYFUNCTION("""COMPUTED_VALUE"""),"AN #3")</f>
        <v>AN #3</v>
      </c>
      <c r="I1049" t="str">
        <f>IFERROR(__xludf.DUMMYFUNCTION("""COMPUTED_VALUE"""),"Rohin")</f>
        <v>Rohin</v>
      </c>
      <c r="J1049" t="str">
        <f>IFERROR(__xludf.DUMMYFUNCTION("""COMPUTED_VALUE"""),"This is an overview paper of deep probabilistic programming languages, giving examples of how to use them and considering their pros and cons.")</f>
        <v>This is an overview paper of deep probabilistic programming languages, giving examples of how to use them and considering their pros and cons.</v>
      </c>
      <c r="K1049" t="str">
        <f>IFERROR(__xludf.DUMMYFUNCTION("""COMPUTED_VALUE"""),"I read this after writing the summary for TensorFlow Probability, and it talks about the advantages and tradeoffs between deep learning and PPLs in much more detail than I did there, so if that was interesting I'd recommend reading this paper too. It did "&amp;"seem pretty accessible but I used to do research with PPLs so I'm not the best judge of its accessibility.")</f>
        <v>I read this after writing the summary for TensorFlow Probability, and it talks about the advantages and tradeoffs between deep learning and PPLs in much more detail than I did there, so if that was interesting I'd recommend reading this paper too. It did seem pretty accessible but I used to do research with PPLs so I'm not the best judge of its accessibility.</v>
      </c>
    </row>
    <row r="1050">
      <c r="A1050" t="str">
        <f>IFERROR(__xludf.DUMMYFUNCTION("""COMPUTED_VALUE"""),"Machine learning")</f>
        <v>Machine learning</v>
      </c>
      <c r="B1050" t="str">
        <f>IFERROR(__xludf.DUMMYFUNCTION("""COMPUTED_VALUE"""),"")</f>
        <v/>
      </c>
      <c r="C1050" s="3" t="str">
        <f>IFERROR(__xludf.DUMMYFUNCTION("""COMPUTED_VALUE"""),"Introducing TensorFlow Probability")</f>
        <v>Introducing TensorFlow Probability</v>
      </c>
      <c r="D1050" t="str">
        <f>IFERROR(__xludf.DUMMYFUNCTION("""COMPUTED_VALUE"""),"Josh Dillon,  Mike Shwe, and Dustin Tran")</f>
        <v>Josh Dillon,  Mike Shwe, and Dustin Tran</v>
      </c>
      <c r="E1050" t="str">
        <f>IFERROR(__xludf.DUMMYFUNCTION("""COMPUTED_VALUE"""),"Medium")</f>
        <v>Medium</v>
      </c>
      <c r="F1050">
        <f>IFERROR(__xludf.DUMMYFUNCTION("""COMPUTED_VALUE"""),2018.0)</f>
        <v>2018</v>
      </c>
      <c r="H1050" s="3" t="str">
        <f>IFERROR(__xludf.DUMMYFUNCTION("""COMPUTED_VALUE"""),"AN #3")</f>
        <v>AN #3</v>
      </c>
      <c r="I1050" t="str">
        <f>IFERROR(__xludf.DUMMYFUNCTION("""COMPUTED_VALUE"""),"Rohin")</f>
        <v>Rohin</v>
      </c>
      <c r="J1050" t="str">
        <f>IFERROR(__xludf.DUMMYFUNCTION("""COMPUTED_VALUE"""),"Tensorflow now also supports probabilistic programming.")</f>
        <v>Tensorflow now also supports probabilistic programming.</v>
      </c>
      <c r="K1050" t="str">
        <f>IFERROR(__xludf.DUMMYFUNCTION("""COMPUTED_VALUE"""),"Probabilistic programming is becoming more and more important in machine learning, and is in some sense a counterpart to deep learning -- it lets you have probability distributions over parameters (as opposed to the point estimates provided by neural nets"&amp;"), but inference is often intractable and must be performed approximately, and even then you are often limited to smaller models than with deep learning. It's interesting to have both of these provided by a single library -- hopefully we'll see applicatio"&amp;"ns that combine both approaches to get the best of both worlds. In particular, probabilistic programming feels more principled and amenable to theoretical analysis, which may make it easier to reason about safety.")</f>
        <v>Probabilistic programming is becoming more and more important in machine learning, and is in some sense a counterpart to deep learning -- it lets you have probability distributions over parameters (as opposed to the point estimates provided by neural nets), but inference is often intractable and must be performed approximately, and even then you are often limited to smaller models than with deep learning. It's interesting to have both of these provided by a single library -- hopefully we'll see applications that combine both approaches to get the best of both worlds. In particular, probabilistic programming feels more principled and amenable to theoretical analysis, which may make it easier to reason about safety.</v>
      </c>
    </row>
    <row r="1051">
      <c r="A1051" t="str">
        <f>IFERROR(__xludf.DUMMYFUNCTION("""COMPUTED_VALUE"""),"Mesa optimization")</f>
        <v>Mesa optimization</v>
      </c>
      <c r="B1051" t="str">
        <f>IFERROR(__xludf.DUMMYFUNCTION("""COMPUTED_VALUE"""),"Highlight")</f>
        <v>Highlight</v>
      </c>
      <c r="C1051" s="3" t="str">
        <f>IFERROR(__xludf.DUMMYFUNCTION("""COMPUTED_VALUE"""),"Demons in Imperfect Search")</f>
        <v>Demons in Imperfect Search</v>
      </c>
      <c r="D1051" t="str">
        <f>IFERROR(__xludf.DUMMYFUNCTION("""COMPUTED_VALUE"""),"John Wentworth")</f>
        <v>John Wentworth</v>
      </c>
      <c r="E1051" t="str">
        <f>IFERROR(__xludf.DUMMYFUNCTION("""COMPUTED_VALUE"""),"Alignment Forum")</f>
        <v>Alignment Forum</v>
      </c>
      <c r="F1051">
        <f>IFERROR(__xludf.DUMMYFUNCTION("""COMPUTED_VALUE"""),2020.0)</f>
        <v>2020</v>
      </c>
      <c r="H1051" s="3" t="str">
        <f>IFERROR(__xludf.DUMMYFUNCTION("""COMPUTED_VALUE"""),"AN #90")</f>
        <v>AN #90</v>
      </c>
      <c r="I1051" t="str">
        <f>IFERROR(__xludf.DUMMYFUNCTION("""COMPUTED_VALUE"""),"Asya")</f>
        <v>Asya</v>
      </c>
      <c r="J1051" t="str">
        <f>IFERROR(__xludf.DUMMYFUNCTION("""COMPUTED_VALUE"""),"This post gives an analogy to explain _optimization demons_: a type of undesirable behavior that arises in imperfect search processes. In the analogy, a ball rolls down a hill trying to go as far down as possible, mimicking a gradient descent algorithm. T"&amp;"he ball is benefited by random noise, but still basically only experiences local changes in slope-- it cannot see steep drop-offs that are a little off to the side. Small bumps in the hill can temporarily alter the ball's trajectory, and the bumps that ar"&amp;"e selected for are the ones that most effectively control its trajectory.  In this way, over time the ball's trajectory selects for _demons_, twisty paths with high walls that keep the ball contained and avoid competing walls. Demons cause the ball to go "&amp;"down the hill as slowly as possible so that potential energy is conserved for avoiding competitor walls.
The general pattern this analogy is meant to elucidate is the following: In any imperfect search mechanism with a rich enough search space, a feedbac"&amp;"k loop can appear that creates a more-and-more perfect exploitation of the imperfect search mechanism, resulting in a whole new optimization process. The post gives several real world examples as proofs that this is a failure mode that happens in real sys"&amp;"tems. One example is metabolic reactions-- a chemical system searches by making random small changes to the system state while trying to minimize free energy. Biological systems exploit the search by manipulating the height of the barriers between low-fre"&amp;"e-energy states, raising or lowering the activation energies required to cross them. After enough time, some chemicals changed the barriers enough such that more copies of the chemicals were made, kicking off an unstable feedback loop that led to life on "&amp;"earth.
The post ends by posing an open question asking what about a system makes this kind of failure mode likely to happen.")</f>
        <v>This post gives an analogy to explain _optimization demons_: a type of undesirable behavior that arises in imperfect search processes. In the analogy, a ball rolls down a hill trying to go as far down as possible, mimicking a gradient descent algorithm. The ball is benefited by random noise, but still basically only experiences local changes in slope-- it cannot see steep drop-offs that are a little off to the side. Small bumps in the hill can temporarily alter the ball's trajectory, and the bumps that are selected for are the ones that most effectively control its trajectory.  In this way, over time the ball's trajectory selects for _demons_, twisty paths with high walls that keep the ball contained and avoid competing walls. Demons cause the ball to go down the hill as slowly as possible so that potential energy is conserved for avoiding competitor walls.
The general pattern this analogy is meant to elucidate is the following: In any imperfect search mechanism with a rich enough search space, a feedback loop can appear that creates a more-and-more perfect exploitation of the imperfect search mechanism, resulting in a whole new optimization process. The post gives several real world examples as proofs that this is a failure mode that happens in real systems. One example is metabolic reactions-- a chemical system searches by making random small changes to the system state while trying to minimize free energy. Biological systems exploit the search by manipulating the height of the barriers between low-free-energy states, raising or lowering the activation energies required to cross them. After enough time, some chemicals changed the barriers enough such that more copies of the chemicals were made, kicking off an unstable feedback loop that led to life on earth.
The post ends by posing an open question asking what about a system makes this kind of failure mode likely to happen.</v>
      </c>
      <c r="K1051" t="str">
        <f>IFERROR(__xludf.DUMMYFUNCTION("""COMPUTED_VALUE"""),"I think it's worth spelling out how this is different from the failure modes described in &lt;@Risks from Learned Optimization@&gt;(@Risks from Learned Optimization in Advanced Machine Learning Systems@). In Risks from Learned Optimization, we are concerned tha"&amp;"t the outer optimizer will produce an unaligned _inner optimizer_ because we're training it in diverse environments, and an inner optimizer may be the best solution for performing well in diverse environments. In this post, we are concerned that the outer"&amp;" optimizer will produce an unaligned _demon_ (which may or may not be an optimizer) because the search process may have some self-reinforcing imperfections that allow it to be pushed strongly in a direction orthogonal to its objective. This direction coul"&amp;"d be bad unless the original outer objective is a perfect specification of what we want. This means that even if the [conditions for mesa-optimization](https://www.alignmentforum.org/s/r9tYkB2a8Fp4DN8yB/p/q2rCMHNXazALgQpGH) don't hold-- even if we're trai"&amp;"ning on a fairly narrow task where search doesn't give an advantage-- there may be demon-related failure modes that are worth thinking about.
I really like this post, I think it crystallizes an important failure mode that I haven't seen described before."&amp;" I'm excited to see more work on this class of problems.")</f>
        <v>I think it's worth spelling out how this is different from the failure modes described in &lt;@Risks from Learned Optimization@&gt;(@Risks from Learned Optimization in Advanced Machine Learning Systems@). In Risks from Learned Optimization, we are concerned that the outer optimizer will produce an unaligned _inner optimizer_ because we're training it in diverse environments, and an inner optimizer may be the best solution for performing well in diverse environments. In this post, we are concerned that the outer optimizer will produce an unaligned _demon_ (which may or may not be an optimizer) because the search process may have some self-reinforcing imperfections that allow it to be pushed strongly in a direction orthogonal to its objective. This direction could be bad unless the original outer objective is a perfect specification of what we want. This means that even if the [conditions for mesa-optimization](https://www.alignmentforum.org/s/r9tYkB2a8Fp4DN8yB/p/q2rCMHNXazALgQpGH) don't hold-- even if we're training on a fairly narrow task where search doesn't give an advantage-- there may be demon-related failure modes that are worth thinking about.
I really like this post, I think it crystallizes an important failure mode that I haven't seen described before. I'm excited to see more work on this class of problems.</v>
      </c>
    </row>
    <row r="1052">
      <c r="A1052" t="str">
        <f>IFERROR(__xludf.DUMMYFUNCTION("""COMPUTED_VALUE"""),"Mesa optimization")</f>
        <v>Mesa optimization</v>
      </c>
      <c r="B1052" t="str">
        <f>IFERROR(__xludf.DUMMYFUNCTION("""COMPUTED_VALUE"""),"Highlight")</f>
        <v>Highlight</v>
      </c>
      <c r="C1052" s="3" t="str">
        <f>IFERROR(__xludf.DUMMYFUNCTION("""COMPUTED_VALUE"""),"Tessellating Hills: a toy model for demons in imperfect search")</f>
        <v>Tessellating Hills: a toy model for demons in imperfect search</v>
      </c>
      <c r="D1052" t="str">
        <f>IFERROR(__xludf.DUMMYFUNCTION("""COMPUTED_VALUE"""),"DaemonicSigil")</f>
        <v>DaemonicSigil</v>
      </c>
      <c r="E1052" t="str">
        <f>IFERROR(__xludf.DUMMYFUNCTION("""COMPUTED_VALUE"""),"Alignment Forum")</f>
        <v>Alignment Forum</v>
      </c>
      <c r="F1052">
        <f>IFERROR(__xludf.DUMMYFUNCTION("""COMPUTED_VALUE"""),2020.0)</f>
        <v>2020</v>
      </c>
      <c r="H1052" s="3" t="str">
        <f>IFERROR(__xludf.DUMMYFUNCTION("""COMPUTED_VALUE"""),"AN #90")</f>
        <v>AN #90</v>
      </c>
      <c r="I1052" t="str">
        <f>IFERROR(__xludf.DUMMYFUNCTION("""COMPUTED_VALUE"""),"Asya")</f>
        <v>Asya</v>
      </c>
      <c r="J1052" t="str">
        <f>IFERROR(__xludf.DUMMYFUNCTION("""COMPUTED_VALUE"""),"This post is trying to generate an example of the problem outlined in 'Demons in Imperfect Search' (summarized above): the problem where certain imperfect search processes allow for self-reinforcing behavior, 'demons', that push in a direction orthogonal "&amp;"to the original objective.
The post runs a simple gradient descent algorithm in an artifically constructed search space. The loss function that defines the search space has two major parts. One part straightforwardly tries to get the algorithm to move as"&amp;" far as it can in a particular direction _x0_ -- this represents our original objective function. The other part can be thought of as a series of periodic 'valleys' along every other axis, (_x1_ ... _xn_) that get steeper the farther you go along that axi"&amp;"s.
When running the gradient descent, at first _x0_ increases steadily, and the other coordinates wander around more or less randomly. In the second phase, a self-reinforcing combination of valleys (a ""demon"") takes hold and amplifies itself drasticall"&amp;"y, feeding off the large _x0_ gradient. Finally, this demon becomes so strong that the search gets stuck in a local valley and further progress stops.")</f>
        <v>This post is trying to generate an example of the problem outlined in 'Demons in Imperfect Search' (summarized above): the problem where certain imperfect search processes allow for self-reinforcing behavior, 'demons', that push in a direction orthogonal to the original objective.
The post runs a simple gradient descent algorithm in an artifically constructed search space. The loss function that defines the search space has two major parts. One part straightforwardly tries to get the algorithm to move as far as it can in a particular direction _x0_ -- this represents our original objective function. The other part can be thought of as a series of periodic 'valleys' along every other axis, (_x1_ ... _xn_) that get steeper the farther you go along that axis.
When running the gradient descent, at first _x0_ increases steadily, and the other coordinates wander around more or less randomly. In the second phase, a self-reinforcing combination of valleys (a "demon") takes hold and amplifies itself drastically, feeding off the large _x0_ gradient. Finally, this demon becomes so strong that the search gets stuck in a local valley and further progress stops.</v>
      </c>
      <c r="K1052" t="str">
        <f>IFERROR(__xludf.DUMMYFUNCTION("""COMPUTED_VALUE"""),"I think this is a good illustration of the problem specified in Demons in Imperfect Search. Clearly the space has to have a fairly specific shape, so the natural follow-up question, as is posed in the original post, is to think about what cases cause thes"&amp;"e kinds of self-reinforcing search spaces to arise.")</f>
        <v>I think this is a good illustration of the problem specified in Demons in Imperfect Search. Clearly the space has to have a fairly specific shape, so the natural follow-up question, as is posed in the original post, is to think about what cases cause these kinds of self-reinforcing search spaces to arise.</v>
      </c>
    </row>
    <row r="1053">
      <c r="A1053" t="str">
        <f>IFERROR(__xludf.DUMMYFUNCTION("""COMPUTED_VALUE"""),"Mesa optimization")</f>
        <v>Mesa optimization</v>
      </c>
      <c r="B1053" t="str">
        <f>IFERROR(__xludf.DUMMYFUNCTION("""COMPUTED_VALUE"""),"Highlight")</f>
        <v>Highlight</v>
      </c>
      <c r="C1053" s="3" t="str">
        <f>IFERROR(__xludf.DUMMYFUNCTION("""COMPUTED_VALUE"""),"Towards an empirical investigation of inner alignment")</f>
        <v>Towards an empirical investigation of inner alignment</v>
      </c>
      <c r="D1053" t="str">
        <f>IFERROR(__xludf.DUMMYFUNCTION("""COMPUTED_VALUE"""),"Evan Hubinger")</f>
        <v>Evan Hubinger</v>
      </c>
      <c r="E1053" t="str">
        <f>IFERROR(__xludf.DUMMYFUNCTION("""COMPUTED_VALUE"""),"Alignment Forum")</f>
        <v>Alignment Forum</v>
      </c>
      <c r="F1053">
        <f>IFERROR(__xludf.DUMMYFUNCTION("""COMPUTED_VALUE"""),2019.0)</f>
        <v>2019</v>
      </c>
      <c r="H1053" s="3" t="str">
        <f>IFERROR(__xludf.DUMMYFUNCTION("""COMPUTED_VALUE"""),"AN #67")</f>
        <v>AN #67</v>
      </c>
      <c r="I1053" t="str">
        <f>IFERROR(__xludf.DUMMYFUNCTION("""COMPUTED_VALUE"""),"Rohin")</f>
        <v>Rohin</v>
      </c>
      <c r="J1053" t="str">
        <f>IFERROR(__xludf.DUMMYFUNCTION("""COMPUTED_VALUE"""),"Last week, we saw that the worrying thing about &lt;@mesa optimizers@&gt;(@Risks from Learned Optimization in Advanced Machine Learning Systems@) was that they could have &lt;@robust capabilities, but not robust alignment@&gt;(@2-D Robustness@). This leads to an **in"&amp;"ner alignment failure**: the agent will take competent, highly-optimized actions in pursuit of a goal that you didn't want.
This post proposes that we empirically investigate what kinds of mesa objective functions are likely to be learned, by trying to c"&amp;"onstruct mesa optimizers. To do this, we need two ingredients: first, an environment in which there are many distinct proxies that lead to good behavior on the training environment, and second, an architecture that will actually learn a model that is itse"&amp;"lf performing search, so that it has robust capabilities. Then, the experiment is simple: train the model using deep RL, and investigate its behavior off distribution to distinguish between the various possible proxy reward functions it could have learned"&amp;". (The next summary has an example.)
Some desirable properties:
- The proxies should not be _identical_ on the training distribution.
- There shouldn't be too many reasonable proxies, since then it would be hard to identify which proxy was learned by the"&amp;" neural net.
- Proxies should differ on ""interesting"" properties, such as how hard the proxy is to compute from the model's observations, so that we can figure out how a particular property influences whether the proxy will be learned by the model.")</f>
        <v>Last week, we saw that the worrying thing about &lt;@mesa optimizers@&gt;(@Risks from Learned Optimization in Advanced Machine Learning Systems@) was that they could have &lt;@robust capabilities, but not robust alignment@&gt;(@2-D Robustness@). This leads to an **inner alignment failure**: the agent will take competent, highly-optimized actions in pursuit of a goal that you didn't want.
This post proposes that we empirically investigate what kinds of mesa objective functions are likely to be learned, by trying to construct mesa optimizers. To do this, we need two ingredients: first, an environment in which there are many distinct proxies that lead to good behavior on the training environment, and second, an architecture that will actually learn a model that is itself performing search, so that it has robust capabilities. Then, the experiment is simple: train the model using deep RL, and investigate its behavior off distribution to distinguish between the various possible proxy reward functions it could have learned. (The next summary has an example.)
Some desirable properties:
- The proxies should not be _identical_ on the training distribution.
- There shouldn't be too many reasonable proxies, since then it would be hard to identify which proxy was learned by the neural net.
- Proxies should differ on "interesting" properties, such as how hard the proxy is to compute from the model's observations, so that we can figure out how a particular property influences whether the proxy will be learned by the model.</v>
      </c>
      <c r="K1053" t="str">
        <f>IFERROR(__xludf.DUMMYFUNCTION("""COMPUTED_VALUE"""),"I'm very excited by this general line of research: in fact, I developed my own [proposal](https://docs.google.com/document/d/1G1a1XOiKoHLGpD03IZIqIatphPx5JNBE5WYMn1y3V0A/edit) along the same lines. As a result, I have a lot of opinions, many of which I wr"&amp;"ote up in [this comment](https://www.alignmentforum.org/posts/2GycxikGnepJbxfHT/towards-an-empirical-investigation-of-inner-alignment#3ptrL2EFi8p2umNf2), but I'll give a summary here.
I agree pretty strongly with the high level details (focusing on robus"&amp;"t capabilities without robust alignment, identifying multiple proxies as the key issue, and focusing on environment design and architecture choice as the hard problems). I do differ in the details though. I'm more interested in producing a compelling exam"&amp;"ple of mesa optimization, and so I care about having a sufficiently complex environment, like Minecraft. I also don't expect there to be a ""part"" of the neural net that is actually computing the mesa objective; I simply expect that the heuristics learne"&amp;"d by the neural net will be consistent with optimization of some proxy reward function. As a result, I'm less excited about studying properties like ""how hard is the mesa objective to compute"".")</f>
        <v>I'm very excited by this general line of research: in fact, I developed my own [proposal](https://docs.google.com/document/d/1G1a1XOiKoHLGpD03IZIqIatphPx5JNBE5WYMn1y3V0A/edit) along the same lines. As a result, I have a lot of opinions, many of which I wrote up in [this comment](https://www.alignmentforum.org/posts/2GycxikGnepJbxfHT/towards-an-empirical-investigation-of-inner-alignment#3ptrL2EFi8p2umNf2), but I'll give a summary here.
I agree pretty strongly with the high level details (focusing on robust capabilities without robust alignment, identifying multiple proxies as the key issue, and focusing on environment design and architecture choice as the hard problems). I do differ in the details though. I'm more interested in producing a compelling example of mesa optimization, and so I care about having a sufficiently complex environment, like Minecraft. I also don't expect there to be a "part" of the neural net that is actually computing the mesa objective; I simply expect that the heuristics learned by the neural net will be consistent with optimization of some proxy reward function. As a result, I'm less excited about studying properties like "how hard is the mesa objective to compute".</v>
      </c>
    </row>
    <row r="1054">
      <c r="A1054" t="str">
        <f>IFERROR(__xludf.DUMMYFUNCTION("""COMPUTED_VALUE"""),"Mesa optimization")</f>
        <v>Mesa optimization</v>
      </c>
      <c r="B1054" t="str">
        <f>IFERROR(__xludf.DUMMYFUNCTION("""COMPUTED_VALUE"""),"Highlight")</f>
        <v>Highlight</v>
      </c>
      <c r="C1054" s="3" t="str">
        <f>IFERROR(__xludf.DUMMYFUNCTION("""COMPUTED_VALUE"""),"A simple environment for showing mesa misalignment")</f>
        <v>A simple environment for showing mesa misalignment</v>
      </c>
      <c r="D1054" t="str">
        <f>IFERROR(__xludf.DUMMYFUNCTION("""COMPUTED_VALUE"""),"Matthew Barnett")</f>
        <v>Matthew Barnett</v>
      </c>
      <c r="E1054" t="str">
        <f>IFERROR(__xludf.DUMMYFUNCTION("""COMPUTED_VALUE"""),"Alignment Forum")</f>
        <v>Alignment Forum</v>
      </c>
      <c r="F1054">
        <f>IFERROR(__xludf.DUMMYFUNCTION("""COMPUTED_VALUE"""),2019.0)</f>
        <v>2019</v>
      </c>
      <c r="H1054" s="3" t="str">
        <f>IFERROR(__xludf.DUMMYFUNCTION("""COMPUTED_VALUE"""),"AN #67")</f>
        <v>AN #67</v>
      </c>
      <c r="I1054" t="str">
        <f>IFERROR(__xludf.DUMMYFUNCTION("""COMPUTED_VALUE"""),"Rohin")</f>
        <v>Rohin</v>
      </c>
      <c r="J1054" t="str">
        <f>IFERROR(__xludf.DUMMYFUNCTION("""COMPUTED_VALUE"""),"This post proposes a concrete environment in which we can run the experiments suggested in the previous post. The environment is a maze which contains keys and chests. The true objective is to open chests, but opening a chest requires you to already have "&amp;"a key (and uses up the key). During training, there will be far fewer keys than chests, and so we would expect the learned model to develop an ""urge"" to pick up keys. If we then test it in mazes with lots of keys, it would go around competently picking "&amp;"up keys while potentially ignoring chests, which would count as a failure of inner alignment. This predicted behavior is similar to how humans developed an ""urge"" for food because food was scarce in the ancestral environment, even though now food is abu"&amp;"ndant.")</f>
        <v>This post proposes a concrete environment in which we can run the experiments suggested in the previous post. The environment is a maze which contains keys and chests. The true objective is to open chests, but opening a chest requires you to already have a key (and uses up the key). During training, there will be far fewer keys than chests, and so we would expect the learned model to develop an "urge" to pick up keys. If we then test it in mazes with lots of keys, it would go around competently picking up keys while potentially ignoring chests, which would count as a failure of inner alignment. This predicted behavior is similar to how humans developed an "urge" for food because food was scarce in the ancestral environment, even though now food is abundant.</v>
      </c>
      <c r="K1054" t="str">
        <f>IFERROR(__xludf.DUMMYFUNCTION("""COMPUTED_VALUE"""),"While I would prefer a more complex environment to make a more compelling case that this will be a problem in realistic environments, I do think that this would be a great environment to start testing in. In general, I like the pattern of ""the true objec"&amp;"tive is Y, but during training you need to do X to get Y"": it seems particularly likely that even current systems would learn to competently pursue X in such a situation.")</f>
        <v>While I would prefer a more complex environment to make a more compelling case that this will be a problem in realistic environments, I do think that this would be a great environment to start testing in. In general, I like the pattern of "the true objective is Y, but during training you need to do X to get Y": it seems particularly likely that even current systems would learn to competently pursue X in such a situation.</v>
      </c>
    </row>
    <row r="1055">
      <c r="A1055" t="str">
        <f>IFERROR(__xludf.DUMMYFUNCTION("""COMPUTED_VALUE"""),"Mesa optimization")</f>
        <v>Mesa optimization</v>
      </c>
      <c r="B1055" t="str">
        <f>IFERROR(__xludf.DUMMYFUNCTION("""COMPUTED_VALUE"""),"Highlight")</f>
        <v>Highlight</v>
      </c>
      <c r="C1055" s="3" t="str">
        <f>IFERROR(__xludf.DUMMYFUNCTION("""COMPUTED_VALUE"""),"2-D Robustness")</f>
        <v>2-D Robustness</v>
      </c>
      <c r="D1055" t="str">
        <f>IFERROR(__xludf.DUMMYFUNCTION("""COMPUTED_VALUE"""),"Vladimir Mikulik")</f>
        <v>Vladimir Mikulik</v>
      </c>
      <c r="E1055" t="str">
        <f>IFERROR(__xludf.DUMMYFUNCTION("""COMPUTED_VALUE"""),"Alignment Forum")</f>
        <v>Alignment Forum</v>
      </c>
      <c r="F1055">
        <f>IFERROR(__xludf.DUMMYFUNCTION("""COMPUTED_VALUE"""),2019.0)</f>
        <v>2019</v>
      </c>
      <c r="H1055" s="3" t="str">
        <f>IFERROR(__xludf.DUMMYFUNCTION("""COMPUTED_VALUE"""),"AN #66")</f>
        <v>AN #66</v>
      </c>
      <c r="I1055" t="str">
        <f>IFERROR(__xludf.DUMMYFUNCTION("""COMPUTED_VALUE"""),"Matthew")</f>
        <v>Matthew</v>
      </c>
      <c r="J1055" t="str">
        <f>IFERROR(__xludf.DUMMYFUNCTION("""COMPUTED_VALUE"""),"Typically when we think about machine learning robustness we imagine a scalar quantity representing how well a system performs when it is taken off its training distribution. When considering &lt;@mesa optimization@&gt;(@Risks from Learned Optimization in Advan"&amp;"ced Machine Learning Systems@), it is natural to instead decompose robustness into two variables: robust capabilities and robust alignment. When given an environment that does not perfectly resemble its training environment, a mesa optimizer could be dang"&amp;"erous by competently pursuing a mesa objective that is different from the loss function used during training. This combination of robust capabilities without robust alignment is an example of a malign failure, the most worrisome outcome of creating a mesa"&amp;" optimizer.")</f>
        <v>Typically when we think about machine learning robustness we imagine a scalar quantity representing how well a system performs when it is taken off its training distribution. When considering &lt;@mesa optimization@&gt;(@Risks from Learned Optimization in Advanced Machine Learning Systems@), it is natural to instead decompose robustness into two variables: robust capabilities and robust alignment. When given an environment that does not perfectly resemble its training environment, a mesa optimizer could be dangerous by competently pursuing a mesa objective that is different from the loss function used during training. This combination of robust capabilities without robust alignment is an example of a malign failure, the most worrisome outcome of creating a mesa optimizer.</v>
      </c>
      <c r="K1055" t="str">
        <f>IFERROR(__xludf.DUMMYFUNCTION("""COMPUTED_VALUE"""),"Decomposing robustness in this way helps me distinguish misaligned mesa optimization from the more general problem of machine learning robustness. I think it's important for researchers to understand this distinction because it is critical for understandi"&amp;"ng why a failure to solve the robustness problem could plausibly result in a catastrophe rather than merely a benign capabilities failure.
**Rohin's opinion:** I strongly agree with this distinction, and in fact when I think about the problem of mesa opt"&amp;"imization, I prefer to only think about models whose capabilities are robust but whose objective or goal is not, rather than considering the internals of the model and whether or not it is performing search, which seems like a much hairier question.")</f>
        <v>Decomposing robustness in this way helps me distinguish misaligned mesa optimization from the more general problem of machine learning robustness. I think it's important for researchers to understand this distinction because it is critical for understanding why a failure to solve the robustness problem could plausibly result in a catastrophe rather than merely a benign capabilities failure.
**Rohin's opinion:** I strongly agree with this distinction, and in fact when I think about the problem of mesa optimization, I prefer to only think about models whose capabilities are robust but whose objective or goal is not, rather than considering the internals of the model and whether or not it is performing search, which seems like a much hairier question.</v>
      </c>
    </row>
    <row r="1056">
      <c r="A1056" t="str">
        <f>IFERROR(__xludf.DUMMYFUNCTION("""COMPUTED_VALUE"""),"Mesa optimization")</f>
        <v>Mesa optimization</v>
      </c>
      <c r="B1056" t="str">
        <f>IFERROR(__xludf.DUMMYFUNCTION("""COMPUTED_VALUE"""),"Highlight")</f>
        <v>Highlight</v>
      </c>
      <c r="C1056" s="3" t="str">
        <f>IFERROR(__xludf.DUMMYFUNCTION("""COMPUTED_VALUE"""),"Risks from Learned Optimization in Advanced Machine Learning Systems")</f>
        <v>Risks from Learned Optimization in Advanced Machine Learning Systems</v>
      </c>
      <c r="D1056" t="str">
        <f>IFERROR(__xludf.DUMMYFUNCTION("""COMPUTED_VALUE"""),"Evan Hubinger*, Chris Van Merwijk*, Vladimir Mikulik*, Joar Skalse*, Scott Garrabrant")</f>
        <v>Evan Hubinger*, Chris Van Merwijk*, Vladimir Mikulik*, Joar Skalse*, Scott Garrabrant</v>
      </c>
      <c r="E1056" t="str">
        <f>IFERROR(__xludf.DUMMYFUNCTION("""COMPUTED_VALUE"""),"Alignment Forum")</f>
        <v>Alignment Forum</v>
      </c>
      <c r="F1056">
        <f>IFERROR(__xludf.DUMMYFUNCTION("""COMPUTED_VALUE"""),2019.0)</f>
        <v>2019</v>
      </c>
      <c r="H1056" s="3" t="str">
        <f>IFERROR(__xludf.DUMMYFUNCTION("""COMPUTED_VALUE"""),"AN #58")</f>
        <v>AN #58</v>
      </c>
      <c r="I1056" t="str">
        <f>IFERROR(__xludf.DUMMYFUNCTION("""COMPUTED_VALUE"""),"Rohin")</f>
        <v>Rohin</v>
      </c>
      <c r="J1056" t="str">
        <f>IFERROR(__xludf.DUMMYFUNCTION("""COMPUTED_VALUE"""),"Suppose you search over a space of programs, looking for one that plays TicTacToe well. Initially, you might find some good heuristics, e.g. go for the center square, if you have two along a row then place the third one, etc. But eventually you might find"&amp;" the [minimax algorithm](https://en.wikipedia.org/wiki/Minimax#Pseudocode), which plays optimally by searching for the best action to take. Notably, your outer optimization over the space of programs found a program that was _itself_ an optimizer that sea"&amp;"rches over possible moves. In the language of this paper, the minimax algorithm is a **mesa optimizer**: an optimizer that is found autonomously by a **base optimizer**, in this case the search over programs.
Why is this relevant to AI? Well, gradient de"&amp;"scent is an optimization algorithm that searches over the space of neural net parameters to find a set that performs well on some objective. It seems plausible that the same thing could occur: gradient descent could find a model that is itself performing "&amp;"optimization. That model would then be a mesa optimizer, and the objective that it optimizes is the **mesa objective**. Note that while the mesa objective should lead to similar behavior as the base objective on the training distribution, it need not do s"&amp;"o off distribution. This means the mesa objective is **pseudo aligned**; if it also leads to similar behavior off distribution it is **robustly aligned**.
A central worry with AI alignment is that if powerful AI agents optimize the wrong objective, it co"&amp;"uld lead to catastrophic outcomes for humanity. With the possibility of mesa optimizers, this worry is doubled: we need to ensure both that the base objective is aligned with humans (called **outer alignment**) and that the mesa objective is aligned with "&amp;"the base objective (called **inner alignment**). A particularly worrying aspect is **deceptive alignment**: the mesa optimizer has a long-term mesa objective, but knows that it is being optimized for a base objective. So, it optimizes the base objective d"&amp;"uring training to avoid being modified, but at deployment when the threat of modification is gone, it pursues only the mesa objective.
As a motivating example, if someone wanted to create the best biological replicators, they could have reasonably used n"&amp;"atural selection / evolution as an optimization algorithm for this goal. However, this then would lead to the creation of humans, who would be mesa optimizers that optimize for other goals, and don't optimize for replication (e.g. by using birth control)."&amp;"
The paper has a lot more detail and analysis of what factors make mesa-optimization more likely, more dangerous, etc. You'll have to read the paper for all of these details. One general pattern is that, when using machine learning for some task X, there"&amp;" are a bunch of properties that affect the likelihood of learning heuristics or proxies rather than actually learning the optimal algorithm for X. For any such property, making heuristics/proxies more likely would result in a lower chance of mesa-optimiza"&amp;"tion (since optimizers are less like heuristics/proxies), but conditional on mesa-optimization arising, makes it more likely that it is pseudo aligned instead of robustly aligned (because now the pressure for heuristics/proxies leads to learning a proxy m"&amp;"esa-objective instead of the true base objective).")</f>
        <v>Suppose you search over a space of programs, looking for one that plays TicTacToe well. Initially, you might find some good heuristics, e.g. go for the center square, if you have two along a row then place the third one, etc. But eventually you might find the [minimax algorithm](https://en.wikipedia.org/wiki/Minimax#Pseudocode), which plays optimally by searching for the best action to take. Notably, your outer optimization over the space of programs found a program that was _itself_ an optimizer that searches over possible moves. In the language of this paper, the minimax algorithm is a **mesa optimizer**: an optimizer that is found autonomously by a **base optimizer**, in this case the search over programs.
Why is this relevant to AI? Well, gradient descent is an optimization algorithm that searches over the space of neural net parameters to find a set that performs well on some objective. It seems plausible that the same thing could occur: gradient descent could find a model that is itself performing optimization. That model would then be a mesa optimizer, and the objective that it optimizes is the **mesa objective**. Note that while the mesa objective should lead to similar behavior as the base objective on the training distribution, it need not do so off distribution. This means the mesa objective is **pseudo aligned**; if it also leads to similar behavior off distribution it is **robustly aligned**.
A central worry with AI alignment is that if powerful AI agents optimize the wrong objective, it could lead to catastrophic outcomes for humanity. With the possibility of mesa optimizers, this worry is doubled: we need to ensure both that the base objective is aligned with humans (called **outer alignment**) and that the mesa objective is aligned with the base objective (called **inner alignment**). A particularly worrying aspect is **deceptive alignment**: the mesa optimizer has a long-term mesa objective, but knows that it is being optimized for a base objective. So, it optimizes the base objective during training to avoid being modified, but at deployment when the threat of modification is gone, it pursues only the mesa objective.
As a motivating example, if someone wanted to create the best biological replicators, they could have reasonably used natural selection / evolution as an optimization algorithm for this goal. However, this then would lead to the creation of humans, who would be mesa optimizers that optimize for other goals, and don't optimize for replication (e.g. by using birth control).
The paper has a lot more detail and analysis of what factors make mesa-optimization more likely, more dangerous, etc. You'll have to read the paper for all of these details. One general pattern is that, when using machine learning for some task X, there are a bunch of properties that affect the likelihood of learning heuristics or proxies rather than actually learning the optimal algorithm for X. For any such property, making heuristics/proxies more likely would result in a lower chance of mesa-optimization (since optimizers are less like heuristics/proxies), but conditional on mesa-optimization arising, makes it more likely that it is pseudo aligned instead of robustly aligned (because now the pressure for heuristics/proxies leads to learning a proxy mesa-objective instead of the true base objective).</v>
      </c>
      <c r="K1056" t="str">
        <f>IFERROR(__xludf.DUMMYFUNCTION("""COMPUTED_VALUE"""),"I'm glad this paper has finally come out. The concepts of mesa optimization and the inner alignment problem seem quite important, and currently I am most worried about x-risk caused by a misaligned mesa optimizer. Unfortunately, it is not yet clear whethe"&amp;"r mesa optimizers will actually arise in practice, though I think conditional on us developing AGI it is quite likely. Gradient descent is a relatively weak optimizer; it seems like AGI would have to be much more powerful, and so would require a learned o"&amp;"ptimizer (in the same way that humans can be thought of as ""optimizers learned by evolution"").
There still is a lot of confusion and uncertainty around the concept, especially because we don't have a good definition of ""optimization"". It also doesn't"&amp;" help that it's hard to get an example of this in an existing ML system -- today's systems are likely not powerful enough to have a mesa optimizer (though even if they had a mesa optimizer, we might not be able to tell because of how uninterpretable the m"&amp;"odels are).")</f>
        <v>I'm glad this paper has finally come out. The concepts of mesa optimization and the inner alignment problem seem quite important, and currently I am most worried about x-risk caused by a misaligned mesa optimizer. Unfortunately, it is not yet clear whether mesa optimizers will actually arise in practice, though I think conditional on us developing AGI it is quite likely. Gradient descent is a relatively weak optimizer; it seems like AGI would have to be much more powerful, and so would require a learned optimizer (in the same way that humans can be thought of as "optimizers learned by evolution").
There still is a lot of confusion and uncertainty around the concept, especially because we don't have a good definition of "optimization". It also doesn't help that it's hard to get an example of this in an existing ML system -- today's systems are likely not powerful enough to have a mesa optimizer (though even if they had a mesa optimizer, we might not be able to tell because of how uninterpretable the models are).</v>
      </c>
      <c r="M1056" s="3" t="str">
        <f>IFERROR(__xludf.DUMMYFUNCTION("""COMPUTED_VALUE"""),"Alignment Forum version")</f>
        <v>Alignment Forum version</v>
      </c>
    </row>
    <row r="1057">
      <c r="A1057" t="str">
        <f>IFERROR(__xludf.DUMMYFUNCTION("""COMPUTED_VALUE"""),"Mesa optimization")</f>
        <v>Mesa optimization</v>
      </c>
      <c r="B1057" t="str">
        <f>IFERROR(__xludf.DUMMYFUNCTION("""COMPUTED_VALUE"""),"Highlight")</f>
        <v>Highlight</v>
      </c>
      <c r="C1057" s="3" t="str">
        <f>IFERROR(__xludf.DUMMYFUNCTION("""COMPUTED_VALUE"""),"Empirical Observations of Objective Robustness Failures")</f>
        <v>Empirical Observations of Objective Robustness Failures</v>
      </c>
      <c r="D1057" t="str">
        <f>IFERROR(__xludf.DUMMYFUNCTION("""COMPUTED_VALUE"""),"Jack Koch*, Lauro Langosco*, Jacob Pfau, James Le, Lee Sharkey")</f>
        <v>Jack Koch*, Lauro Langosco*, Jacob Pfau, James Le, Lee Sharkey</v>
      </c>
      <c r="E1057" t="str">
        <f>IFERROR(__xludf.DUMMYFUNCTION("""COMPUTED_VALUE"""),"arXiv")</f>
        <v>arXiv</v>
      </c>
      <c r="F1057">
        <f>IFERROR(__xludf.DUMMYFUNCTION("""COMPUTED_VALUE"""),2021.0)</f>
        <v>2021</v>
      </c>
      <c r="H1057" s="3" t="str">
        <f>IFERROR(__xludf.DUMMYFUNCTION("""COMPUTED_VALUE"""),"AN #153")</f>
        <v>AN #153</v>
      </c>
      <c r="I1057" t="str">
        <f>IFERROR(__xludf.DUMMYFUNCTION("""COMPUTED_VALUE"""),"Rohin")</f>
        <v>Rohin</v>
      </c>
      <c r="J1057" t="str">
        <f>IFERROR(__xludf.DUMMYFUNCTION("""COMPUTED_VALUE"""),"This paper presents empirical demonstrations of failures of objective robustness. We've seen &lt;@objective robustness@&gt;(@2-D Robustness@) / &lt;@inner alignment@&gt;(@Inner Alignment: Explain like I'm 12 Edition@) / &lt;@mesa optimization@&gt;(@Risks from Learned Optim"&amp;"ization in Advanced Machine Learning Systems@) before; if you aren't familiar with it, I recommend reading one of those articles (or their summaries) before continuing. This paper studies these failures in the context of deep reinforcement learning and sh"&amp;"ows these failures in three cases:
1. In &lt;@CoinRun@&gt;(@Procgen Benchmark@), if you train an agent normally (where the rewarding coin is always at the rightmost end of the level), the agent learns to move to the right. If you randomize the coin location at"&amp;" test time, the agent will ignore it and instead run to the rightmost end of the level and jump. It still competently avoids obstacles and enemies: its capabilities are robust, but its objective is not. Using the interpretability tools from &lt;@Understandin"&amp;"g RL Vision@&gt;, we find that the policy and value function pay much more attention to the right wall than to the coin.
2. Consider an agent trained to navigate to a cheese that is always placed in the upper right corner of a maze. When the location of the "&amp;"cheese is randomized at test time, the agent continues to go to the upper right corner. Alternatively, if the agent is trained to go to a yellow gem during training time, and at test time it is presented with a yellow star or a red gem, it will navigate t"&amp;"owards the yellow star.
3. In the &lt;@keys and chest environment@&gt;(@A simple environment for showing mesa misalignment@), an agent trained in a setting where keys are rare will later collect too many keys once keys become commonplace.")</f>
        <v>This paper presents empirical demonstrations of failures of objective robustness. We've seen &lt;@objective robustness@&gt;(@2-D Robustness@) / &lt;@inner alignment@&gt;(@Inner Alignment: Explain like I'm 12 Edition@) / &lt;@mesa optimization@&gt;(@Risks from Learned Optimization in Advanced Machine Learning Systems@) before; if you aren't familiar with it, I recommend reading one of those articles (or their summaries) before continuing. This paper studies these failures in the context of deep reinforcement learning and shows these failures in three cases:
1. In &lt;@CoinRun@&gt;(@Procgen Benchmark@), if you train an agent normally (where the rewarding coin is always at the rightmost end of the level), the agent learns to move to the right. If you randomize the coin location at test time, the agent will ignore it and instead run to the rightmost end of the level and jump. It still competently avoids obstacles and enemies: its capabilities are robust, but its objective is not. Using the interpretability tools from &lt;@Understanding RL Vision@&gt;, we find that the policy and value function pay much more attention to the right wall than to the coin.
2. Consider an agent trained to navigate to a cheese that is always placed in the upper right corner of a maze. When the location of the cheese is randomized at test time, the agent continues to go to the upper right corner. Alternatively, if the agent is trained to go to a yellow gem during training time, and at test time it is presented with a yellow star or a red gem, it will navigate towards the yellow star.
3. In the &lt;@keys and chest environment@&gt;(@A simple environment for showing mesa misalignment@), an agent trained in a setting where keys are rare will later collect too many keys once keys become commonplace.</v>
      </c>
      <c r="K1057" t="str">
        <f>IFERROR(__xludf.DUMMYFUNCTION("""COMPUTED_VALUE"""),"I'm glad that these experiments have finally been run and we have actual empirical examples of the phenomenon -- I especially like the CoinRun example, since it is particularly clear that in this case the capabilities are robust but the objective is not.")</f>
        <v>I'm glad that these experiments have finally been run and we have actual empirical examples of the phenomenon -- I especially like the CoinRun example, since it is particularly clear that in this case the capabilities are robust but the objective is not.</v>
      </c>
      <c r="M1057" s="3" t="str">
        <f>IFERROR(__xludf.DUMMYFUNCTION("""COMPUTED_VALUE"""),"Paper: Objective Robustness in Deep Reinforcement Learning")</f>
        <v>Paper: Objective Robustness in Deep Reinforcement Learning</v>
      </c>
    </row>
    <row r="1058">
      <c r="A1058" t="str">
        <f>IFERROR(__xludf.DUMMYFUNCTION("""COMPUTED_VALUE"""),"Mesa optimization")</f>
        <v>Mesa optimization</v>
      </c>
      <c r="B1058" t="str">
        <f>IFERROR(__xludf.DUMMYFUNCTION("""COMPUTED_VALUE"""),"")</f>
        <v/>
      </c>
      <c r="C1058" s="3" t="str">
        <f>IFERROR(__xludf.DUMMYFUNCTION("""COMPUTED_VALUE"""),"Malign generalization without internal search")</f>
        <v>Malign generalization without internal search</v>
      </c>
      <c r="D1058" t="str">
        <f>IFERROR(__xludf.DUMMYFUNCTION("""COMPUTED_VALUE"""),"Matthew Barnett")</f>
        <v>Matthew Barnett</v>
      </c>
      <c r="E1058" t="str">
        <f>IFERROR(__xludf.DUMMYFUNCTION("""COMPUTED_VALUE"""),"Alignment Forum")</f>
        <v>Alignment Forum</v>
      </c>
      <c r="F1058">
        <f>IFERROR(__xludf.DUMMYFUNCTION("""COMPUTED_VALUE"""),2020.0)</f>
        <v>2020</v>
      </c>
      <c r="H1058" s="3" t="str">
        <f>IFERROR(__xludf.DUMMYFUNCTION("""COMPUTED_VALUE"""),"AN #83")</f>
        <v>AN #83</v>
      </c>
      <c r="I1058" t="str">
        <f>IFERROR(__xludf.DUMMYFUNCTION("""COMPUTED_VALUE"""),"Rohin")</f>
        <v>Rohin</v>
      </c>
      <c r="J1058" t="str">
        <f>IFERROR(__xludf.DUMMYFUNCTION("""COMPUTED_VALUE"""),"This post argues that agents can have &lt;@capability generalization without objective generalization@&gt;(@2-D Robustness@), _without_ having an agent that does internal search in pursuit of a simple mesa objective. Consider an agent that learns different heur"&amp;"istics for different situations which it selects from using a switch statement. For example, in lunar lander, if at training time the landing pad is always red, the agent may learn a heuristic about which thrusters to apply based on the position of red gr"&amp;"ound relative to the lander. The post argues that this selection across heuristics could still happen with very complex agents (though the heuristics themselves may involve search).")</f>
        <v>This post argues that agents can have &lt;@capability generalization without objective generalization@&gt;(@2-D Robustness@), _without_ having an agent that does internal search in pursuit of a simple mesa objective. Consider an agent that learns different heuristics for different situations which it selects from using a switch statement. For example, in lunar lander, if at training time the landing pad is always red, the agent may learn a heuristic about which thrusters to apply based on the position of red ground relative to the lander. The post argues that this selection across heuristics could still happen with very complex agents (though the heuristics themselves may involve search).</v>
      </c>
      <c r="K1058" t="str">
        <f>IFERROR(__xludf.DUMMYFUNCTION("""COMPUTED_VALUE"""),"I generally agree that you could get powerful agents that nonetheless are ""following heuristics"" rather than ""doing search""; however, others with differing intuitions [did not find this post convincing](https://www.alignmentforum.org/posts/ynt9TD6PrYw"&amp;"6iT49m/malign-generalization-without-internal-search#F4CzHbopjRMLJXP3h).")</f>
        <v>I generally agree that you could get powerful agents that nonetheless are "following heuristics" rather than "doing search"; however, others with differing intuitions [did not find this post convincing](https://www.alignmentforum.org/posts/ynt9TD6PrYw6iT49m/malign-generalization-without-internal-search#F4CzHbopjRMLJXP3h).</v>
      </c>
    </row>
    <row r="1059">
      <c r="A1059" t="str">
        <f>IFERROR(__xludf.DUMMYFUNCTION("""COMPUTED_VALUE"""),"Mesa optimization")</f>
        <v>Mesa optimization</v>
      </c>
      <c r="B1059" t="str">
        <f>IFERROR(__xludf.DUMMYFUNCTION("""COMPUTED_VALUE"""),"")</f>
        <v/>
      </c>
      <c r="C1059" s="3" t="str">
        <f>IFERROR(__xludf.DUMMYFUNCTION("""COMPUTED_VALUE"""),"Relaxed adversarial training for inner alignment")</f>
        <v>Relaxed adversarial training for inner alignment</v>
      </c>
      <c r="D1059" t="str">
        <f>IFERROR(__xludf.DUMMYFUNCTION("""COMPUTED_VALUE"""),"Evan Hubinger")</f>
        <v>Evan Hubinger</v>
      </c>
      <c r="E1059" t="str">
        <f>IFERROR(__xludf.DUMMYFUNCTION("""COMPUTED_VALUE"""),"Alignment Forum")</f>
        <v>Alignment Forum</v>
      </c>
      <c r="F1059">
        <f>IFERROR(__xludf.DUMMYFUNCTION("""COMPUTED_VALUE"""),2019.0)</f>
        <v>2019</v>
      </c>
      <c r="H1059" s="3" t="str">
        <f>IFERROR(__xludf.DUMMYFUNCTION("""COMPUTED_VALUE"""),"AN #70")</f>
        <v>AN #70</v>
      </c>
      <c r="I1059" t="str">
        <f>IFERROR(__xludf.DUMMYFUNCTION("""COMPUTED_VALUE"""),"Matthew")</f>
        <v>Matthew</v>
      </c>
      <c r="J1059" t="str">
        <f>IFERROR(__xludf.DUMMYFUNCTION("""COMPUTED_VALUE"""),"Previously, Paul Christiano [proposed](https://ai-alignment.com/training-robust-corrigibility-ce0e0a3b9b4d) creating an adversary to search for inputs that would make a powerful model behave ""unacceptably"" and then penalizing the model accordingly. To m"&amp;"ake the adversary's job easier, Paul relaxed the problem so that it only needed to find a pseudo-input, which can be thought of as predicate that constrains possible inputs. This post expands on Paul's proposal by first defining a formal unacceptability p"&amp;"enalty and then analyzing a number of scenarios in light of this framework. The penalty relies on the idea of an amplified model inspecting the unamplified version of itself. For this procedure to work, amplified overseers must be able to correctly deduce"&amp;" whether potential inputs will yield unacceptable behavior in their unamplified selves, which seems plausible since it should know everything the unamplified version does. The post concludes by arguing that progress in model transparency is key to these a"&amp;"cceptability guarantees. In particular, Evan emphasizes the need to decompose models into the parts involved in their internal optimization processes, such as their world models, optimization procedures, and objectives.")</f>
        <v>Previously, Paul Christiano [proposed](https://ai-alignment.com/training-robust-corrigibility-ce0e0a3b9b4d) creating an adversary to search for inputs that would make a powerful model behave "unacceptably" and then penalizing the model accordingly. To make the adversary's job easier, Paul relaxed the problem so that it only needed to find a pseudo-input, which can be thought of as predicate that constrains possible inputs. This post expands on Paul's proposal by first defining a formal unacceptability penalty and then analyzing a number of scenarios in light of this framework. The penalty relies on the idea of an amplified model inspecting the unamplified version of itself. For this procedure to work, amplified overseers must be able to correctly deduce whether potential inputs will yield unacceptable behavior in their unamplified selves, which seems plausible since it should know everything the unamplified version does. The post concludes by arguing that progress in model transparency is key to these acceptability guarantees. In particular, Evan emphasizes the need to decompose models into the parts involved in their internal optimization processes, such as their world models, optimization procedures, and objectives.</v>
      </c>
      <c r="K1059" t="str">
        <f>IFERROR(__xludf.DUMMYFUNCTION("""COMPUTED_VALUE"""),"I agree that transparency is an important condition for the adversary, since it would be hard to search for catastrophe-inducing inputs without details of how the model operated. I'm less certain that this particular decomposition of machine learning mode"&amp;"ls is necessary. More generally, I am excited to see how adversarial training can help with [inner alignment](https://www.alignmentforum.org/posts/pL56xPoniLvtMDQ4J/the-inner-alignment-problem).")</f>
        <v>I agree that transparency is an important condition for the adversary, since it would be hard to search for catastrophe-inducing inputs without details of how the model operated. I'm less certain that this particular decomposition of machine learning models is necessary. More generally, I am excited to see how adversarial training can help with [inner alignment](https://www.alignmentforum.org/posts/pL56xPoniLvtMDQ4J/the-inner-alignment-problem).</v>
      </c>
    </row>
    <row r="1060">
      <c r="A1060" t="str">
        <f>IFERROR(__xludf.DUMMYFUNCTION("""COMPUTED_VALUE"""),"Mesa optimization")</f>
        <v>Mesa optimization</v>
      </c>
      <c r="B1060" t="str">
        <f>IFERROR(__xludf.DUMMYFUNCTION("""COMPUTED_VALUE"""),"")</f>
        <v/>
      </c>
      <c r="C1060" s="3" t="str">
        <f>IFERROR(__xludf.DUMMYFUNCTION("""COMPUTED_VALUE"""),"Concrete experiments in inner alignment")</f>
        <v>Concrete experiments in inner alignment</v>
      </c>
      <c r="D1060" t="str">
        <f>IFERROR(__xludf.DUMMYFUNCTION("""COMPUTED_VALUE"""),"Evan Hubinger")</f>
        <v>Evan Hubinger</v>
      </c>
      <c r="E1060" t="str">
        <f>IFERROR(__xludf.DUMMYFUNCTION("""COMPUTED_VALUE"""),"Alignment Forum")</f>
        <v>Alignment Forum</v>
      </c>
      <c r="F1060">
        <f>IFERROR(__xludf.DUMMYFUNCTION("""COMPUTED_VALUE"""),2019.0)</f>
        <v>2019</v>
      </c>
      <c r="I1060" t="str">
        <f>IFERROR(__xludf.DUMMYFUNCTION("""COMPUTED_VALUE"""),"Matthew")</f>
        <v>Matthew</v>
      </c>
      <c r="J1060" t="str">
        <f>IFERROR(__xludf.DUMMYFUNCTION("""COMPUTED_VALUE"""),"This post lays out several experiments that could clarify the [inner alignment problem](https://www.lesswrong.com/s/r9tYkB2a8Fp4DN8yB/p/pL56xPoniLvtMDQ4J): the problem of how to get an ML model to be robustly aligned with the objective function it was tra"&amp;"ined with. One example experiment is giving an RL trained agent direct access to its reward as part of its observation. During testing, we could try putting the model in a confusing situation by altering its observed reward so that it doesn't match the re"&amp;"al one. The hope is that we could gain insight into when RL trained agents internally represent 'goals' and how they relate to the environment, if they do at all. You'll have to read the post to see all the experiments.")</f>
        <v>This post lays out several experiments that could clarify the [inner alignment problem](https://www.lesswrong.com/s/r9tYkB2a8Fp4DN8yB/p/pL56xPoniLvtMDQ4J): the problem of how to get an ML model to be robustly aligned with the objective function it was trained with. One example experiment is giving an RL trained agent direct access to its reward as part of its observation. During testing, we could try putting the model in a confusing situation by altering its observed reward so that it doesn't match the real one. The hope is that we could gain insight into when RL trained agents internally represent 'goals' and how they relate to the environment, if they do at all. You'll have to read the post to see all the experiments.</v>
      </c>
      <c r="K1060" t="str">
        <f>IFERROR(__xludf.DUMMYFUNCTION("""COMPUTED_VALUE"""),"I'm currently convinced that doing empirical work right now will help us understand [mesa optimization](https://www.lesswrong.com/posts/q2rCMHNXazALgQpGH/conditions-for-mesa-optimization), and this was one of the posts that lead me to that conclusion. I'm"&amp;" still a bit skeptical that current techniques are sufficient to demonstrate the type of powerful learned search algorithms which could characterize the worst outcomes for failures in inner alignment. Regardless, I think at this point classifying failure "&amp;"modes is quite beneficial, and conducting tests like the ones in this post will make that a lot easier.")</f>
        <v>I'm currently convinced that doing empirical work right now will help us understand [mesa optimization](https://www.lesswrong.com/posts/q2rCMHNXazALgQpGH/conditions-for-mesa-optimization), and this was one of the posts that lead me to that conclusion. I'm still a bit skeptical that current techniques are sufficient to demonstrate the type of powerful learned search algorithms which could characterize the worst outcomes for failures in inner alignment. Regardless, I think at this point classifying failure modes is quite beneficial, and conducting tests like the ones in this post will make that a lot easier.</v>
      </c>
    </row>
    <row r="1061">
      <c r="A1061" t="str">
        <f>IFERROR(__xludf.DUMMYFUNCTION("""COMPUTED_VALUE"""),"Mesa optimization")</f>
        <v>Mesa optimization</v>
      </c>
      <c r="B1061" t="str">
        <f>IFERROR(__xludf.DUMMYFUNCTION("""COMPUTED_VALUE"""),"")</f>
        <v/>
      </c>
      <c r="C1061" s="3" t="str">
        <f>IFERROR(__xludf.DUMMYFUNCTION("""COMPUTED_VALUE"""),"Utility ≠ Reward")</f>
        <v>Utility ≠ Reward</v>
      </c>
      <c r="D1061" t="str">
        <f>IFERROR(__xludf.DUMMYFUNCTION("""COMPUTED_VALUE"""),"Vladimir Mikulik")</f>
        <v>Vladimir Mikulik</v>
      </c>
      <c r="E1061" t="str">
        <f>IFERROR(__xludf.DUMMYFUNCTION("""COMPUTED_VALUE"""),"Alignment Forum")</f>
        <v>Alignment Forum</v>
      </c>
      <c r="F1061">
        <f>IFERROR(__xludf.DUMMYFUNCTION("""COMPUTED_VALUE"""),2019.0)</f>
        <v>2019</v>
      </c>
      <c r="H1061" s="3" t="str">
        <f>IFERROR(__xludf.DUMMYFUNCTION("""COMPUTED_VALUE"""),"AN #66")</f>
        <v>AN #66</v>
      </c>
      <c r="I1061" t="str">
        <f>IFERROR(__xludf.DUMMYFUNCTION("""COMPUTED_VALUE"""),"Rohin")</f>
        <v>Rohin</v>
      </c>
      <c r="J1061" t="str">
        <f>IFERROR(__xludf.DUMMYFUNCTION("""COMPUTED_VALUE"""),"This post describes the overall story from &lt;@mesa-optimization@&gt;(@Risks from Learned Optimization in Advanced Machine Learning Systems@). Unlike the original paper, it focuses on the distinction between a system that is optimized for some task (e.g. a bot"&amp;"tle cap), and a system that is optimizing for some task. Normally, we expect trained neural nets to be optimized; risk arises when they are also optimizing.")</f>
        <v>This post describes the overall story from &lt;@mesa-optimization@&gt;(@Risks from Learned Optimization in Advanced Machine Learning Systems@). Unlike the original paper, it focuses on the distinction between a system that is optimized for some task (e.g. a bottle cap), and a system that is optimizing for some task. Normally, we expect trained neural nets to be optimized; risk arises when they are also optimizing.</v>
      </c>
    </row>
    <row r="1062">
      <c r="A1062" t="str">
        <f>IFERROR(__xludf.DUMMYFUNCTION("""COMPUTED_VALUE"""),"Mesa optimization")</f>
        <v>Mesa optimization</v>
      </c>
      <c r="B1062" t="str">
        <f>IFERROR(__xludf.DUMMYFUNCTION("""COMPUTED_VALUE"""),"")</f>
        <v/>
      </c>
      <c r="C1062" s="3" t="str">
        <f>IFERROR(__xludf.DUMMYFUNCTION("""COMPUTED_VALUE"""),"Discussion: Objective Robustness and Inner Alignment Terminology")</f>
        <v>Discussion: Objective Robustness and Inner Alignment Terminology</v>
      </c>
      <c r="D1062" t="str">
        <f>IFERROR(__xludf.DUMMYFUNCTION("""COMPUTED_VALUE"""),"Jack Koch and Lauro Langosco")</f>
        <v>Jack Koch and Lauro Langosco</v>
      </c>
      <c r="E1062" t="str">
        <f>IFERROR(__xludf.DUMMYFUNCTION("""COMPUTED_VALUE"""),"Alignment Forum")</f>
        <v>Alignment Forum</v>
      </c>
      <c r="F1062">
        <f>IFERROR(__xludf.DUMMYFUNCTION("""COMPUTED_VALUE"""),2021.0)</f>
        <v>2021</v>
      </c>
      <c r="H1062" s="3" t="str">
        <f>IFERROR(__xludf.DUMMYFUNCTION("""COMPUTED_VALUE"""),"AN #153")</f>
        <v>AN #153</v>
      </c>
      <c r="I1062" t="str">
        <f>IFERROR(__xludf.DUMMYFUNCTION("""COMPUTED_VALUE"""),"Rohin")</f>
        <v>Rohin</v>
      </c>
      <c r="J1062" t="str">
        <f>IFERROR(__xludf.DUMMYFUNCTION("""COMPUTED_VALUE"""),"Mesa optimization and inner alignment have become pretty important topics in AI alignment since the &lt;@2019 paper@&gt;(@Risks from Learned Optimization in Advanced Machine Learning Systems@) on it was published. However, there are two quite different interpre"&amp;"tations of inner alignment concerns:
1. **Objective-focused:** This approach considers _structural_ properties of the computation executed by the learned model. In particular, the risk argument is that sufficiently capable learned models will be executin"&amp;"g some form of optimization algorithm (such as a search algorithm), guided by an explicit objective called the mesa-objective, and this mesa-objective may not be identical to the base objective (though it should incentivize similar behavior on the trainin"&amp;"g distribution), which can then lead to bad behavior out of distribution.
The natural decomposition is then to separate alignment into two problems: first, how do we specify an outer (base) objective that incentivizes good behavior in all situations that"&amp;" the model will ever encounter; and second, how do we ensure that the mesa objective equals the base objective.
2. **Generalization-focused:** This approach instead talks about the behavior of the model out of distribution. The risk argument is that suff"&amp;"iciently capable learned models, when running out of distribution, will take actions that are still competent and high impact, but that are not targeted towards accomplishing what we want: in other words, their capabilities generalize, but their objective"&amp;"s do not.
Alignment can then be decomposed into two problems: first, how do we get the behavior that we want on the training distribution, and second, how do we ensure the model never behaves catastrophically on any input.")</f>
        <v>Mesa optimization and inner alignment have become pretty important topics in AI alignment since the &lt;@2019 paper@&gt;(@Risks from Learned Optimization in Advanced Machine Learning Systems@) on it was published. However, there are two quite different interpretations of inner alignment concerns:
1. **Objective-focused:** This approach considers _structural_ properties of the computation executed by the learned model. In particular, the risk argument is that sufficiently capable learned models will be executing some form of optimization algorithm (such as a search algorithm), guided by an explicit objective called the mesa-objective, and this mesa-objective may not be identical to the base objective (though it should incentivize similar behavior on the training distribution), which can then lead to bad behavior out of distribution.
The natural decomposition is then to separate alignment into two problems: first, how do we specify an outer (base) objective that incentivizes good behavior in all situations that the model will ever encounter; and second, how do we ensure that the mesa objective equals the base objective.
2. **Generalization-focused:** This approach instead talks about the behavior of the model out of distribution. The risk argument is that sufficiently capable learned models, when running out of distribution, will take actions that are still competent and high impact, but that are not targeted towards accomplishing what we want: in other words, their capabilities generalize, but their objectives do not.
Alignment can then be decomposed into two problems: first, how do we get the behavior that we want on the training distribution, and second, how do we ensure the model never behaves catastrophically on any input.</v>
      </c>
      <c r="K1062" t="str">
        <f>IFERROR(__xludf.DUMMYFUNCTION("""COMPUTED_VALUE"""),"I strongly prefer the second framing, though I’ll note that this is not independent evidence -- the description of the second framing in the post comes from some of my presentations and comments and conversations with the authors. The post describes some "&amp;"of the reasons for this; I recommend reading through it if you’re interested in inner alignment.")</f>
        <v>I strongly prefer the second framing, though I’ll note that this is not independent evidence -- the description of the second framing in the post comes from some of my presentations and comments and conversations with the authors. The post describes some of the reasons for this; I recommend reading through it if you’re interested in inner alignment.</v>
      </c>
    </row>
    <row r="1063">
      <c r="A1063" t="str">
        <f>IFERROR(__xludf.DUMMYFUNCTION("""COMPUTED_VALUE"""),"Mesa optimization")</f>
        <v>Mesa optimization</v>
      </c>
      <c r="B1063" t="str">
        <f>IFERROR(__xludf.DUMMYFUNCTION("""COMPUTED_VALUE"""),"")</f>
        <v/>
      </c>
      <c r="C1063" s="3" t="str">
        <f>IFERROR(__xludf.DUMMYFUNCTION("""COMPUTED_VALUE"""),"The OTHER AI Alignment Problem: Mesa-Optimizers and Inner Alignment ")</f>
        <v>The OTHER AI Alignment Problem: Mesa-Optimizers and Inner Alignment </v>
      </c>
      <c r="D1063" t="str">
        <f>IFERROR(__xludf.DUMMYFUNCTION("""COMPUTED_VALUE"""),"Robert Miles")</f>
        <v>Robert Miles</v>
      </c>
      <c r="E1063" t="str">
        <f>IFERROR(__xludf.DUMMYFUNCTION("""COMPUTED_VALUE"""),"YouTube")</f>
        <v>YouTube</v>
      </c>
      <c r="F1063">
        <f>IFERROR(__xludf.DUMMYFUNCTION("""COMPUTED_VALUE"""),2021.0)</f>
        <v>2021</v>
      </c>
      <c r="H1063" s="3" t="str">
        <f>IFERROR(__xludf.DUMMYFUNCTION("""COMPUTED_VALUE"""),"AN #139")</f>
        <v>AN #139</v>
      </c>
      <c r="I1063" t="str">
        <f>IFERROR(__xludf.DUMMYFUNCTION("""COMPUTED_VALUE"""),"Rohin")</f>
        <v>Rohin</v>
      </c>
      <c r="J1063" t="str">
        <f>IFERROR(__xludf.DUMMYFUNCTION("""COMPUTED_VALUE"""),"This video is a great explanation of the &lt;@mesa optimization paper@&gt;(@Risks from Learned Optimization in Advanced Machine Learning Systems@).")</f>
        <v>This video is a great explanation of the &lt;@mesa optimization paper@&gt;(@Risks from Learned Optimization in Advanced Machine Learning Systems@).</v>
      </c>
      <c r="K1063" t="str">
        <f>IFERROR(__xludf.DUMMYFUNCTION("""COMPUTED_VALUE"""),"In general, I recommend Rob’s channel for video explanations of AI alignment concepts -- it doesn’t get as much attention in this newsletter as it should, just because I personally dislike audio as a medium of communication (I much prefer to read). (Rob i"&amp;"s also the producer of the podcast for this newsletter, so you might be listening to him right now!)")</f>
        <v>In general, I recommend Rob’s channel for video explanations of AI alignment concepts -- it doesn’t get as much attention in this newsletter as it should, just because I personally dislike audio as a medium of communication (I much prefer to read). (Rob is also the producer of the podcast for this newsletter, so you might be listening to him right now!)</v>
      </c>
    </row>
    <row r="1064">
      <c r="A1064" t="str">
        <f>IFERROR(__xludf.DUMMYFUNCTION("""COMPUTED_VALUE"""),"Mesa optimization")</f>
        <v>Mesa optimization</v>
      </c>
      <c r="B1064" t="str">
        <f>IFERROR(__xludf.DUMMYFUNCTION("""COMPUTED_VALUE"""),"")</f>
        <v/>
      </c>
      <c r="C1064" s="3" t="str">
        <f>IFERROR(__xludf.DUMMYFUNCTION("""COMPUTED_VALUE"""),"The Solomonoff Prior is Malign")</f>
        <v>The Solomonoff Prior is Malign</v>
      </c>
      <c r="D1064" t="str">
        <f>IFERROR(__xludf.DUMMYFUNCTION("""COMPUTED_VALUE"""),"Mark Xu")</f>
        <v>Mark Xu</v>
      </c>
      <c r="E1064" t="str">
        <f>IFERROR(__xludf.DUMMYFUNCTION("""COMPUTED_VALUE"""),"Alignment Forum")</f>
        <v>Alignment Forum</v>
      </c>
      <c r="F1064">
        <f>IFERROR(__xludf.DUMMYFUNCTION("""COMPUTED_VALUE"""),2020.0)</f>
        <v>2020</v>
      </c>
      <c r="H1064" s="3" t="str">
        <f>IFERROR(__xludf.DUMMYFUNCTION("""COMPUTED_VALUE"""),"AN #122")</f>
        <v>AN #122</v>
      </c>
      <c r="I1064" t="str">
        <f>IFERROR(__xludf.DUMMYFUNCTION("""COMPUTED_VALUE"""),"Rohin")</f>
        <v>Rohin</v>
      </c>
      <c r="J1064" t="str">
        <f>IFERROR(__xludf.DUMMYFUNCTION("""COMPUTED_VALUE"""),"This post provides a more accessible explanation of the argument that when we use the Solomonoff prior to make decisions, the predictions could be systematically chosen to optimize for something we wouldn’t want.")</f>
        <v>This post provides a more accessible explanation of the argument that when we use the Solomonoff prior to make decisions, the predictions could be systematically chosen to optimize for something we wouldn’t want.</v>
      </c>
    </row>
    <row r="1065">
      <c r="A1065" t="str">
        <f>IFERROR(__xludf.DUMMYFUNCTION("""COMPUTED_VALUE"""),"Mesa optimization")</f>
        <v>Mesa optimization</v>
      </c>
      <c r="B1065" t="str">
        <f>IFERROR(__xludf.DUMMYFUNCTION("""COMPUTED_VALUE"""),"")</f>
        <v/>
      </c>
      <c r="C1065" s="3" t="str">
        <f>IFERROR(__xludf.DUMMYFUNCTION("""COMPUTED_VALUE"""),"Inner Alignment: Explain like I'm 12 Edition")</f>
        <v>Inner Alignment: Explain like I'm 12 Edition</v>
      </c>
      <c r="D1065" t="str">
        <f>IFERROR(__xludf.DUMMYFUNCTION("""COMPUTED_VALUE"""),"Rafael Harth")</f>
        <v>Rafael Harth</v>
      </c>
      <c r="E1065" t="str">
        <f>IFERROR(__xludf.DUMMYFUNCTION("""COMPUTED_VALUE"""),"Alignment Forum")</f>
        <v>Alignment Forum</v>
      </c>
      <c r="F1065">
        <f>IFERROR(__xludf.DUMMYFUNCTION("""COMPUTED_VALUE"""),2020.0)</f>
        <v>2020</v>
      </c>
      <c r="H1065" s="3" t="str">
        <f>IFERROR(__xludf.DUMMYFUNCTION("""COMPUTED_VALUE"""),"AN #111")</f>
        <v>AN #111</v>
      </c>
      <c r="I1065" t="str">
        <f>IFERROR(__xludf.DUMMYFUNCTION("""COMPUTED_VALUE"""),"Rohin")</f>
        <v>Rohin</v>
      </c>
      <c r="J1065" t="str">
        <f>IFERROR(__xludf.DUMMYFUNCTION("""COMPUTED_VALUE"""),"This post summarizes and makes accessible the paper &lt;@Risks from Learned Optimization in Advanced Machine Learning Systems@&gt;.")</f>
        <v>This post summarizes and makes accessible the paper &lt;@Risks from Learned Optimization in Advanced Machine Learning Systems@&gt;.</v>
      </c>
    </row>
    <row r="1066">
      <c r="A1066" t="str">
        <f>IFERROR(__xludf.DUMMYFUNCTION("""COMPUTED_VALUE"""),"Mesa optimization")</f>
        <v>Mesa optimization</v>
      </c>
      <c r="B1066" t="str">
        <f>IFERROR(__xludf.DUMMYFUNCTION("""COMPUTED_VALUE"""),"")</f>
        <v/>
      </c>
      <c r="C1066" s="3" t="str">
        <f>IFERROR(__xludf.DUMMYFUNCTION("""COMPUTED_VALUE"""),"Inner Alignment, Outer Alignment, and Proposals for Building Safe Advanced AI")</f>
        <v>Inner Alignment, Outer Alignment, and Proposals for Building Safe Advanced AI</v>
      </c>
      <c r="D1066" t="str">
        <f>IFERROR(__xludf.DUMMYFUNCTION("""COMPUTED_VALUE"""),"Lucas Perry and Evan Hubinger")</f>
        <v>Lucas Perry and Evan Hubinger</v>
      </c>
      <c r="E1066" t="str">
        <f>IFERROR(__xludf.DUMMYFUNCTION("""COMPUTED_VALUE"""),"FLI Website")</f>
        <v>FLI Website</v>
      </c>
      <c r="F1066">
        <f>IFERROR(__xludf.DUMMYFUNCTION("""COMPUTED_VALUE"""),2020.0)</f>
        <v>2020</v>
      </c>
      <c r="H1066" s="3" t="str">
        <f>IFERROR(__xludf.DUMMYFUNCTION("""COMPUTED_VALUE"""),"AN #107")</f>
        <v>AN #107</v>
      </c>
      <c r="I1066" t="str">
        <f>IFERROR(__xludf.DUMMYFUNCTION("""COMPUTED_VALUE"""),"Rohin")</f>
        <v>Rohin</v>
      </c>
      <c r="J1066" t="str">
        <f>IFERROR(__xludf.DUMMYFUNCTION("""COMPUTED_VALUE"""),"This podcast covers a lot of topics, with special focus on &lt;@Risks from Learned Optimization in Advanced Machine Learning Systems@&gt; and &lt;@An overview of 11 proposals for building safe advanced AI@&gt;.")</f>
        <v>This podcast covers a lot of topics, with special focus on &lt;@Risks from Learned Optimization in Advanced Machine Learning Systems@&gt; and &lt;@An overview of 11 proposals for building safe advanced AI@&gt;.</v>
      </c>
      <c r="K1066" t="str">
        <f>IFERROR(__xludf.DUMMYFUNCTION("""COMPUTED_VALUE"""),"My summary is light on detail because many of the topics have been highlighted before in this newsletter, but if you aren’t familiar with them the podcast is a great resource for learning about them.")</f>
        <v>My summary is light on detail because many of the topics have been highlighted before in this newsletter, but if you aren’t familiar with them the podcast is a great resource for learning about them.</v>
      </c>
    </row>
    <row r="1067">
      <c r="A1067" t="str">
        <f>IFERROR(__xludf.DUMMYFUNCTION("""COMPUTED_VALUE"""),"Mesa optimization")</f>
        <v>Mesa optimization</v>
      </c>
      <c r="B1067" t="str">
        <f>IFERROR(__xludf.DUMMYFUNCTION("""COMPUTED_VALUE"""),"")</f>
        <v/>
      </c>
      <c r="C1067" s="3" t="str">
        <f>IFERROR(__xludf.DUMMYFUNCTION("""COMPUTED_VALUE"""),"Inner alignment requires making assumptions about human values")</f>
        <v>Inner alignment requires making assumptions about human values</v>
      </c>
      <c r="D1067" t="str">
        <f>IFERROR(__xludf.DUMMYFUNCTION("""COMPUTED_VALUE"""),"Matthew Barnett ")</f>
        <v>Matthew Barnett </v>
      </c>
      <c r="E1067" t="str">
        <f>IFERROR(__xludf.DUMMYFUNCTION("""COMPUTED_VALUE"""),"Alignment Forum")</f>
        <v>Alignment Forum</v>
      </c>
      <c r="F1067">
        <f>IFERROR(__xludf.DUMMYFUNCTION("""COMPUTED_VALUE"""),2020.0)</f>
        <v>2020</v>
      </c>
      <c r="H1067" s="3" t="str">
        <f>IFERROR(__xludf.DUMMYFUNCTION("""COMPUTED_VALUE"""),"AN #85")</f>
        <v>AN #85</v>
      </c>
      <c r="I1067" t="str">
        <f>IFERROR(__xludf.DUMMYFUNCTION("""COMPUTED_VALUE"""),"Rohin")</f>
        <v>Rohin</v>
      </c>
      <c r="J1067" t="str">
        <f>IFERROR(__xludf.DUMMYFUNCTION("""COMPUTED_VALUE"""),"Typically, for inner alignment, we are considering how to train an AI system that effectively pursues an outer objective function, which we assume is already aligned. Given this, we might think that the inner alignment problem is independent of human valu"&amp;"es: after all, presumably the outer objective function already encodes human values, and so if we are able to align to an arbitrary objective function (something that presumably doesn't require human values), that would solve inner alignment.
This post a"&amp;"rgues that this argument doesn't work: in practice, we only get data from the outer objective on the training distribution, which isn't enough to uniquely identify the outer objective. So, solving inner alignment requires our agent to ""correctly"" genera"&amp;"lize from the training distribution to the test distribution. However, the ""correct"" generalization depends on human values, suggesting that a solution to inner alignment must depend on human values as well.")</f>
        <v>Typically, for inner alignment, we are considering how to train an AI system that effectively pursues an outer objective function, which we assume is already aligned. Given this, we might think that the inner alignment problem is independent of human values: after all, presumably the outer objective function already encodes human values, and so if we are able to align to an arbitrary objective function (something that presumably doesn't require human values), that would solve inner alignment.
This post argues that this argument doesn't work: in practice, we only get data from the outer objective on the training distribution, which isn't enough to uniquely identify the outer objective. So, solving inner alignment requires our agent to "correctly" generalize from the training distribution to the test distribution. However, the "correct" generalization depends on human values, suggesting that a solution to inner alignment must depend on human values as well.</v>
      </c>
      <c r="K1067" t="str">
        <f>IFERROR(__xludf.DUMMYFUNCTION("""COMPUTED_VALUE"""),"I certainly agree that we need some information that leads to the ""correct"" generalization, though this could be something like e.g. ensuring that the agent is &lt;@corrigible@&gt;(@Corrigibility@). Whether this depends on human ""values"" depends on what you"&amp;" mean by ""values"".")</f>
        <v>I certainly agree that we need some information that leads to the "correct" generalization, though this could be something like e.g. ensuring that the agent is &lt;@corrigible@&gt;(@Corrigibility@). Whether this depends on human "values" depends on what you mean by "values".</v>
      </c>
    </row>
    <row r="1068">
      <c r="A1068" t="str">
        <f>IFERROR(__xludf.DUMMYFUNCTION("""COMPUTED_VALUE"""),"Mesa optimization")</f>
        <v>Mesa optimization</v>
      </c>
      <c r="B1068" t="str">
        <f>IFERROR(__xludf.DUMMYFUNCTION("""COMPUTED_VALUE"""),"")</f>
        <v/>
      </c>
      <c r="C1068" s="3" t="str">
        <f>IFERROR(__xludf.DUMMYFUNCTION("""COMPUTED_VALUE"""),"Is the term mesa optimizer too narrow?")</f>
        <v>Is the term mesa optimizer too narrow?</v>
      </c>
      <c r="D1068" t="str">
        <f>IFERROR(__xludf.DUMMYFUNCTION("""COMPUTED_VALUE"""),"Matthew Barnett")</f>
        <v>Matthew Barnett</v>
      </c>
      <c r="E1068" t="str">
        <f>IFERROR(__xludf.DUMMYFUNCTION("""COMPUTED_VALUE"""),"Alignment Forum")</f>
        <v>Alignment Forum</v>
      </c>
      <c r="F1068">
        <f>IFERROR(__xludf.DUMMYFUNCTION("""COMPUTED_VALUE"""),2019.0)</f>
        <v>2019</v>
      </c>
      <c r="H1068" s="3" t="str">
        <f>IFERROR(__xludf.DUMMYFUNCTION("""COMPUTED_VALUE"""),"AN #78")</f>
        <v>AN #78</v>
      </c>
      <c r="I1068" t="str">
        <f>IFERROR(__xludf.DUMMYFUNCTION("""COMPUTED_VALUE"""),"Rohin")</f>
        <v>Rohin</v>
      </c>
      <c r="J1068" t="str">
        <f>IFERROR(__xludf.DUMMYFUNCTION("""COMPUTED_VALUE"""),"The &lt;@mesa optimization@&gt;(@Risks from Learned Optimization in Advanced Machine Learning Systems@) paper defined an optimizer as a system that internally searches through a search space for elements that score high according to some explicit objective func"&amp;"tion. However, humans would not qualify as mesa optimizers by this definition, since there (presumably) isn't some part of the brain that explicitly encodes some objective function that we then try to maximize. In addition, there are inner alignment failu"&amp;"res that don't involve mesa optimization: a small feedforward neural net doesn't do any explicit search; yet when it is trained in the &lt;@chest and keys environment@&gt;(@A simple environment for showing mesa misalignment@), it learns a policy that goes to th"&amp;"e nearest key, which is equivalent to a key-maximizer. Rather than talking about ""mesa optimizers"", the post recommends that we instead talk about ""malign generalization"", to refer to the problem when &lt;@capabilities generalize but the objective doesn'"&amp;"t@&gt;(@2-D Robustness@).")</f>
        <v>The &lt;@mesa optimization@&gt;(@Risks from Learned Optimization in Advanced Machine Learning Systems@) paper defined an optimizer as a system that internally searches through a search space for elements that score high according to some explicit objective function. However, humans would not qualify as mesa optimizers by this definition, since there (presumably) isn't some part of the brain that explicitly encodes some objective function that we then try to maximize. In addition, there are inner alignment failures that don't involve mesa optimization: a small feedforward neural net doesn't do any explicit search; yet when it is trained in the &lt;@chest and keys environment@&gt;(@A simple environment for showing mesa misalignment@), it learns a policy that goes to the nearest key, which is equivalent to a key-maximizer. Rather than talking about "mesa optimizers", the post recommends that we instead talk about "malign generalization", to refer to the problem when &lt;@capabilities generalize but the objective doesn't@&gt;(@2-D Robustness@).</v>
      </c>
      <c r="K1068" t="str">
        <f>IFERROR(__xludf.DUMMYFUNCTION("""COMPUTED_VALUE"""),"I strongly agree with this post (though note that the post was written right after a conversation with me on the topic, so this isn't independent evidence). I find it very unlikely that most powerful AI systems will be optimizers as defined in the origina"&amp;"l paper, but I do think that the malign generalization problem will apply to our AI systems. For this reason, I hope that future research doesn't specialize to the case of explicit-search-based agents.")</f>
        <v>I strongly agree with this post (though note that the post was written right after a conversation with me on the topic, so this isn't independent evidence). I find it very unlikely that most powerful AI systems will be optimizers as defined in the original paper, but I do think that the malign generalization problem will apply to our AI systems. For this reason, I hope that future research doesn't specialize to the case of explicit-search-based agents.</v>
      </c>
    </row>
    <row r="1069">
      <c r="A1069" t="str">
        <f>IFERROR(__xludf.DUMMYFUNCTION("""COMPUTED_VALUE"""),"Mesa optimization")</f>
        <v>Mesa optimization</v>
      </c>
      <c r="B1069" t="str">
        <f>IFERROR(__xludf.DUMMYFUNCTION("""COMPUTED_VALUE"""),"")</f>
        <v/>
      </c>
      <c r="C1069" s="3" t="str">
        <f>IFERROR(__xludf.DUMMYFUNCTION("""COMPUTED_VALUE"""),"Are minimal circuits deceptive?")</f>
        <v>Are minimal circuits deceptive?</v>
      </c>
      <c r="D1069" t="str">
        <f>IFERROR(__xludf.DUMMYFUNCTION("""COMPUTED_VALUE"""),"Evan Hubinger")</f>
        <v>Evan Hubinger</v>
      </c>
      <c r="E1069" t="str">
        <f>IFERROR(__xludf.DUMMYFUNCTION("""COMPUTED_VALUE"""),"Alignment Forum")</f>
        <v>Alignment Forum</v>
      </c>
      <c r="F1069">
        <f>IFERROR(__xludf.DUMMYFUNCTION("""COMPUTED_VALUE"""),2019.0)</f>
        <v>2019</v>
      </c>
      <c r="H1069" s="3" t="str">
        <f>IFERROR(__xludf.DUMMYFUNCTION("""COMPUTED_VALUE"""),"AN #71")</f>
        <v>AN #71</v>
      </c>
      <c r="I1069" t="str">
        <f>IFERROR(__xludf.DUMMYFUNCTION("""COMPUTED_VALUE"""),"Rohin")</f>
        <v>Rohin</v>
      </c>
      <c r="J1069" t="str">
        <f>IFERROR(__xludf.DUMMYFUNCTION("""COMPUTED_VALUE"""),"While it [has been argued](https://ordinaryideas.wordpress.com/2016/11/30/what-does-the-universal-prior-actually-look-like/) that the _simplest_ program that solves a complex task is likely to be deceptive, it [hasn't yet been argued](https://www.alignmen"&amp;"tforum.org/posts/nyCHnY7T5PHPLjxmN/open-question-are-minimal-circuits-daemon-free) whether the _fastest_ program that solves a complex task will be deceptive. This post argues that fast programs will often be forced to _learn_ a good policy (just as we ne"&amp;"ed to do today), and the learned policy is likely to be deceptive (presumably due to &lt;@risks from learned optimization@&gt;(@Risks from Learned Optimization in Advanced Machine Learning Systems@)). Thus, there are at least some tasks where the fastest progra"&amp;"m will also be deceptive.")</f>
        <v>While it [has been argued](https://ordinaryideas.wordpress.com/2016/11/30/what-does-the-universal-prior-actually-look-like/) that the _simplest_ program that solves a complex task is likely to be deceptive, it [hasn't yet been argued](https://www.alignmentforum.org/posts/nyCHnY7T5PHPLjxmN/open-question-are-minimal-circuits-daemon-free) whether the _fastest_ program that solves a complex task will be deceptive. This post argues that fast programs will often be forced to _learn_ a good policy (just as we need to do today), and the learned policy is likely to be deceptive (presumably due to &lt;@risks from learned optimization@&gt;(@Risks from Learned Optimization in Advanced Machine Learning Systems@)). Thus, there are at least some tasks where the fastest program will also be deceptive.</v>
      </c>
      <c r="K1069" t="str">
        <f>IFERROR(__xludf.DUMMYFUNCTION("""COMPUTED_VALUE"""),"This is an intriguing hypothesis, but I'm not yet convinced: it's not clear why the fastest program would have to _learn_ the best policy, rather than directly hardcoding the best policy. If there are multiple possible tasks, the program could have a nest"&amp;"ed if structure that figures out which task needs to be done and then executes the best policy for that task. More details in [this comment](https://www.alignmentforum.org/posts/fM5ZWGDbnjb7ThNKJ/are-minimal-circuits-deceptive#f93Wa4nqRAiRuXpS6).")</f>
        <v>This is an intriguing hypothesis, but I'm not yet convinced: it's not clear why the fastest program would have to _learn_ the best policy, rather than directly hardcoding the best policy. If there are multiple possible tasks, the program could have a nested if structure that figures out which task needs to be done and then executes the best policy for that task. More details in [this comment](https://www.alignmentforum.org/posts/fM5ZWGDbnjb7ThNKJ/are-minimal-circuits-deceptive#f93Wa4nqRAiRuXpS6).</v>
      </c>
    </row>
    <row r="1070">
      <c r="A1070" t="str">
        <f>IFERROR(__xludf.DUMMYFUNCTION("""COMPUTED_VALUE"""),"Mesa optimization")</f>
        <v>Mesa optimization</v>
      </c>
      <c r="B1070" t="str">
        <f>IFERROR(__xludf.DUMMYFUNCTION("""COMPUTED_VALUE"""),"")</f>
        <v/>
      </c>
      <c r="C1070" s="3" t="str">
        <f>IFERROR(__xludf.DUMMYFUNCTION("""COMPUTED_VALUE"""),"Impact measurement and value-neutrality verification")</f>
        <v>Impact measurement and value-neutrality verification</v>
      </c>
      <c r="D1070" t="str">
        <f>IFERROR(__xludf.DUMMYFUNCTION("""COMPUTED_VALUE"""),"Evan Hubinger")</f>
        <v>Evan Hubinger</v>
      </c>
      <c r="E1070" t="str">
        <f>IFERROR(__xludf.DUMMYFUNCTION("""COMPUTED_VALUE"""),"Alignment Forum")</f>
        <v>Alignment Forum</v>
      </c>
      <c r="F1070">
        <f>IFERROR(__xludf.DUMMYFUNCTION("""COMPUTED_VALUE"""),2019.0)</f>
        <v>2019</v>
      </c>
      <c r="H1070" s="3" t="str">
        <f>IFERROR(__xludf.DUMMYFUNCTION("""COMPUTED_VALUE"""),"AN #71")</f>
        <v>AN #71</v>
      </c>
      <c r="I1070" t="str">
        <f>IFERROR(__xludf.DUMMYFUNCTION("""COMPUTED_VALUE"""),"Rohin")</f>
        <v>Rohin</v>
      </c>
      <c r="J1070" t="str">
        <f>IFERROR(__xludf.DUMMYFUNCTION("""COMPUTED_VALUE"""),"So far, most &lt;@uses of impact formalizations@&gt;(@Four Ways An Impact Measure Could Help Alignment@) don't help with inner alignment, because we simply add impact to the (outer) loss function. This post suggests that impact formalizations could also be adap"&amp;"ted to verify whether an optimization algorithm is _value-neutral_ -- that is, no matter what objective you apply it towards, it provides approximately the same benefit. In particular, &lt;@AUP@&gt;(@Towards a New Impact Measure@) measures the _expectation_ of "&amp;"the distribution of changes in attainable utilities for a given action. You could get a measure of the value-neutrality of an action by instead computing the _standard deviation_ of this distribution, since that measures how different the changes in utili"&amp;"ty are. (Evan would use policies instead of actions, but conceptually that's a minor difference.) Verifying value-neutrality could be used to ensure that the &lt;@strategy-stealing assumption@&gt;(@The strategy-stealing assumption@) is true.")</f>
        <v>So far, most &lt;@uses of impact formalizations@&gt;(@Four Ways An Impact Measure Could Help Alignment@) don't help with inner alignment, because we simply add impact to the (outer) loss function. This post suggests that impact formalizations could also be adapted to verify whether an optimization algorithm is _value-neutral_ -- that is, no matter what objective you apply it towards, it provides approximately the same benefit. In particular, &lt;@AUP@&gt;(@Towards a New Impact Measure@) measures the _expectation_ of the distribution of changes in attainable utilities for a given action. You could get a measure of the value-neutrality of an action by instead computing the _standard deviation_ of this distribution, since that measures how different the changes in utility are. (Evan would use policies instead of actions, but conceptually that's a minor difference.) Verifying value-neutrality could be used to ensure that the &lt;@strategy-stealing assumption@&gt;(@The strategy-stealing assumption@) is true.</v>
      </c>
      <c r="K1070" t="str">
        <f>IFERROR(__xludf.DUMMYFUNCTION("""COMPUTED_VALUE"""),"I continue to be confused about the purpose of the strategy-stealing assumption, so I don't have a strong opinion about the importance of value-neutrality verification. I do think that the distribution of changes to attainable utilities is a powerful math"&amp;"ematical object, and it makes sense that there are other properties of interest that involve analyzing it.")</f>
        <v>I continue to be confused about the purpose of the strategy-stealing assumption, so I don't have a strong opinion about the importance of value-neutrality verification. I do think that the distribution of changes to attainable utilities is a powerful mathematical object, and it makes sense that there are other properties of interest that involve analyzing it.</v>
      </c>
    </row>
    <row r="1071">
      <c r="A1071" t="str">
        <f>IFERROR(__xludf.DUMMYFUNCTION("""COMPUTED_VALUE"""),"Mesa optimization")</f>
        <v>Mesa optimization</v>
      </c>
      <c r="B1071" t="str">
        <f>IFERROR(__xludf.DUMMYFUNCTION("""COMPUTED_VALUE"""),"")</f>
        <v/>
      </c>
      <c r="C1071" s="3" t="str">
        <f>IFERROR(__xludf.DUMMYFUNCTION("""COMPUTED_VALUE"""),"Formal Inner Alignment, Prospectus")</f>
        <v>Formal Inner Alignment, Prospectus</v>
      </c>
      <c r="D1071" t="str">
        <f>IFERROR(__xludf.DUMMYFUNCTION("""COMPUTED_VALUE"""),"Abram Demski")</f>
        <v>Abram Demski</v>
      </c>
      <c r="E1071" t="str">
        <f>IFERROR(__xludf.DUMMYFUNCTION("""COMPUTED_VALUE"""),"Alignment Forum")</f>
        <v>Alignment Forum</v>
      </c>
      <c r="F1071">
        <f>IFERROR(__xludf.DUMMYFUNCTION("""COMPUTED_VALUE"""),2021.0)</f>
        <v>2021</v>
      </c>
      <c r="H1071" s="3" t="str">
        <f>IFERROR(__xludf.DUMMYFUNCTION("""COMPUTED_VALUE"""),"AN #151")</f>
        <v>AN #151</v>
      </c>
      <c r="I1071" t="str">
        <f>IFERROR(__xludf.DUMMYFUNCTION("""COMPUTED_VALUE"""),"Rohin")</f>
        <v>Rohin</v>
      </c>
      <c r="J1071" t="str">
        <f>IFERROR(__xludf.DUMMYFUNCTION("""COMPUTED_VALUE"""),"This post outlines a document that the author plans to write in the future, in which he will define the inner alignment problem formally, and suggest directions for future research. I will summarize that document when it comes out, but if you would like t"&amp;"o influence that document, check out the post.")</f>
        <v>This post outlines a document that the author plans to write in the future, in which he will define the inner alignment problem formally, and suggest directions for future research. I will summarize that document when it comes out, but if you would like to influence that document, check out the post.</v>
      </c>
    </row>
    <row r="1072">
      <c r="A1072" t="str">
        <f>IFERROR(__xludf.DUMMYFUNCTION("""COMPUTED_VALUE"""),"Mesa optimization")</f>
        <v>Mesa optimization</v>
      </c>
      <c r="B1072" t="str">
        <f>IFERROR(__xludf.DUMMYFUNCTION("""COMPUTED_VALUE"""),"")</f>
        <v/>
      </c>
      <c r="C1072" s="3" t="str">
        <f>IFERROR(__xludf.DUMMYFUNCTION("""COMPUTED_VALUE"""),"AXRP #4 - Risks from Learned Optimization")</f>
        <v>AXRP #4 - Risks from Learned Optimization</v>
      </c>
      <c r="D1072" t="str">
        <f>IFERROR(__xludf.DUMMYFUNCTION("""COMPUTED_VALUE"""),"Daniel Filan and Evan Hubinger")</f>
        <v>Daniel Filan and Evan Hubinger</v>
      </c>
      <c r="E1072" t="str">
        <f>IFERROR(__xludf.DUMMYFUNCTION("""COMPUTED_VALUE"""),"AXRP Podcast")</f>
        <v>AXRP Podcast</v>
      </c>
      <c r="F1072">
        <f>IFERROR(__xludf.DUMMYFUNCTION("""COMPUTED_VALUE"""),2021.0)</f>
        <v>2021</v>
      </c>
      <c r="H1072" s="3" t="str">
        <f>IFERROR(__xludf.DUMMYFUNCTION("""COMPUTED_VALUE"""),"AN #139")</f>
        <v>AN #139</v>
      </c>
      <c r="I1072" t="str">
        <f>IFERROR(__xludf.DUMMYFUNCTION("""COMPUTED_VALUE"""),"Rohin")</f>
        <v>Rohin</v>
      </c>
      <c r="J1072" t="str">
        <f>IFERROR(__xludf.DUMMYFUNCTION("""COMPUTED_VALUE"""),"This podcast delves into a bunch of questions and thoughts around &lt;@mesa optimization@&gt;(@Risks from Learned Optimization in Advanced Machine Learning Systems@). Here are some of the points that stood out to me (to be clear, many of these have been covered"&amp;" in this newsletter before, but it seemed worth it to state them again):
- A model is a mesa optimizer if it is a _mechanistic_ optimizer, that is, it is executing an algorithm that performs search for some objective.
- We need to focus on mechanistic op"&amp;"timizers instead of things that behave as though they are optimizing for some goal, because those two categories can have very different generalization behavior, and we are primarily interested in how they will generalize.
- Humans do seem like mesa optim"&amp;"izers relative to evolution (though perhaps not a central example). In particular, it seems accurate to say that humans look at different possible strategies and select the ones which have good properties, and thus we are implementing a mechanistic search"&amp;" algorithm.
- To reason about whether machine learning will result in these mechanistic optimizers, we need to reason about the _inductive biases_ of machine learning. We mostly don’t yet know how likely they are.
- Evan expects that in powerful neural ne"&amp;"tworks there will exist a combination of neurons that encode the objective, which we might be able to find with interpretability techniques.
- Even if training on a myopic base objective, we might expect the mesa objective to be non-myopic, as the non-myo"&amp;"pic objective ""pursue X"" is simpler than the myopic objective ""pursue X until time T"".
- We can’t rely on generalization bounds to guarantee performance, since in practice there is always some distribution shift (which invalidates those bounds).
- Alt"&amp;"hough it is usually phrased in the train/test paradigm, mesa optimization is still a concern in an online learning setup, since at every time we are interested in whether the model will generalize well to the next data point it sees.
- We will probably se"&amp;"lect for simple ML models (in the sense of short description length) but not for low inference time, such that mechanistic optimizers are more likely than models that use more space (the extreme version being lookup tables).
- If you want to avoid mesa op"&amp;"timizers entirely (rather than aligning them), you probably need to have a pretty major change from the current practice of AI, as with STEM AI and Microscope AI (explained &lt;@here@&gt;(@An overview of 11 proposals for building safe advanced AI@)).
- Even in "&amp;"a &lt;@CAIS scenario@&gt;(@Reframing Superintelligence: Comprehensive AI Services as General Intelligence@) where we have (say) a thousand models doing different tasks, each of those tasks will still likely be complex enough to lead to the models being mesa opt"&amp;"imizers.
- There are lots of mesa objectives which would lead to deceptive alignment relative to corrigible or internalized alignment, and so we should expect deceptive alignment a priori.")</f>
        <v>This podcast delves into a bunch of questions and thoughts around &lt;@mesa optimization@&gt;(@Risks from Learned Optimization in Advanced Machine Learning Systems@). Here are some of the points that stood out to me (to be clear, many of these have been covered in this newsletter before, but it seemed worth it to state them again):
- A model is a mesa optimizer if it is a _mechanistic_ optimizer, that is, it is executing an algorithm that performs search for some objective.
- We need to focus on mechanistic optimizers instead of things that behave as though they are optimizing for some goal, because those two categories can have very different generalization behavior, and we are primarily interested in how they will generalize.
- Humans do seem like mesa optimizers relative to evolution (though perhaps not a central example). In particular, it seems accurate to say that humans look at different possible strategies and select the ones which have good properties, and thus we are implementing a mechanistic search algorithm.
- To reason about whether machine learning will result in these mechanistic optimizers, we need to reason about the _inductive biases_ of machine learning. We mostly don’t yet know how likely they are.
- Evan expects that in powerful neural networks there will exist a combination of neurons that encode the objective, which we might be able to find with interpretability techniques.
- Even if training on a myopic base objective, we might expect the mesa objective to be non-myopic, as the non-myopic objective "pursue X" is simpler than the myopic objective "pursue X until time T".
- We can’t rely on generalization bounds to guarantee performance, since in practice there is always some distribution shift (which invalidates those bounds).
- Although it is usually phrased in the train/test paradigm, mesa optimization is still a concern in an online learning setup, since at every time we are interested in whether the model will generalize well to the next data point it sees.
- We will probably select for simple ML models (in the sense of short description length) but not for low inference time, such that mechanistic optimizers are more likely than models that use more space (the extreme version being lookup tables).
- If you want to avoid mesa optimizers entirely (rather than aligning them), you probably need to have a pretty major change from the current practice of AI, as with STEM AI and Microscope AI (explained &lt;@here@&gt;(@An overview of 11 proposals for building safe advanced AI@)).
- Even in a &lt;@CAIS scenario@&gt;(@Reframing Superintelligence: Comprehensive AI Services as General Intelligence@) where we have (say) a thousand models doing different tasks, each of those tasks will still likely be complex enough to lead to the models being mesa optimizers.
- There are lots of mesa objectives which would lead to deceptive alignment relative to corrigible or internalized alignment, and so we should expect deceptive alignment a priori.</v>
      </c>
    </row>
    <row r="1073">
      <c r="A1073" t="str">
        <f>IFERROR(__xludf.DUMMYFUNCTION("""COMPUTED_VALUE"""),"Mesa optimization")</f>
        <v>Mesa optimization</v>
      </c>
      <c r="B1073" t="str">
        <f>IFERROR(__xludf.DUMMYFUNCTION("""COMPUTED_VALUE"""),"")</f>
        <v/>
      </c>
      <c r="C1073" s="3" t="str">
        <f>IFERROR(__xludf.DUMMYFUNCTION("""COMPUTED_VALUE"""),"Formal Solution to the Inner Alignment Problem")</f>
        <v>Formal Solution to the Inner Alignment Problem</v>
      </c>
      <c r="D1073" t="str">
        <f>IFERROR(__xludf.DUMMYFUNCTION("""COMPUTED_VALUE"""),"Michael K. Cohen, Marcus Hutter, Neel Nanda")</f>
        <v>Michael K. Cohen, Marcus Hutter, Neel Nanda</v>
      </c>
      <c r="E1073" t="str">
        <f>IFERROR(__xludf.DUMMYFUNCTION("""COMPUTED_VALUE"""),"arXiv")</f>
        <v>arXiv</v>
      </c>
      <c r="F1073">
        <f>IFERROR(__xludf.DUMMYFUNCTION("""COMPUTED_VALUE"""),2021.0)</f>
        <v>2021</v>
      </c>
      <c r="H1073" s="3" t="str">
        <f>IFERROR(__xludf.DUMMYFUNCTION("""COMPUTED_VALUE"""),"AN #139")</f>
        <v>AN #139</v>
      </c>
      <c r="I1073" t="str">
        <f>IFERROR(__xludf.DUMMYFUNCTION("""COMPUTED_VALUE"""),"Rohin")</f>
        <v>Rohin</v>
      </c>
      <c r="J1073" t="str">
        <f>IFERROR(__xludf.DUMMYFUNCTION("""COMPUTED_VALUE"""),"Since we probably can’t specify a reward function by hand, one way to get an agent that does what we want is to have it imitate a human. As long as it does this faithfully, it is as safe as the human it is imitating. However, in a train-test paradigm, the"&amp;" resulting agent may faithfully imitate the human on the training distribution but fail catastrophically on the test distribution. (For example, a deceptive model might imitate faithfully until it has sufficient power to take over.) One solution is to nev"&amp;"er stop training, that is, use an online learning setup where the agent is constantly learning from the demonstrator.
There are a few details to iron out. The agent needs to reduce the frequency with which it queries the demonstrator (otherwise we might "&amp;"as well just have the demonstrator do the work). Crucially, we need to ensure that the agent will never do something that the demonstrator wouldn’t have done, because such an action could be arbitrarily bad.
This paper proposes a solution in the paradigm"&amp;" where we use Bayesian updating rather than gradient descent to select our model, that is, we have a prior over possible models and then when we see a demonstrator action we update our distribution appropriately. In this case, at every timestep we take th"&amp;"e N most probable models, and only take an action a with probability p if **every** one of the N models takes that action with at least probability p. (There’s a specific rule that ensures that N decreases over time.) The total probability of all the acti"&amp;"ons will typically be less than 1 -- the remaining probability is assigned to querying the demonstrator.
The key property here is that as long as the true demonstrator is in the top N models, then the agent never autonomously takes an action with more pr"&amp;"obability than the demonstrator would. Therefore, as long as we believe the demonstrator is safe, the agent should be as well. Since the agent learns more about the demonstrator every time it queries them, over time it needs to query the demonstrator less"&amp;" often. Note that the higher N is, the more likely it is that the true model is one of those N models (and thus we have more safety), but also the more likely it is that we will have to query the demonstrator. This tradeoff is controlled by a hyperparamet"&amp;"er α that implicitly determines N.")</f>
        <v>Since we probably can’t specify a reward function by hand, one way to get an agent that does what we want is to have it imitate a human. As long as it does this faithfully, it is as safe as the human it is imitating. However, in a train-test paradigm, the resulting agent may faithfully imitate the human on the training distribution but fail catastrophically on the test distribution. (For example, a deceptive model might imitate faithfully until it has sufficient power to take over.) One solution is to never stop training, that is, use an online learning setup where the agent is constantly learning from the demonstrator.
There are a few details to iron out. The agent needs to reduce the frequency with which it queries the demonstrator (otherwise we might as well just have the demonstrator do the work). Crucially, we need to ensure that the agent will never do something that the demonstrator wouldn’t have done, because such an action could be arbitrarily bad.
This paper proposes a solution in the paradigm where we use Bayesian updating rather than gradient descent to select our model, that is, we have a prior over possible models and then when we see a demonstrator action we update our distribution appropriately. In this case, at every timestep we take the N most probable models, and only take an action a with probability p if **every** one of the N models takes that action with at least probability p. (There’s a specific rule that ensures that N decreases over time.) The total probability of all the actions will typically be less than 1 -- the remaining probability is assigned to querying the demonstrator.
The key property here is that as long as the true demonstrator is in the top N models, then the agent never autonomously takes an action with more probability than the demonstrator would. Therefore, as long as we believe the demonstrator is safe, the agent should be as well. Since the agent learns more about the demonstrator every time it queries them, over time it needs to query the demonstrator less often. Note that the higher N is, the more likely it is that the true model is one of those N models (and thus we have more safety), but also the more likely it is that we will have to query the demonstrator. This tradeoff is controlled by a hyperparameter α that implicitly determines N.</v>
      </c>
      <c r="K1073" t="str">
        <f>IFERROR(__xludf.DUMMYFUNCTION("""COMPUTED_VALUE"""),"One of the most important approaches to improve inner alignment is to monitor the performance of your system online, and train to correct any problems. This paper shows the benefit of explicitly quantified, well-specified uncertainty: it allows you to det"&amp;"ect problems _before they happen_ and then correct for them.
This setting has also been studied in &lt;@delegative RL@&gt;(@Delegative Reinforcement Learning@), though there the agent also has access to a reward signal in addition to a demonstrator.")</f>
        <v>One of the most important approaches to improve inner alignment is to monitor the performance of your system online, and train to correct any problems. This paper shows the benefit of explicitly quantified, well-specified uncertainty: it allows you to detect problems _before they happen_ and then correct for them.
This setting has also been studied in &lt;@delegative RL@&gt;(@Delegative Reinforcement Learning@), though there the agent also has access to a reward signal in addition to a demonstrator.</v>
      </c>
      <c r="M1073" s="3" t="str">
        <f>IFERROR(__xludf.DUMMYFUNCTION("""COMPUTED_VALUE"""),"Paper: Fully General Online Imitation Learning")</f>
        <v>Paper: Fully General Online Imitation Learning</v>
      </c>
    </row>
    <row r="1074">
      <c r="A1074" t="str">
        <f>IFERROR(__xludf.DUMMYFUNCTION("""COMPUTED_VALUE"""),"Mesa optimization")</f>
        <v>Mesa optimization</v>
      </c>
      <c r="B1074" t="str">
        <f>IFERROR(__xludf.DUMMYFUNCTION("""COMPUTED_VALUE"""),"")</f>
        <v/>
      </c>
      <c r="C1074" s="3" t="str">
        <f>IFERROR(__xludf.DUMMYFUNCTION("""COMPUTED_VALUE"""),"Fixing The Good Regulator Theorem")</f>
        <v>Fixing The Good Regulator Theorem</v>
      </c>
      <c r="D1074" t="str">
        <f>IFERROR(__xludf.DUMMYFUNCTION("""COMPUTED_VALUE"""),"John Wentworth")</f>
        <v>John Wentworth</v>
      </c>
      <c r="E1074" t="str">
        <f>IFERROR(__xludf.DUMMYFUNCTION("""COMPUTED_VALUE"""),"Alignment Forum")</f>
        <v>Alignment Forum</v>
      </c>
      <c r="F1074">
        <f>IFERROR(__xludf.DUMMYFUNCTION("""COMPUTED_VALUE"""),2021.0)</f>
        <v>2021</v>
      </c>
      <c r="H1074" s="3" t="str">
        <f>IFERROR(__xludf.DUMMYFUNCTION("""COMPUTED_VALUE"""),"AN #138")</f>
        <v>AN #138</v>
      </c>
      <c r="I1074" t="str">
        <f>IFERROR(__xludf.DUMMYFUNCTION("""COMPUTED_VALUE"""),"Rohin")</f>
        <v>Rohin</v>
      </c>
      <c r="J1074" t="str">
        <f>IFERROR(__xludf.DUMMYFUNCTION("""COMPUTED_VALUE"""),"Consider a setting in which we must extract information from some data X to produce model M, so that we can later perform some task Z in a system S while only having access to M. We assume that the task depends only on S and not on X (except inasmuch as X"&amp;" affects S). As a concrete example, we might consider gradient descent extracting information from a training dataset (X) and encoding it in neural network weights (M), which can later be used to classify new test images (Z) taken in the world (S) without"&amp;" looking at the training dataset.
The key question: when is it reasonable to call M a model of S?
1. If we assume that this process is done optimally, then M must contain all information in X that is needed for optimal performance on Z.
2. If we assume t"&amp;"hat every aspect of S is important for optimal performance on Z, then M must contain all information about S that it is possible to get. Note that it is usually important that Z contains some new input (e.g. test images to be classified) to prevent M from"&amp;" hardcoding solutions to Z without needing to infer properties of S.
3. If we assume that M contains _no more_ information than it needs, then it must contain exactly the information about S that can be deduced from X.
It seems reasonable to say that in "&amp;"this case we constructed a model M of the system S from the source X ""as well as possible"". This post formalizes this conceptual argument and presents it as a refined version of the [Good Regulator Theorem](http://pespmc1.vub.ac.be/books/Conant_Ashby.pd"&amp;"f).
Returning to the neural net example, this argument suggests that since neural networks are trained on data from the world, their weights will encode information about the world and can be thought of as a model of the world.")</f>
        <v>Consider a setting in which we must extract information from some data X to produce model M, so that we can later perform some task Z in a system S while only having access to M. We assume that the task depends only on S and not on X (except inasmuch as X affects S). As a concrete example, we might consider gradient descent extracting information from a training dataset (X) and encoding it in neural network weights (M), which can later be used to classify new test images (Z) taken in the world (S) without looking at the training dataset.
The key question: when is it reasonable to call M a model of S?
1. If we assume that this process is done optimally, then M must contain all information in X that is needed for optimal performance on Z.
2. If we assume that every aspect of S is important for optimal performance on Z, then M must contain all information about S that it is possible to get. Note that it is usually important that Z contains some new input (e.g. test images to be classified) to prevent M from hardcoding solutions to Z without needing to infer properties of S.
3. If we assume that M contains _no more_ information than it needs, then it must contain exactly the information about S that can be deduced from X.
It seems reasonable to say that in this case we constructed a model M of the system S from the source X "as well as possible". This post formalizes this conceptual argument and presents it as a refined version of the [Good Regulator Theorem](http://pespmc1.vub.ac.be/books/Conant_Ashby.pdf).
Returning to the neural net example, this argument suggests that since neural networks are trained on data from the world, their weights will encode information about the world and can be thought of as a model of the world.</v>
      </c>
    </row>
    <row r="1075">
      <c r="A1075" t="str">
        <f>IFERROR(__xludf.DUMMYFUNCTION("""COMPUTED_VALUE"""),"Mesa optimization")</f>
        <v>Mesa optimization</v>
      </c>
      <c r="B1075" t="str">
        <f>IFERROR(__xludf.DUMMYFUNCTION("""COMPUTED_VALUE"""),"")</f>
        <v/>
      </c>
      <c r="C1075" s="3" t="str">
        <f>IFERROR(__xludf.DUMMYFUNCTION("""COMPUTED_VALUE"""),"Defining capability and alignment in gradient descent")</f>
        <v>Defining capability and alignment in gradient descent</v>
      </c>
      <c r="D1075" t="str">
        <f>IFERROR(__xludf.DUMMYFUNCTION("""COMPUTED_VALUE"""),"Edouard Harris")</f>
        <v>Edouard Harris</v>
      </c>
      <c r="E1075" t="str">
        <f>IFERROR(__xludf.DUMMYFUNCTION("""COMPUTED_VALUE"""),"Alignment Forum")</f>
        <v>Alignment Forum</v>
      </c>
      <c r="F1075">
        <f>IFERROR(__xludf.DUMMYFUNCTION("""COMPUTED_VALUE"""),2020.0)</f>
        <v>2020</v>
      </c>
      <c r="H1075" s="3" t="str">
        <f>IFERROR(__xludf.DUMMYFUNCTION("""COMPUTED_VALUE"""),"AN #135")</f>
        <v>AN #135</v>
      </c>
      <c r="I1075" t="str">
        <f>IFERROR(__xludf.DUMMYFUNCTION("""COMPUTED_VALUE"""),"Rohin")</f>
        <v>Rohin</v>
      </c>
      <c r="J1075" t="str">
        <f>IFERROR(__xludf.DUMMYFUNCTION("""COMPUTED_VALUE"""),"Consider a neural network like GPT-3 trained by gradient descent on (say) the cross-entropy loss function. This loss function forms the _base objective_ that the process is optimizing for. Gradient descent typically ends up at some local minimum, global m"&amp;"inimum, or saddle point of this base objective.
However, if we look at the gradient descent equation, θ = θ - αG, where G is the gradient, we can see that this is effectively minimizing the size of the gradients. We can think of this as the mesa objectiv"&amp;"e: the gradient descent process (with an appropriate learning rate decay schedule) will eventually get G down to zero, its minimum possible value (even though it may not be at the global minimum for the base objective).
The author then proposes defining "&amp;"capability of an optimizer based on how well it decreases its loss function in the limit of infinite training. Meanwhile, given a base optimizer and mesa optimizer, alignment is given by the capability of the base optimizer divided by the capability of th"&amp;"e mesa optimizer. (Since the mesa optimizer is the one that actually acts, this is effectively measuring how much progress on the mesa objective also causes progress on the true base objective.)
This has all so far assumed a fixed training setup (such as"&amp;" a fixed dataset and network architecture). Ideally, we would also want to talk about robustness and generalization. For this, the author introduces the notion of a “perturbation” to the training setup, and then defines [capability / alignment] [robustnes"&amp;"s / generalization] based on whether the optimization stays approximately the same when the training setup is perturbed.
It should be noted that these are all definitions about the behavior of optimizers in the infinite limit. We may also want stronger g"&amp;"uarantees that talk about the behavior on the way to the infinite limit.")</f>
        <v>Consider a neural network like GPT-3 trained by gradient descent on (say) the cross-entropy loss function. This loss function forms the _base objective_ that the process is optimizing for. Gradient descent typically ends up at some local minimum, global minimum, or saddle point of this base objective.
However, if we look at the gradient descent equation, θ = θ - αG, where G is the gradient, we can see that this is effectively minimizing the size of the gradients. We can think of this as the mesa objective: the gradient descent process (with an appropriate learning rate decay schedule) will eventually get G down to zero, its minimum possible value (even though it may not be at the global minimum for the base objective).
The author then proposes defining capability of an optimizer based on how well it decreases its loss function in the limit of infinite training. Meanwhile, given a base optimizer and mesa optimizer, alignment is given by the capability of the base optimizer divided by the capability of the mesa optimizer. (Since the mesa optimizer is the one that actually acts, this is effectively measuring how much progress on the mesa objective also causes progress on the true base objective.)
This has all so far assumed a fixed training setup (such as a fixed dataset and network architecture). Ideally, we would also want to talk about robustness and generalization. For this, the author introduces the notion of a “perturbation” to the training setup, and then defines [capability / alignment] [robustness / generalization] based on whether the optimization stays approximately the same when the training setup is perturbed.
It should be noted that these are all definitions about the behavior of optimizers in the infinite limit. We may also want stronger guarantees that talk about the behavior on the way to the infinite limit.</v>
      </c>
    </row>
    <row r="1076">
      <c r="A1076" t="str">
        <f>IFERROR(__xludf.DUMMYFUNCTION("""COMPUTED_VALUE"""),"Mesa optimization")</f>
        <v>Mesa optimization</v>
      </c>
      <c r="B1076" t="str">
        <f>IFERROR(__xludf.DUMMYFUNCTION("""COMPUTED_VALUE"""),"")</f>
        <v/>
      </c>
      <c r="C1076" s="3" t="str">
        <f>IFERROR(__xludf.DUMMYFUNCTION("""COMPUTED_VALUE"""),"Confucianism in AI Alignment")</f>
        <v>Confucianism in AI Alignment</v>
      </c>
      <c r="D1076" t="str">
        <f>IFERROR(__xludf.DUMMYFUNCTION("""COMPUTED_VALUE"""),"John Wentworth")</f>
        <v>John Wentworth</v>
      </c>
      <c r="E1076" t="str">
        <f>IFERROR(__xludf.DUMMYFUNCTION("""COMPUTED_VALUE"""),"Alignment Forum")</f>
        <v>Alignment Forum</v>
      </c>
      <c r="F1076">
        <f>IFERROR(__xludf.DUMMYFUNCTION("""COMPUTED_VALUE"""),2020.0)</f>
        <v>2020</v>
      </c>
      <c r="H1076" s="3" t="str">
        <f>IFERROR(__xludf.DUMMYFUNCTION("""COMPUTED_VALUE"""),"AN #125")</f>
        <v>AN #125</v>
      </c>
      <c r="I1076" t="str">
        <f>IFERROR(__xludf.DUMMYFUNCTION("""COMPUTED_VALUE"""),"Rohin")</f>
        <v>Rohin</v>
      </c>
      <c r="J1076" t="str">
        <f>IFERROR(__xludf.DUMMYFUNCTION("""COMPUTED_VALUE"""),"Suppose we trained our agent to behave well on some set of training tasks. &lt;@Mesa optimization@&gt;(@Risks from Learned Optimization in Advanced Machine Learning Systems@) suggests that we may still have a problem: the agent might perform poorly during deplo"&amp;"yment, because it ends up optimizing for some misaligned _mesa objective_ that only agrees with the base objective on the training distribution.
This post suggests that in any training setup in which mesa optimizers would normally be incentivized, it is "&amp;"not sufficient to just prevent mesa optimization from happening. The fact that mesa optimizers could have arisen means that the incentives were bad. If you somehow removed mesa optimizers from the search space, there would still be a selection pressure fo"&amp;"r agents that without any malicious intent end up using heuristics that exploit the bad incentives. As a result, we should focus on fixing the incentives, rather than on excluding mesa optimizers from the search space.")</f>
        <v>Suppose we trained our agent to behave well on some set of training tasks. &lt;@Mesa optimization@&gt;(@Risks from Learned Optimization in Advanced Machine Learning Systems@) suggests that we may still have a problem: the agent might perform poorly during deployment, because it ends up optimizing for some misaligned _mesa objective_ that only agrees with the base objective on the training distribution.
This post suggests that in any training setup in which mesa optimizers would normally be incentivized, it is not sufficient to just prevent mesa optimization from happening. The fact that mesa optimizers could have arisen means that the incentives were bad. If you somehow removed mesa optimizers from the search space, there would still be a selection pressure for agents that without any malicious intent end up using heuristics that exploit the bad incentives. As a result, we should focus on fixing the incentives, rather than on excluding mesa optimizers from the search space.</v>
      </c>
    </row>
    <row r="1077">
      <c r="A1077" t="str">
        <f>IFERROR(__xludf.DUMMYFUNCTION("""COMPUTED_VALUE"""),"Mesa optimization")</f>
        <v>Mesa optimization</v>
      </c>
      <c r="B1077" t="str">
        <f>IFERROR(__xludf.DUMMYFUNCTION("""COMPUTED_VALUE"""),"")</f>
        <v/>
      </c>
      <c r="C1077" s="3" t="str">
        <f>IFERROR(__xludf.DUMMYFUNCTION("""COMPUTED_VALUE"""),"Clarifying inner alignment terminology")</f>
        <v>Clarifying inner alignment terminology</v>
      </c>
      <c r="D1077" t="str">
        <f>IFERROR(__xludf.DUMMYFUNCTION("""COMPUTED_VALUE"""),"Evan Hubinger")</f>
        <v>Evan Hubinger</v>
      </c>
      <c r="E1077" t="str">
        <f>IFERROR(__xludf.DUMMYFUNCTION("""COMPUTED_VALUE"""),"Alignment Forum")</f>
        <v>Alignment Forum</v>
      </c>
      <c r="F1077">
        <f>IFERROR(__xludf.DUMMYFUNCTION("""COMPUTED_VALUE"""),2020.0)</f>
        <v>2020</v>
      </c>
      <c r="H1077" s="3" t="str">
        <f>IFERROR(__xludf.DUMMYFUNCTION("""COMPUTED_VALUE"""),"AN #125")</f>
        <v>AN #125</v>
      </c>
      <c r="I1077" t="str">
        <f>IFERROR(__xludf.DUMMYFUNCTION("""COMPUTED_VALUE"""),"Rohin")</f>
        <v>Rohin</v>
      </c>
      <c r="J1077" t="str">
        <f>IFERROR(__xludf.DUMMYFUNCTION("""COMPUTED_VALUE"""),"This post clarifies the author’s definitions of various terms around inner alignment. Alignment is split into intent alignment and capability robustness, and then intent alignment is further subdivided into outer alignment and objective robustness. Inner "&amp;"alignment is one way of achieving objective robustness, in the specific case that you have a mesa optimizer. See the post for more details on the definitions.")</f>
        <v>This post clarifies the author’s definitions of various terms around inner alignment. Alignment is split into intent alignment and capability robustness, and then intent alignment is further subdivided into outer alignment and objective robustness. Inner alignment is one way of achieving objective robustness, in the specific case that you have a mesa optimizer. See the post for more details on the definitions.</v>
      </c>
      <c r="K1077" t="str">
        <f>IFERROR(__xludf.DUMMYFUNCTION("""COMPUTED_VALUE"""),"I’m glad that definitions are being made clear, especially since I usually use these terms differently than the author. In particular, as mentioned in my opinion on the highlighted paper, I expect performance to smoothly go up with additional compute, dat"&amp;"a, and model capacity, and there won’t be a clear divide between capability robustness and objective robustness. As a result, I prefer not to divide these as much as is done in this post.")</f>
        <v>I’m glad that definitions are being made clear, especially since I usually use these terms differently than the author. In particular, as mentioned in my opinion on the highlighted paper, I expect performance to smoothly go up with additional compute, data, and model capacity, and there won’t be a clear divide between capability robustness and objective robustness. As a result, I prefer not to divide these as much as is done in this post.</v>
      </c>
    </row>
    <row r="1078">
      <c r="A1078" t="str">
        <f>IFERROR(__xludf.DUMMYFUNCTION("""COMPUTED_VALUE"""),"Mesa optimization")</f>
        <v>Mesa optimization</v>
      </c>
      <c r="B1078" t="str">
        <f>IFERROR(__xludf.DUMMYFUNCTION("""COMPUTED_VALUE"""),"")</f>
        <v/>
      </c>
      <c r="C1078" s="3" t="str">
        <f>IFERROR(__xludf.DUMMYFUNCTION("""COMPUTED_VALUE"""),"Mesa-Search vs Mesa-Control")</f>
        <v>Mesa-Search vs Mesa-Control</v>
      </c>
      <c r="D1078" t="str">
        <f>IFERROR(__xludf.DUMMYFUNCTION("""COMPUTED_VALUE"""),"Abram Demski")</f>
        <v>Abram Demski</v>
      </c>
      <c r="E1078" t="str">
        <f>IFERROR(__xludf.DUMMYFUNCTION("""COMPUTED_VALUE"""),"Alignment Forum")</f>
        <v>Alignment Forum</v>
      </c>
      <c r="F1078">
        <f>IFERROR(__xludf.DUMMYFUNCTION("""COMPUTED_VALUE"""),2020.0)</f>
        <v>2020</v>
      </c>
      <c r="H1078" t="str">
        <f>IFERROR(__xludf.DUMMYFUNCTION("""COMPUTED_VALUE"""),"AN #114")</f>
        <v>AN #114</v>
      </c>
      <c r="I1078" t="str">
        <f>IFERROR(__xludf.DUMMYFUNCTION("""COMPUTED_VALUE"""),"Rohin")</f>
        <v>Rohin</v>
      </c>
      <c r="J1078" t="str">
        <f>IFERROR(__xludf.DUMMYFUNCTION("""COMPUTED_VALUE"""),"This post discusses several topics related to mesa optimization, and the ideas in it led the author to update towards thinking inner alignment problems are quite likely to occur in practice. I’m not summarizing it in detail here because it’s written from "&amp;"a perspective on mesa optimization that I find difficult to inhabit. However, it seems to me that this perspective is common so it seems fairly likely that the typical reader would find the post useful.")</f>
        <v>This post discusses several topics related to mesa optimization, and the ideas in it led the author to update towards thinking inner alignment problems are quite likely to occur in practice. I’m not summarizing it in detail here because it’s written from a perspective on mesa optimization that I find difficult to inhabit. However, it seems to me that this perspective is common so it seems fairly likely that the typical reader would find the post useful.</v>
      </c>
    </row>
    <row r="1079">
      <c r="A1079" t="str">
        <f>IFERROR(__xludf.DUMMYFUNCTION("""COMPUTED_VALUE"""),"Mesa optimization")</f>
        <v>Mesa optimization</v>
      </c>
      <c r="B1079" t="str">
        <f>IFERROR(__xludf.DUMMYFUNCTION("""COMPUTED_VALUE"""),"")</f>
        <v/>
      </c>
      <c r="C1079" s="3" t="str">
        <f>IFERROR(__xludf.DUMMYFUNCTION("""COMPUTED_VALUE"""),"Will transparency help catch deception? Perhaps not")</f>
        <v>Will transparency help catch deception? Perhaps not</v>
      </c>
      <c r="D1079" t="str">
        <f>IFERROR(__xludf.DUMMYFUNCTION("""COMPUTED_VALUE"""),"Matthew Barnett")</f>
        <v>Matthew Barnett</v>
      </c>
      <c r="E1079" t="str">
        <f>IFERROR(__xludf.DUMMYFUNCTION("""COMPUTED_VALUE"""),"Alignment Forum")</f>
        <v>Alignment Forum</v>
      </c>
      <c r="F1079">
        <f>IFERROR(__xludf.DUMMYFUNCTION("""COMPUTED_VALUE"""),2019.0)</f>
        <v>2019</v>
      </c>
      <c r="H1079" s="3" t="str">
        <f>IFERROR(__xludf.DUMMYFUNCTION("""COMPUTED_VALUE"""),"AN #74")</f>
        <v>AN #74</v>
      </c>
      <c r="I1079" t="str">
        <f>IFERROR(__xludf.DUMMYFUNCTION("""COMPUTED_VALUE"""),"Rohin")</f>
        <v>Rohin</v>
      </c>
      <c r="J1079" t="str">
        <f>IFERROR(__xludf.DUMMYFUNCTION("""COMPUTED_VALUE"""),"&lt;@Recent@&gt;(@Relaxed adversarial training for inner alignment@) &lt;@posts@&gt;(@Chris Olah’s views on AGI safety@) have been optimistic about using transparency tools to detect deceptive behavior. This post argues that we may not want to use _transparency tools"&amp;"_, because then the deceptive model can simply adapt to fool the transparency tools. Instead, we need something more like an end-to-end trained deception checker that's about as smart as the deceptive model, so that the deceptive model can't fool it.")</f>
        <v>&lt;@Recent@&gt;(@Relaxed adversarial training for inner alignment@) &lt;@posts@&gt;(@Chris Olah’s views on AGI safety@) have been optimistic about using transparency tools to detect deceptive behavior. This post argues that we may not want to use _transparency tools_, because then the deceptive model can simply adapt to fool the transparency tools. Instead, we need something more like an end-to-end trained deception checker that's about as smart as the deceptive model, so that the deceptive model can't fool it.</v>
      </c>
      <c r="K1079" t="str">
        <f>IFERROR(__xludf.DUMMYFUNCTION("""COMPUTED_VALUE"""),"In a [comment](https://www.alignmentforum.org/posts/J9D6Bi3eFDDhCaovi/will-transparency-help-catch-deception-perhaps-not#yn5YcLnL6vs6AxxAE), Evan Hubinger makes a point I agree with: the transparency tools don't need to be able to detect all deception; th"&amp;"ey just need to prevent the model from developing deception. If deception gets added slowly (i.e. the model doesn't ""suddenly"" become perfectly deceptive), then this can be way easier than detecting deception in arbitrary models, and could be done by to"&amp;"ols.")</f>
        <v>In a [comment](https://www.alignmentforum.org/posts/J9D6Bi3eFDDhCaovi/will-transparency-help-catch-deception-perhaps-not#yn5YcLnL6vs6AxxAE), Evan Hubinger makes a point I agree with: the transparency tools don't need to be able to detect all deception; they just need to prevent the model from developing deception. If deception gets added slowly (i.e. the model doesn't "suddenly" become perfectly deceptive), then this can be way easier than detecting deception in arbitrary models, and could be done by tools.</v>
      </c>
      <c r="L1079" t="str">
        <f>IFERROR(__xludf.DUMMYFUNCTION("""COMPUTED_VALUE"""),"&lt;@Relaxed adversarial training for inner alignment@&gt;")</f>
        <v>&lt;@Relaxed adversarial training for inner alignment@&gt;</v>
      </c>
    </row>
    <row r="1080">
      <c r="A1080" t="str">
        <f>IFERROR(__xludf.DUMMYFUNCTION("""COMPUTED_VALUE"""),"Mesa optimization")</f>
        <v>Mesa optimization</v>
      </c>
      <c r="B1080" t="str">
        <f>IFERROR(__xludf.DUMMYFUNCTION("""COMPUTED_VALUE"""),"")</f>
        <v/>
      </c>
      <c r="C1080" s="3" t="str">
        <f>IFERROR(__xludf.DUMMYFUNCTION("""COMPUTED_VALUE"""),"Gradient hacking")</f>
        <v>Gradient hacking</v>
      </c>
      <c r="D1080" t="str">
        <f>IFERROR(__xludf.DUMMYFUNCTION("""COMPUTED_VALUE"""),"Evan Hubinger")</f>
        <v>Evan Hubinger</v>
      </c>
      <c r="E1080" t="str">
        <f>IFERROR(__xludf.DUMMYFUNCTION("""COMPUTED_VALUE"""),"Alignment Forum")</f>
        <v>Alignment Forum</v>
      </c>
      <c r="F1080">
        <f>IFERROR(__xludf.DUMMYFUNCTION("""COMPUTED_VALUE"""),2019.0)</f>
        <v>2019</v>
      </c>
      <c r="H1080" s="3" t="str">
        <f>IFERROR(__xludf.DUMMYFUNCTION("""COMPUTED_VALUE"""),"AN #71")</f>
        <v>AN #71</v>
      </c>
      <c r="I1080" t="str">
        <f>IFERROR(__xludf.DUMMYFUNCTION("""COMPUTED_VALUE"""),"Rohin")</f>
        <v>Rohin</v>
      </c>
      <c r="J1080" t="str">
        <f>IFERROR(__xludf.DUMMYFUNCTION("""COMPUTED_VALUE"""),"This post calls attention to the problem of **gradient hacking**, where a powerful agent being trained by gradient descent could structure its computation in such a way that it causes its gradients to update it in some particular way. For example, a mesa "&amp;"optimizer could structure its computation to first check whether its objective has been tampered with, and if so to fail catastrophically, so that the gradients tend to point away from tampering with the objective.")</f>
        <v>This post calls attention to the problem of **gradient hacking**, where a powerful agent being trained by gradient descent could structure its computation in such a way that it causes its gradients to update it in some particular way. For example, a mesa optimizer could structure its computation to first check whether its objective has been tampered with, and if so to fail catastrophically, so that the gradients tend to point away from tampering with the objective.</v>
      </c>
      <c r="K1080" t="str">
        <f>IFERROR(__xludf.DUMMYFUNCTION("""COMPUTED_VALUE"""),"I'd be interested in work that further sketches out a scenario in which this could occur. I wrote about some particular details in [this comment](https://www.alignmentforum.org/posts/uXH4r6MmKPedk8rMA/gradient-hacking#c7R2dBHRsCAnXyk7b).")</f>
        <v>I'd be interested in work that further sketches out a scenario in which this could occur. I wrote about some particular details in [this comment](https://www.alignmentforum.org/posts/uXH4r6MmKPedk8rMA/gradient-hacking#c7R2dBHRsCAnXyk7b).</v>
      </c>
    </row>
    <row r="1081">
      <c r="A1081" t="str">
        <f>IFERROR(__xludf.DUMMYFUNCTION("""COMPUTED_VALUE"""),"Mesa optimization")</f>
        <v>Mesa optimization</v>
      </c>
      <c r="B1081" t="str">
        <f>IFERROR(__xludf.DUMMYFUNCTION("""COMPUTED_VALUE"""),"")</f>
        <v/>
      </c>
      <c r="C1081" s="3" t="str">
        <f>IFERROR(__xludf.DUMMYFUNCTION("""COMPUTED_VALUE"""),"More variations on pseudo-alignment")</f>
        <v>More variations on pseudo-alignment</v>
      </c>
      <c r="D1081" t="str">
        <f>IFERROR(__xludf.DUMMYFUNCTION("""COMPUTED_VALUE"""),"Evan Hubinger")</f>
        <v>Evan Hubinger</v>
      </c>
      <c r="E1081" t="str">
        <f>IFERROR(__xludf.DUMMYFUNCTION("""COMPUTED_VALUE"""),"Alignment Forum")</f>
        <v>Alignment Forum</v>
      </c>
      <c r="F1081">
        <f>IFERROR(__xludf.DUMMYFUNCTION("""COMPUTED_VALUE"""),2019.0)</f>
        <v>2019</v>
      </c>
      <c r="H1081" s="3" t="str">
        <f>IFERROR(__xludf.DUMMYFUNCTION("""COMPUTED_VALUE"""),"AN #74")</f>
        <v>AN #74</v>
      </c>
      <c r="I1081" t="str">
        <f>IFERROR(__xludf.DUMMYFUNCTION("""COMPUTED_VALUE"""),"Nicholas")</f>
        <v>Nicholas</v>
      </c>
      <c r="J1081" t="str">
        <f>IFERROR(__xludf.DUMMYFUNCTION("""COMPUTED_VALUE"""),"This post identifies two additional types of pseudo-alignment not mentioned in &lt;@Risks from Learned Optimization@&gt;(@Risks from Learned Optimization in Advanced Machine Learning Systems@). **Corrigible pseudo-alignment** is a new subtype of corrigible alig"&amp;"nment. In corrigible alignment, the mesa optimizer models the base objective and optimizes that. Corrigible pseudo-alignment occurs when the model of the base objective is a non-robust proxy for the true base objective. **Suboptimality deceptive alignment"&amp;"** is when deception would help the mesa-optimizer achieve its objective, but it does not yet realize this. This is particularly concerning because even if AI developers check for and prevent deception during training, the agent might become deceptive aft"&amp;"er it has been deployed.")</f>
        <v>This post identifies two additional types of pseudo-alignment not mentioned in &lt;@Risks from Learned Optimization@&gt;(@Risks from Learned Optimization in Advanced Machine Learning Systems@). **Corrigible pseudo-alignment** is a new subtype of corrigible alignment. In corrigible alignment, the mesa optimizer models the base objective and optimizes that. Corrigible pseudo-alignment occurs when the model of the base objective is a non-robust proxy for the true base objective. **Suboptimality deceptive alignment** is when deception would help the mesa-optimizer achieve its objective, but it does not yet realize this. This is particularly concerning because even if AI developers check for and prevent deception during training, the agent might become deceptive after it has been deployed.</v>
      </c>
      <c r="K1081" t="str">
        <f>IFERROR(__xludf.DUMMYFUNCTION("""COMPUTED_VALUE"""),"These two variants of pseudo-alignment seem useful to keep in mind, and I am optimistic that classifying risks from mesa-optimization (and AI more generally) will make them easier to understand and address.")</f>
        <v>These two variants of pseudo-alignment seem useful to keep in mind, and I am optimistic that classifying risks from mesa-optimization (and AI more generally) will make them easier to understand and address.</v>
      </c>
    </row>
    <row r="1082">
      <c r="A1082" t="str">
        <f>IFERROR(__xludf.DUMMYFUNCTION("""COMPUTED_VALUE"""),"Meta learning")</f>
        <v>Meta learning</v>
      </c>
      <c r="B1082" t="str">
        <f>IFERROR(__xludf.DUMMYFUNCTION("""COMPUTED_VALUE"""),"")</f>
        <v/>
      </c>
      <c r="C1082" s="3" t="str">
        <f>IFERROR(__xludf.DUMMYFUNCTION("""COMPUTED_VALUE"""),"Meta-World: A Benchmark and Evaluation for Multi-Task and Meta Reinforcement Learning")</f>
        <v>Meta-World: A Benchmark and Evaluation for Multi-Task and Meta Reinforcement Learning</v>
      </c>
      <c r="D1082" t="str">
        <f>IFERROR(__xludf.DUMMYFUNCTION("""COMPUTED_VALUE"""),"Tianhe Yu*, Deirdre Quillen*, Zhanpeng He*, Ryan Julian, Karol Hausman, Chelsea Finn, Sergey Levine")</f>
        <v>Tianhe Yu*, Deirdre Quillen*, Zhanpeng He*, Ryan Julian, Karol Hausman, Chelsea Finn, Sergey Levine</v>
      </c>
      <c r="E1082" t="str">
        <f>IFERROR(__xludf.DUMMYFUNCTION("""COMPUTED_VALUE"""),"arXiv")</f>
        <v>arXiv</v>
      </c>
      <c r="F1082">
        <f>IFERROR(__xludf.DUMMYFUNCTION("""COMPUTED_VALUE"""),2019.0)</f>
        <v>2019</v>
      </c>
      <c r="H1082" s="3" t="str">
        <f>IFERROR(__xludf.DUMMYFUNCTION("""COMPUTED_VALUE"""),"AN #74")</f>
        <v>AN #74</v>
      </c>
      <c r="I1082" t="str">
        <f>IFERROR(__xludf.DUMMYFUNCTION("""COMPUTED_VALUE"""),"Asya")</f>
        <v>Asya</v>
      </c>
      <c r="J1082" t="str">
        <f>IFERROR(__xludf.DUMMYFUNCTION("""COMPUTED_VALUE"""),"""Meta-learning"" or ""learning to learn"" refers to the problem of transferring insight and skills from one set of tasks to be able to quickly perform well on new tasks. For example, you might want an algorithm that trains on some set of platformer games"&amp;" to pick up general skills that it can use to quickly learn new platformer games.
This paper introduces a new benchmark, ""Meta World"", for evaluating meta-learning algorithms. The benchmark consists of 50 simulated robotic manipulation tasks that requi"&amp;"re a robot arm to do a combination of reaching, pushing and grasping. The benchmark tests the ability of algorithms to learn to do a single task well, learn one multi-task policy that trains and performs well on several tasks at once, and adapt to new tas"&amp;"ks after training on a number of other tasks. The paper argues that unlike previous meta-learning evaluations, the task distribution in this benchmark is very broad while still having enough shared structure that meta-learning is possible.
The paper eval"&amp;"uates existing multi-task learning and meta-learning algorithms on this new benchmark. In meta-learning, it finds that different algorithms do better depending on how much training data they're given. In multi-task learning, it finds that the algorithm th"&amp;"at performs best uses multiple ""heads"", or ends of neural networks, one for each task. It also finds that algorithms that are ""off-policy""-- that estimate the value of actions other than the one that the network is currently planning to take-- perform"&amp;" better on multi-task learning than ""on-policy"" algorithms.")</f>
        <v>"Meta-learning" or "learning to learn" refers to the problem of transferring insight and skills from one set of tasks to be able to quickly perform well on new tasks. For example, you might want an algorithm that trains on some set of platformer games to pick up general skills that it can use to quickly learn new platformer games.
This paper introduces a new benchmark, "Meta World", for evaluating meta-learning algorithms. The benchmark consists of 50 simulated robotic manipulation tasks that require a robot arm to do a combination of reaching, pushing and grasping. The benchmark tests the ability of algorithms to learn to do a single task well, learn one multi-task policy that trains and performs well on several tasks at once, and adapt to new tasks after training on a number of other tasks. The paper argues that unlike previous meta-learning evaluations, the task distribution in this benchmark is very broad while still having enough shared structure that meta-learning is possible.
The paper evaluates existing multi-task learning and meta-learning algorithms on this new benchmark. In meta-learning, it finds that different algorithms do better depending on how much training data they're given. In multi-task learning, it finds that the algorithm that performs best uses multiple "heads", or ends of neural networks, one for each task. It also finds that algorithms that are "off-policy"-- that estimate the value of actions other than the one that the network is currently planning to take-- perform better on multi-task learning than "on-policy" algorithms.</v>
      </c>
      <c r="K1082" t="str">
        <f>IFERROR(__xludf.DUMMYFUNCTION("""COMPUTED_VALUE"""),"I really like the idea of having a standardized benchmark for evaluating meta-learning algorithms. There's a lot of room for improvement in performance on the benchmark tasks and it would be cool if this incentivized algorithm development. As with any ben"&amp;"chmark, I worry that it is too narrow to capture all the nuances of potential algorithms; I wouldn't be surprised if some meta-learning algorithm performed poorly here but did well in some other domain.")</f>
        <v>I really like the idea of having a standardized benchmark for evaluating meta-learning algorithms. There's a lot of room for improvement in performance on the benchmark tasks and it would be cool if this incentivized algorithm development. As with any benchmark, I worry that it is too narrow to capture all the nuances of potential algorithms; I wouldn't be surprised if some meta-learning algorithm performed poorly here but did well in some other domain.</v>
      </c>
    </row>
    <row r="1083">
      <c r="A1083" t="str">
        <f>IFERROR(__xludf.DUMMYFUNCTION("""COMPUTED_VALUE"""),"Meta learning")</f>
        <v>Meta learning</v>
      </c>
      <c r="B1083" t="str">
        <f>IFERROR(__xludf.DUMMYFUNCTION("""COMPUTED_VALUE"""),"")</f>
        <v/>
      </c>
      <c r="C1083" s="3" t="str">
        <f>IFERROR(__xludf.DUMMYFUNCTION("""COMPUTED_VALUE"""),"Meta-Learning with Implicit Gradients")</f>
        <v>Meta-Learning with Implicit Gradients</v>
      </c>
      <c r="D1083" t="str">
        <f>IFERROR(__xludf.DUMMYFUNCTION("""COMPUTED_VALUE"""),"Aravind Rajeswaran, Chelsea Finn, Sham Kakade, Sergey Levine")</f>
        <v>Aravind Rajeswaran, Chelsea Finn, Sham Kakade, Sergey Levine</v>
      </c>
      <c r="E1083" t="str">
        <f>IFERROR(__xludf.DUMMYFUNCTION("""COMPUTED_VALUE"""),"NeurIPS 2019")</f>
        <v>NeurIPS 2019</v>
      </c>
      <c r="F1083">
        <f>IFERROR(__xludf.DUMMYFUNCTION("""COMPUTED_VALUE"""),2019.0)</f>
        <v>2019</v>
      </c>
      <c r="H1083" s="3" t="str">
        <f>IFERROR(__xludf.DUMMYFUNCTION("""COMPUTED_VALUE"""),"AN #71")</f>
        <v>AN #71</v>
      </c>
      <c r="I1083" t="str">
        <f>IFERROR(__xludf.DUMMYFUNCTION("""COMPUTED_VALUE"""),"Nicholas")</f>
        <v>Nicholas</v>
      </c>
      <c r="J1083" t="str">
        <f>IFERROR(__xludf.DUMMYFUNCTION("""COMPUTED_VALUE"""),"The field of meta-learning endeavors to create agents that don’t just learn, but instead learn how to learn. Concretely, the goal is to train an algorithm on a subset of tasks, such that it can get low error on a different subset of tasks with minimal tra"&amp;"ining. 
Model Agnostic Meta Learning (MAML) tackles this problem by finding a set of initial parameters, θ, from which it is easy to quickly learn other tasks. During training, an inner loop copies θ into parameters φ, and optimizes φ for a fixed number "&amp;"of steps. Then an outer loop computes the gradient of θ through the inner optimization process (e.g. backpropagating through gradient descent) and updates θ accordingly. 
MAML as described above has a few downsides, which this paper addresses.
1.  The ba"&amp;"se optimizer itself must be differentiable, not just the loss function.
2.  The gradient computation requires linear compute and memory in the number of steps, and suffers from vanishing and exploding gradients as that number increases.
3.  In the inner l"&amp;"oop, while φ is initially identical to θ, its dependence on θ fades as more steps occur.
Implicit MAML (iMAML) addresses these with two innovations. First, it adds a regularization term to keep φ close to θ, which maintains the dependence of φ on θ t"&amp;"hroughout training. Second, it computes the outer update gradient in closed form based purely on the final value of φ rather than using the entire optimization trajectory. Because the inner loop is an optimization process, the end result is an optimum, an"&amp;"d thus has zero gradient. This leads to an implicit equation that when differentiated gives a closed form representation for the gradient of θ. This enables iMAML to work with inner optimization sequences that have more training steps, or that are not dif"&amp;"ferentiable.")</f>
        <v>The field of meta-learning endeavors to create agents that don’t just learn, but instead learn how to learn. Concretely, the goal is to train an algorithm on a subset of tasks, such that it can get low error on a different subset of tasks with minimal training. 
Model Agnostic Meta Learning (MAML) tackles this problem by finding a set of initial parameters, θ, from which it is easy to quickly learn other tasks. During training, an inner loop copies θ into parameters φ, and optimizes φ for a fixed number of steps. Then an outer loop computes the gradient of θ through the inner optimization process (e.g. backpropagating through gradient descent) and updates θ accordingly. 
MAML as described above has a few downsides, which this paper addresses.
1.  The base optimizer itself must be differentiable, not just the loss function.
2.  The gradient computation requires linear compute and memory in the number of steps, and suffers from vanishing and exploding gradients as that number increases.
3.  In the inner loop, while φ is initially identical to θ, its dependence on θ fades as more steps occur.
Implicit MAML (iMAML) addresses these with two innovations. First, it adds a regularization term to keep φ close to θ, which maintains the dependence of φ on θ throughout training. Second, it computes the outer update gradient in closed form based purely on the final value of φ rather than using the entire optimization trajectory. Because the inner loop is an optimization process, the end result is an optimum, and thus has zero gradient. This leads to an implicit equation that when differentiated gives a closed form representation for the gradient of θ. This enables iMAML to work with inner optimization sequences that have more training steps, or that are not differentiable.</v>
      </c>
      <c r="K1083" t="str">
        <f>IFERROR(__xludf.DUMMYFUNCTION("""COMPUTED_VALUE"""),"I am not an expert in meta-learning, but my impression is that this paper removes a major bottleneck to future research on meta-learning and gives a clear direction for future work on medium-shot learning and more complex inner optimizers. I’m also partic"&amp;"ularly interested in how this will interact with &lt;@risks from learned optimization@&gt;(@Risks from Learned Optimization in Advanced Machine Learning Systems@). In particular, it seems possible to me that the outer parameters θ or a subset of them might pote"&amp;"ntially encode an internal mesa-optimizer. On the other hand, they may simply be learning locations in the parameter space from which it is easy to reach useful configurations. Interpretability of weights is a difficult problem, but I'd be excited about a"&amp;"ny work that sheds light on what characteristics of θ enable it to generalize across tasks.")</f>
        <v>I am not an expert in meta-learning, but my impression is that this paper removes a major bottleneck to future research on meta-learning and gives a clear direction for future work on medium-shot learning and more complex inner optimizers. I’m also particularly interested in how this will interact with &lt;@risks from learned optimization@&gt;(@Risks from Learned Optimization in Advanced Machine Learning Systems@). In particular, it seems possible to me that the outer parameters θ or a subset of them might potentially encode an internal mesa-optimizer. On the other hand, they may simply be learning locations in the parameter space from which it is easy to reach useful configurations. Interpretability of weights is a difficult problem, but I'd be excited about any work that sheds light on what characteristics of θ enable it to generalize across tasks.</v>
      </c>
    </row>
    <row r="1084">
      <c r="A1084" t="str">
        <f>IFERROR(__xludf.DUMMYFUNCTION("""COMPUTED_VALUE"""),"Meta learning")</f>
        <v>Meta learning</v>
      </c>
      <c r="B1084" t="str">
        <f>IFERROR(__xludf.DUMMYFUNCTION("""COMPUTED_VALUE"""),"")</f>
        <v/>
      </c>
      <c r="C1084" s="3" t="str">
        <f>IFERROR(__xludf.DUMMYFUNCTION("""COMPUTED_VALUE"""),"Meta-Dataset: A Dataset of Datasets for Learning to Learn from Few Examples")</f>
        <v>Meta-Dataset: A Dataset of Datasets for Learning to Learn from Few Examples</v>
      </c>
      <c r="D1084" t="str">
        <f>IFERROR(__xludf.DUMMYFUNCTION("""COMPUTED_VALUE"""),"Eleni Triantafillou, Tyler Zhu, Vincent Dumoulin, Pascal Lamblin, Kelvin Xu, Ross Goroshin, Carles Gelada, Kevin Swersky, Pierre-Antoine Manzagol, Hugo Larochelle")</f>
        <v>Eleni Triantafillou, Tyler Zhu, Vincent Dumoulin, Pascal Lamblin, Kelvin Xu, Ross Goroshin, Carles Gelada, Kevin Swersky, Pierre-Antoine Manzagol, Hugo Larochelle</v>
      </c>
      <c r="E1084" t="str">
        <f>IFERROR(__xludf.DUMMYFUNCTION("""COMPUTED_VALUE"""),"arXiv")</f>
        <v>arXiv</v>
      </c>
      <c r="F1084">
        <f>IFERROR(__xludf.DUMMYFUNCTION("""COMPUTED_VALUE"""),2019.0)</f>
        <v>2019</v>
      </c>
      <c r="H1084" s="3" t="str">
        <f>IFERROR(__xludf.DUMMYFUNCTION("""COMPUTED_VALUE"""),"AN #50")</f>
        <v>AN #50</v>
      </c>
    </row>
    <row r="1085">
      <c r="A1085" t="str">
        <f>IFERROR(__xludf.DUMMYFUNCTION("""COMPUTED_VALUE"""),"Meta learning")</f>
        <v>Meta learning</v>
      </c>
      <c r="B1085" t="str">
        <f>IFERROR(__xludf.DUMMYFUNCTION("""COMPUTED_VALUE"""),"")</f>
        <v/>
      </c>
      <c r="C1085" s="3" t="str">
        <f>IFERROR(__xludf.DUMMYFUNCTION("""COMPUTED_VALUE"""),"Online Meta-Learning")</f>
        <v>Online Meta-Learning</v>
      </c>
      <c r="D1085" t="str">
        <f>IFERROR(__xludf.DUMMYFUNCTION("""COMPUTED_VALUE"""),"Chelsea Finn, Aravind Rajeswaran, Sham Kakade, Sergey Levine")</f>
        <v>Chelsea Finn, Aravind Rajeswaran, Sham Kakade, Sergey Levine</v>
      </c>
      <c r="E1085" t="str">
        <f>IFERROR(__xludf.DUMMYFUNCTION("""COMPUTED_VALUE"""),"EMNLP 2018")</f>
        <v>EMNLP 2018</v>
      </c>
      <c r="F1085">
        <f>IFERROR(__xludf.DUMMYFUNCTION("""COMPUTED_VALUE"""),2019.0)</f>
        <v>2019</v>
      </c>
      <c r="H1085" s="3" t="str">
        <f>IFERROR(__xludf.DUMMYFUNCTION("""COMPUTED_VALUE"""),"AN #50")</f>
        <v>AN #50</v>
      </c>
    </row>
    <row r="1086">
      <c r="A1086" t="str">
        <f>IFERROR(__xludf.DUMMYFUNCTION("""COMPUTED_VALUE"""),"Meta learning")</f>
        <v>Meta learning</v>
      </c>
      <c r="B1086" t="str">
        <f>IFERROR(__xludf.DUMMYFUNCTION("""COMPUTED_VALUE"""),"")</f>
        <v/>
      </c>
      <c r="C1086" s="3" t="str">
        <f>IFERROR(__xludf.DUMMYFUNCTION("""COMPUTED_VALUE"""),"Learning to Continually Learn")</f>
        <v>Learning to Continually Learn</v>
      </c>
      <c r="D1086" t="str">
        <f>IFERROR(__xludf.DUMMYFUNCTION("""COMPUTED_VALUE"""),"Shawn Beaulieu, Lapo Frati, Thomas Miconi, Joel Lehman, Kenneth O. Stanley, Jeff Clune, Nick Cheney")</f>
        <v>Shawn Beaulieu, Lapo Frati, Thomas Miconi, Joel Lehman, Kenneth O. Stanley, Jeff Clune, Nick Cheney</v>
      </c>
      <c r="E1086" t="str">
        <f>IFERROR(__xludf.DUMMYFUNCTION("""COMPUTED_VALUE"""),"arXiv")</f>
        <v>arXiv</v>
      </c>
      <c r="F1086">
        <f>IFERROR(__xludf.DUMMYFUNCTION("""COMPUTED_VALUE"""),2020.0)</f>
        <v>2020</v>
      </c>
      <c r="H1086" s="3" t="str">
        <f>IFERROR(__xludf.DUMMYFUNCTION("""COMPUTED_VALUE"""),"AN #106")</f>
        <v>AN #106</v>
      </c>
      <c r="I1086" t="str">
        <f>IFERROR(__xludf.DUMMYFUNCTION("""COMPUTED_VALUE"""),"Robert")</f>
        <v>Robert</v>
      </c>
      <c r="J1086" t="str">
        <f>IFERROR(__xludf.DUMMYFUNCTION("""COMPUTED_VALUE"""),"This paper presents the **ANML** (A Neuromodulated Meta-Learning algorithm) method for countering catastrophic forgetting in continual learning. Continual learning is a problem setting where the system is presented with several tasks in sequence, and must"&amp;" maintain good performance on all of them. When training on new tasks, neural networks often “forget” how to perform the previous tasks, which is called catastrophic forgetting. This makes the naive approach of just training on each task in sequence ineff"&amp;"ective.
The paper has two main ideas. First, rather than avoiding catastrophic forgetting by using hand-crafted solutions (e.g. previous methods have encouraged sparsity), the authors use meta-learning to directly optimise for this goal. This is done by "&amp;"**learning a network parameterization which, after training sequentially on many tasks, will get good performance on all tasks**. This outer loop objective can be optimised for directly by taking higher order gradients (gradients of gradients). The second"&amp;" idea is a novel form of neuromodulation. This takes the form of a neuromodulatory (NM) network, which takes the same input as the prediction network, and gates the prediction network’s forward pass. **This provides direct control of the output of the pre"&amp;"diction network, but also indirect control of the learning of the prediction network, as gradients will only flow through the paths which haven’t been zeroed out by the gating mechanism.**
**Their method achieves state-of-the-art results on continual lea"&amp;"rning in Omniglot**, a few-shot dataset consisting of 1623 characters, each with only 20 hand-drawn examples. The network has to learn a sequence of tasks (e.g. classifying a character) with only 15 examples, and is then tested on overall performance over"&amp;" all the classes it’s learned. Their network gets 60% accuracy when presented with 600 classes in a row. **A classifier trained with the same data but shuffled independently at random only gets 68% accuracy**, implying that the catastrophic forgetting of "&amp;"their network only cost 8 percentage points. **Their method also learns a form of sparsity in the activations of the network in a much better way than the hand-crafted methods** - while per-class activations are very sparse, no neurons are wasted, as they"&amp;" all still activate over the entire dataset.")</f>
        <v>This paper presents the **ANML** (A Neuromodulated Meta-Learning algorithm) method for countering catastrophic forgetting in continual learning. Continual learning is a problem setting where the system is presented with several tasks in sequence, and must maintain good performance on all of them. When training on new tasks, neural networks often “forget” how to perform the previous tasks, which is called catastrophic forgetting. This makes the naive approach of just training on each task in sequence ineffective.
The paper has two main ideas. First, rather than avoiding catastrophic forgetting by using hand-crafted solutions (e.g. previous methods have encouraged sparsity), the authors use meta-learning to directly optimise for this goal. This is done by **learning a network parameterization which, after training sequentially on many tasks, will get good performance on all tasks**. This outer loop objective can be optimised for directly by taking higher order gradients (gradients of gradients). The second idea is a novel form of neuromodulation. This takes the form of a neuromodulatory (NM) network, which takes the same input as the prediction network, and gates the prediction network’s forward pass. **This provides direct control of the output of the prediction network, but also indirect control of the learning of the prediction network, as gradients will only flow through the paths which haven’t been zeroed out by the gating mechanism.**
**Their method achieves state-of-the-art results on continual learning in Omniglot**, a few-shot dataset consisting of 1623 characters, each with only 20 hand-drawn examples. The network has to learn a sequence of tasks (e.g. classifying a character) with only 15 examples, and is then tested on overall performance over all the classes it’s learned. Their network gets 60% accuracy when presented with 600 classes in a row. **A classifier trained with the same data but shuffled independently at random only gets 68% accuracy**, implying that the catastrophic forgetting of their network only cost 8 percentage points. **Their method also learns a form of sparsity in the activations of the network in a much better way than the hand-crafted methods** - while per-class activations are very sparse, no neurons are wasted, as they all still activate over the entire dataset.</v>
      </c>
      <c r="K1086" t="str">
        <f>IFERROR(__xludf.DUMMYFUNCTION("""COMPUTED_VALUE"""),"This paper is interesting because it's a demonstration of the power of meta-learning to formulate the true optimisation objective. Often in machine learning much research is devoted to the manual path of trying to find the correct inductive biases to solv"&amp;"e hard problems (such as catastrophic forgetting). Instead, this paper shows we can use methods like meta-learning to learn these inductive biases (such as sparsity) automatically, by optimising directly for what we want. This relates to (and is motivated"&amp;" by) &lt;@AI-Generating Algorithms@&gt;(@AI-GAs: AI-generating algorithms, an alternate paradigm for producing general artificial intelligence@). Obviously, this method still uses the neuromodulatory network as an architectural inductive bias - it'd be interest"&amp;"ing to see whether we could somehow learn this method (or something more specific) as well, perhaps through neural architecture search or just using a larger network which has the representational capacity to perform something like the gating operation.")</f>
        <v>This paper is interesting because it's a demonstration of the power of meta-learning to formulate the true optimisation objective. Often in machine learning much research is devoted to the manual path of trying to find the correct inductive biases to solve hard problems (such as catastrophic forgetting). Instead, this paper shows we can use methods like meta-learning to learn these inductive biases (such as sparsity) automatically, by optimising directly for what we want. This relates to (and is motivated by) &lt;@AI-Generating Algorithms@&gt;(@AI-GAs: AI-generating algorithms, an alternate paradigm for producing general artificial intelligence@). Obviously, this method still uses the neuromodulatory network as an architectural inductive bias - it'd be interesting to see whether we could somehow learn this method (or something more specific) as well, perhaps through neural architecture search or just using a larger network which has the representational capacity to perform something like the gating operation.</v>
      </c>
      <c r="M1086" s="4" t="str">
        <f>IFERROR(__xludf.DUMMYFUNCTION("""COMPUTED_VALUE"""),"Paper: AI-GAs: AI-generating algorithms, an alternate paradigm for producing general artificial intelligence")</f>
        <v>Paper: AI-GAs: AI-generating algorithms, an alternate paradigm for producing general artificial intelligence</v>
      </c>
    </row>
    <row r="1087">
      <c r="A1087" t="str">
        <f>IFERROR(__xludf.DUMMYFUNCTION("""COMPUTED_VALUE"""),"Meta learning")</f>
        <v>Meta learning</v>
      </c>
      <c r="B1087" t="str">
        <f>IFERROR(__xludf.DUMMYFUNCTION("""COMPUTED_VALUE"""),"")</f>
        <v/>
      </c>
      <c r="C1087" s="3" t="str">
        <f>IFERROR(__xludf.DUMMYFUNCTION("""COMPUTED_VALUE"""),"Meta-Learning without Memorization")</f>
        <v>Meta-Learning without Memorization</v>
      </c>
      <c r="D1087" t="str">
        <f>IFERROR(__xludf.DUMMYFUNCTION("""COMPUTED_VALUE"""),"Mingzhang Yin, George Tucker, Mingyuan Zhou, Sergey Levine, Chelsea Finn")</f>
        <v>Mingzhang Yin, George Tucker, Mingyuan Zhou, Sergey Levine, Chelsea Finn</v>
      </c>
      <c r="E1087" t="str">
        <f>IFERROR(__xludf.DUMMYFUNCTION("""COMPUTED_VALUE"""),"arXiv")</f>
        <v>arXiv</v>
      </c>
      <c r="F1087">
        <f>IFERROR(__xludf.DUMMYFUNCTION("""COMPUTED_VALUE"""),2019.0)</f>
        <v>2019</v>
      </c>
      <c r="H1087" s="3" t="str">
        <f>IFERROR(__xludf.DUMMYFUNCTION("""COMPUTED_VALUE"""),"AN #104")</f>
        <v>AN #104</v>
      </c>
      <c r="I1087" t="str">
        <f>IFERROR(__xludf.DUMMYFUNCTION("""COMPUTED_VALUE"""),"Asya")</f>
        <v>Asya</v>
      </c>
      <c r="J1087" t="str">
        <f>IFERROR(__xludf.DUMMYFUNCTION("""COMPUTED_VALUE"""),"Meta-learning is a technique for leveraging data from previous tasks to enable efficient learning of new tasks. This paper proposes a solution to a problem in meta-learning which the paper calls the _memorization problem_. Imagine a meta-learning algorith"&amp;"m trained to look at 2D pictures of 3D objects and determine their orientation relative to a fixed canonical pose. Trained on a small number of objects, it may be easy for the algorithm to just memorize the canonical pose for each training object and then"&amp;" infer the orientation from the input image. However, the algorithm will perform poorly at test time because it has not seen novel objects and their canonical poses. Rather than memorizing, we would like the meta-learning algorithm to learn to _adapt_ to "&amp;"new tasks, guessing at rules for determining canonical poses given just a few example images of a new object.
At a high level, a meta-learning algorithm uses information from three sources when making a prediction-- the training data, the parameters lear"&amp;"ned while doing meta-training on previous tasks, and the current input. To prevent memorization, we would like the algorithm to get information about which task it's solving only from the training data, rather than memorizing it by storing it in its other"&amp;" information sources. To discourage this kind of memorization, the paper proposes two new kinds of regularization techniques which it calls ""meta-regularization"" schemes. One penalizes the amount of information that the algorithm stores in the direct re"&amp;"lationship between input data and predicted label (""meta-regularization on activations""), and the other penalizes the amount of information that the algorithm stores in the parameters learned during meta-training (""meta-regularization on weights"").
I"&amp;"n some cases, meta-regularization on activations fails to prevent the memorization problem where meta-regularization on weights succeeds. The paper hypothesizes that this is because even a small amount of direct information between input data and predicte"&amp;"d label is enough to store the correct prediction (e.g., a single number that is the correct orientation). That is, the correct activations will have _low information complexity_, so it is easy to store them even when information in activations is heavily"&amp;" penalized. On the other hand, the _function_ needed to memorize the predicted label has a _high information complexity_, so penalizing information in the weights, which store that function, successfully discourages memorization. The key insight here is t"&amp;"hat memorizing all the training examples results in a more information-theoretically complex model than task-specific adaptation, because the memorization model is a single model that must simultaneously perform well on all tasks.
Both meta-regularizatio"&amp;"n techniques outperform non-regularized meta-learning techniques in several experimental set-ups, including a toy sinusoid regression problem, the pose prediction problem described above, and modified Omniglot and MiniImagenet classification tasks. They a"&amp;"lso outperform fine-tuned models and models regularized with standard regularization techniques.")</f>
        <v>Meta-learning is a technique for leveraging data from previous tasks to enable efficient learning of new tasks. This paper proposes a solution to a problem in meta-learning which the paper calls the _memorization problem_. Imagine a meta-learning algorithm trained to look at 2D pictures of 3D objects and determine their orientation relative to a fixed canonical pose. Trained on a small number of objects, it may be easy for the algorithm to just memorize the canonical pose for each training object and then infer the orientation from the input image. However, the algorithm will perform poorly at test time because it has not seen novel objects and their canonical poses. Rather than memorizing, we would like the meta-learning algorithm to learn to _adapt_ to new tasks, guessing at rules for determining canonical poses given just a few example images of a new object.
At a high level, a meta-learning algorithm uses information from three sources when making a prediction-- the training data, the parameters learned while doing meta-training on previous tasks, and the current input. To prevent memorization, we would like the algorithm to get information about which task it's solving only from the training data, rather than memorizing it by storing it in its other information sources. To discourage this kind of memorization, the paper proposes two new kinds of regularization techniques which it calls "meta-regularization" schemes. One penalizes the amount of information that the algorithm stores in the direct relationship between input data and predicted label ("meta-regularization on activations"), and the other penalizes the amount of information that the algorithm stores in the parameters learned during meta-training ("meta-regularization on weights").
In some cases, meta-regularization on activations fails to prevent the memorization problem where meta-regularization on weights succeeds. The paper hypothesizes that this is because even a small amount of direct information between input data and predicted label is enough to store the correct prediction (e.g., a single number that is the correct orientation). That is, the correct activations will have _low information complexity_, so it is easy to store them even when information in activations is heavily penalized. On the other hand, the _function_ needed to memorize the predicted label has a _high information complexity_, so penalizing information in the weights, which store that function, successfully discourages memorization. The key insight here is that memorizing all the training examples results in a more information-theoretically complex model than task-specific adaptation, because the memorization model is a single model that must simultaneously perform well on all tasks.
Both meta-regularization techniques outperform non-regularized meta-learning techniques in several experimental set-ups, including a toy sinusoid regression problem, the pose prediction problem described above, and modified Omniglot and MiniImagenet classification tasks. They also outperform fine-tuned models and models regularized with standard regularization techniques.</v>
      </c>
      <c r="K1087" t="str">
        <f>IFERROR(__xludf.DUMMYFUNCTION("""COMPUTED_VALUE"""),"I like this paper, and the techniques for meta-regularization it proposes seem to me like they're natural and will be picked up elsewhere. Penalizing model complexity to encourage more adaptive learning reminds me of arguments that &lt;@pressure for compress"&amp;"ed policies could create mesa-optimizers@&gt;(@Risks from Learned Optimization in Advanced Machine Learning Systems@) -- this feels like very weak evidence that that could indeed be the case.")</f>
        <v>I like this paper, and the techniques for meta-regularization it proposes seem to me like they're natural and will be picked up elsewhere. Penalizing model complexity to encourage more adaptive learning reminds me of arguments that &lt;@pressure for compressed policies could create mesa-optimizers@&gt;(@Risks from Learned Optimization in Advanced Machine Learning Systems@) -- this feels like very weak evidence that that could indeed be the case.</v>
      </c>
    </row>
    <row r="1088">
      <c r="A1088" t="str">
        <f>IFERROR(__xludf.DUMMYFUNCTION("""COMPUTED_VALUE"""),"Meta learning")</f>
        <v>Meta learning</v>
      </c>
      <c r="B1088" t="str">
        <f>IFERROR(__xludf.DUMMYFUNCTION("""COMPUTED_VALUE"""),"")</f>
        <v/>
      </c>
      <c r="C1088" s="3" t="str">
        <f>IFERROR(__xludf.DUMMYFUNCTION("""COMPUTED_VALUE"""),"Task-Agnostic Meta-Learning for Few-shot Learning")</f>
        <v>Task-Agnostic Meta-Learning for Few-shot Learning</v>
      </c>
      <c r="D1088" t="str">
        <f>IFERROR(__xludf.DUMMYFUNCTION("""COMPUTED_VALUE"""),"Muhammad Abdullah Jamal, Guo-Jun Qi, Mubarak Shah")</f>
        <v>Muhammad Abdullah Jamal, Guo-Jun Qi, Mubarak Shah</v>
      </c>
      <c r="E1088" t="str">
        <f>IFERROR(__xludf.DUMMYFUNCTION("""COMPUTED_VALUE"""),"arXiv")</f>
        <v>arXiv</v>
      </c>
      <c r="F1088">
        <f>IFERROR(__xludf.DUMMYFUNCTION("""COMPUTED_VALUE"""),2018.0)</f>
        <v>2018</v>
      </c>
      <c r="H1088" s="3" t="str">
        <f>IFERROR(__xludf.DUMMYFUNCTION("""COMPUTED_VALUE"""),"AN #8")</f>
        <v>AN #8</v>
      </c>
    </row>
    <row r="1089">
      <c r="A1089" t="str">
        <f>IFERROR(__xludf.DUMMYFUNCTION("""COMPUTED_VALUE"""),"Meta learning")</f>
        <v>Meta learning</v>
      </c>
      <c r="B1089" t="str">
        <f>IFERROR(__xludf.DUMMYFUNCTION("""COMPUTED_VALUE"""),"")</f>
        <v/>
      </c>
      <c r="C1089" s="3" t="str">
        <f>IFERROR(__xludf.DUMMYFUNCTION("""COMPUTED_VALUE"""),"Meta-learning with differentiable closed-form solvers")</f>
        <v>Meta-learning with differentiable closed-form solvers</v>
      </c>
      <c r="D1089" t="str">
        <f>IFERROR(__xludf.DUMMYFUNCTION("""COMPUTED_VALUE"""),"Luca Bertinetto, João F. Henriques, Philip H.S. Torr, Andrea Vedaldi")</f>
        <v>Luca Bertinetto, João F. Henriques, Philip H.S. Torr, Andrea Vedaldi</v>
      </c>
      <c r="E1089" t="str">
        <f>IFERROR(__xludf.DUMMYFUNCTION("""COMPUTED_VALUE"""),"ICLR 2019")</f>
        <v>ICLR 2019</v>
      </c>
      <c r="F1089">
        <f>IFERROR(__xludf.DUMMYFUNCTION("""COMPUTED_VALUE"""),2018.0)</f>
        <v>2018</v>
      </c>
      <c r="H1089" s="3" t="str">
        <f>IFERROR(__xludf.DUMMYFUNCTION("""COMPUTED_VALUE"""),"AN #8")</f>
        <v>AN #8</v>
      </c>
    </row>
    <row r="1090">
      <c r="A1090" t="str">
        <f>IFERROR(__xludf.DUMMYFUNCTION("""COMPUTED_VALUE"""),"Meta learning")</f>
        <v>Meta learning</v>
      </c>
      <c r="B1090" t="str">
        <f>IFERROR(__xludf.DUMMYFUNCTION("""COMPUTED_VALUE"""),"")</f>
        <v/>
      </c>
      <c r="C1090" s="3" t="str">
        <f>IFERROR(__xludf.DUMMYFUNCTION("""COMPUTED_VALUE"""),"Meta-learners' learning dynamics are unlike learners'")</f>
        <v>Meta-learners' learning dynamics are unlike learners'</v>
      </c>
      <c r="D1090" t="str">
        <f>IFERROR(__xludf.DUMMYFUNCTION("""COMPUTED_VALUE"""),"Neil C. Rabinowitz")</f>
        <v>Neil C. Rabinowitz</v>
      </c>
      <c r="E1090" t="str">
        <f>IFERROR(__xludf.DUMMYFUNCTION("""COMPUTED_VALUE"""),"arXiv")</f>
        <v>arXiv</v>
      </c>
      <c r="F1090">
        <f>IFERROR(__xludf.DUMMYFUNCTION("""COMPUTED_VALUE"""),2019.0)</f>
        <v>2019</v>
      </c>
      <c r="H1090" s="3" t="str">
        <f>IFERROR(__xludf.DUMMYFUNCTION("""COMPUTED_VALUE"""),"AN #56")</f>
        <v>AN #56</v>
      </c>
      <c r="I1090" t="str">
        <f>IFERROR(__xludf.DUMMYFUNCTION("""COMPUTED_VALUE"""),"Cody")</f>
        <v>Cody</v>
      </c>
      <c r="J1090" t="str">
        <f>IFERROR(__xludf.DUMMYFUNCTION("""COMPUTED_VALUE"""),"We've seen evidence in prior work that meta learning models can be trained to more quickly learn tasks drawn from some task distribution, by training a model in the inner loop and optimizing against generalization error. This paper suggests that meta lear"&amp;"ning doesn't just learn new tasks faster, but has a different ordered pattern of how it masters the task. Where a ""normal"" learner first learns the low-frequency modes (think SGD modes, or Fourier modes) of a simple regularization task, and later the hi"&amp;"gh-frequency ones, the meta learner makes progress on all the modes at the same relative rate. This meta learning behavior seems to theoretically match the way a learner would update on new information if it had the ""correct"" prior (i.e. the one actuall"&amp;"y used to generate the simulated tasks). ")</f>
        <v>We've seen evidence in prior work that meta learning models can be trained to more quickly learn tasks drawn from some task distribution, by training a model in the inner loop and optimizing against generalization error. This paper suggests that meta learning doesn't just learn new tasks faster, but has a different ordered pattern of how it masters the task. Where a "normal" learner first learns the low-frequency modes (think SGD modes, or Fourier modes) of a simple regularization task, and later the high-frequency ones, the meta learner makes progress on all the modes at the same relative rate. This meta learning behavior seems to theoretically match the way a learner would update on new information if it had the "correct" prior (i.e. the one actually used to generate the simulated tasks). </v>
      </c>
      <c r="K1090" t="str">
        <f>IFERROR(__xludf.DUMMYFUNCTION("""COMPUTED_VALUE"""),"Overall I like this paper's simplicity and focus on understanding how meta learning systems work. I did find the reinforcement learning experiment a bit more difficult to parse and connect to the linear and nonlinear regression experiments, and, of course"&amp;", there's always the question with work on simpler problems like this of whether the intuition extends to more complex ones ")</f>
        <v>Overall I like this paper's simplicity and focus on understanding how meta learning systems work. I did find the reinforcement learning experiment a bit more difficult to parse and connect to the linear and nonlinear regression experiments, and, of course, there's always the question with work on simpler problems like this of whether the intuition extends to more complex ones </v>
      </c>
      <c r="M1090" s="3" t="str">
        <f>IFERROR(__xludf.DUMMYFUNCTION("""COMPUTED_VALUE"""),"Cody's longer summary")</f>
        <v>Cody's longer summary</v>
      </c>
    </row>
    <row r="1091">
      <c r="A1091" t="str">
        <f>IFERROR(__xludf.DUMMYFUNCTION("""COMPUTED_VALUE"""),"Meta learning")</f>
        <v>Meta learning</v>
      </c>
      <c r="B1091" t="str">
        <f>IFERROR(__xludf.DUMMYFUNCTION("""COMPUTED_VALUE"""),"")</f>
        <v/>
      </c>
      <c r="C1091" s="3" t="str">
        <f>IFERROR(__xludf.DUMMYFUNCTION("""COMPUTED_VALUE"""),"Meta-Learning: A Survey")</f>
        <v>Meta-Learning: A Survey</v>
      </c>
      <c r="D1091" t="str">
        <f>IFERROR(__xludf.DUMMYFUNCTION("""COMPUTED_VALUE"""),"Joaquin Vanschoren")</f>
        <v>Joaquin Vanschoren</v>
      </c>
      <c r="E1091" t="str">
        <f>IFERROR(__xludf.DUMMYFUNCTION("""COMPUTED_VALUE"""),"AAMAS 2019")</f>
        <v>AAMAS 2019</v>
      </c>
      <c r="F1091">
        <f>IFERROR(__xludf.DUMMYFUNCTION("""COMPUTED_VALUE"""),2018.0)</f>
        <v>2018</v>
      </c>
      <c r="H1091" s="3" t="str">
        <f>IFERROR(__xludf.DUMMYFUNCTION("""COMPUTED_VALUE"""),"AN #29")</f>
        <v>AN #29</v>
      </c>
      <c r="I1091" t="str">
        <f>IFERROR(__xludf.DUMMYFUNCTION("""COMPUTED_VALUE"""),"Richard")</f>
        <v>Richard</v>
      </c>
      <c r="J1091" t="str">
        <f>IFERROR(__xludf.DUMMYFUNCTION("""COMPUTED_VALUE"""),"This taxonomy of meta-learning classifies approaches by the main type of meta-data they learn from:
1. Evaluations of other models on related tasks
2. Characterisations of the tasks at hand (and a similarity metric between them)
3. The structures and para"&amp;"meters of related models
Vanschoren explores a number of different approaches in each category.")</f>
        <v>This taxonomy of meta-learning classifies approaches by the main type of meta-data they learn from:
1. Evaluations of other models on related tasks
2. Characterisations of the tasks at hand (and a similarity metric between them)
3. The structures and parameters of related models
Vanschoren explores a number of different approaches in each category.</v>
      </c>
    </row>
    <row r="1092">
      <c r="A1092" t="str">
        <f>IFERROR(__xludf.DUMMYFUNCTION("""COMPUTED_VALUE"""),"Meta learning")</f>
        <v>Meta learning</v>
      </c>
      <c r="B1092" t="str">
        <f>IFERROR(__xludf.DUMMYFUNCTION("""COMPUTED_VALUE"""),"")</f>
        <v/>
      </c>
      <c r="C1092" s="3" t="str">
        <f>IFERROR(__xludf.DUMMYFUNCTION("""COMPUTED_VALUE"""),"CAML: Fast Context Adaptation via Meta-Learning")</f>
        <v>CAML: Fast Context Adaptation via Meta-Learning</v>
      </c>
      <c r="D1092" t="str">
        <f>IFERROR(__xludf.DUMMYFUNCTION("""COMPUTED_VALUE"""),"Luisa M Zintgraf, Kyriacos Shiarlis, Vitaly Kurin, Katja Hofmann, Shimon Whiteson")</f>
        <v>Luisa M Zintgraf, Kyriacos Shiarlis, Vitaly Kurin, Katja Hofmann, Shimon Whiteson</v>
      </c>
      <c r="E1092" t="str">
        <f>IFERROR(__xludf.DUMMYFUNCTION("""COMPUTED_VALUE"""),"arXiv")</f>
        <v>arXiv</v>
      </c>
      <c r="F1092">
        <f>IFERROR(__xludf.DUMMYFUNCTION("""COMPUTED_VALUE"""),2018.0)</f>
        <v>2018</v>
      </c>
      <c r="H1092" s="3" t="str">
        <f>IFERROR(__xludf.DUMMYFUNCTION("""COMPUTED_VALUE"""),"AN #28")</f>
        <v>AN #28</v>
      </c>
    </row>
    <row r="1093">
      <c r="A1093" t="str">
        <f>IFERROR(__xludf.DUMMYFUNCTION("""COMPUTED_VALUE"""),"Meta learning")</f>
        <v>Meta learning</v>
      </c>
      <c r="B1093" t="str">
        <f>IFERROR(__xludf.DUMMYFUNCTION("""COMPUTED_VALUE"""),"")</f>
        <v/>
      </c>
      <c r="C1093" s="3" t="str">
        <f>IFERROR(__xludf.DUMMYFUNCTION("""COMPUTED_VALUE"""),"Meta-learning of Sequential Strategies")</f>
        <v>Meta-learning of Sequential Strategies</v>
      </c>
      <c r="D1093" t="str">
        <f>IFERROR(__xludf.DUMMYFUNCTION("""COMPUTED_VALUE"""),"Pedro A. Ortega, Jane X. Wang, Mark Rowland, Tim Genewein, Zeb Kurth-Nelson, Razvan Pascanu, Nicolas Heess, Joel Veness, Alex Pritzel, Pablo Sprechmann, Siddhant M. Jayakumar, Tom McGrath, Kevin Miller, Mohammad Azar, Ian Osband, Neil Rabinowitz, András G"&amp;"yörgy, Silvia Chiappa, Simon Osindero, Yee Whye Teh, Hado van Hasselt, Nando de Freitas, Matthew Botvinick, Shane Legg")</f>
        <v>Pedro A. Ortega, Jane X. Wang, Mark Rowland, Tim Genewein, Zeb Kurth-Nelson, Razvan Pascanu, Nicolas Heess, Joel Veness, Alex Pritzel, Pablo Sprechmann, Siddhant M. Jayakumar, Tom McGrath, Kevin Miller, Mohammad Azar, Ian Osband, Neil Rabinowitz, András György, Silvia Chiappa, Simon Osindero, Yee Whye Teh, Hado van Hasselt, Nando de Freitas, Matthew Botvinick, Shane Legg</v>
      </c>
      <c r="E1093" t="str">
        <f>IFERROR(__xludf.DUMMYFUNCTION("""COMPUTED_VALUE"""),"arXiv")</f>
        <v>arXiv</v>
      </c>
      <c r="F1093">
        <f>IFERROR(__xludf.DUMMYFUNCTION("""COMPUTED_VALUE"""),2019.0)</f>
        <v>2019</v>
      </c>
      <c r="H1093" s="3" t="str">
        <f>IFERROR(__xludf.DUMMYFUNCTION("""COMPUTED_VALUE"""),"AN #139")</f>
        <v>AN #139</v>
      </c>
      <c r="I1093" t="str">
        <f>IFERROR(__xludf.DUMMYFUNCTION("""COMPUTED_VALUE"""),"Rohin")</f>
        <v>Rohin</v>
      </c>
      <c r="J1093" t="str">
        <f>IFERROR(__xludf.DUMMYFUNCTION("""COMPUTED_VALUE"""),"This paper explains theoretically how to structure meta-learning such that it is incentivized to learn optimal solutions to sequence-prediction and decision-making tasks. The core idea is to define a distribution over tasks, and then sample a new task at "&amp;"the beginning of each episode that the agent must then handle. Importantly, the agent is _not told_ what the task is, and so must infer it from observations. As long as you structure the loss function appropriately, the optimal policy for the agent is to "&amp;"maintain a prior over the task that is updated via Bayes Rule after each observation.
Of course, since the agent is actually a neural net with memory, it does not explicitly perform Bayes Rule, but rather learns a set of weights that instantiate an updat"&amp;"e rule that effectively approximates Bayes Rule for the given task distribution. Since this update rule only needs to work on the specific task distribution being meta-trained on, it can be made significantly more efficient than a full-blown Bayes Rule, a"&amp;"nd thus can be learned by a relatively small neural net. We can think of this as the network implementing a full-blown _reasoning process_.
In the case of sequence prediction, we optimize the log probability assigned to the true outcomes. As a simple exa"&amp;"mple, the agent might observe a sequence of coin flips from a single coin, where the bias of that coin is chosen at the beginning of each episode (and is not given to the agent). If the bias is drawn from a Normal distribution centered at 0.5, the agent w"&amp;"ill start out predicting 50-50 on Heads/Tails; if it then sees a Heads, it might update slightly to something like 55-45, and vice versa for Tails. In contrast, if the bias is drawn from a distribution where most of the mass is near 0 or 1, and very littl"&amp;"e mass is at 0.5, the agent will still start out predicting 50-50, but after seeing a Heads it will then update strongly to e.g. 90-10.
In the case of sequential decision-making, we are given a reward function; we simply optimize the expected reward usin"&amp;"g some traditional deep RL algorithm (the paper considers Q-learning).")</f>
        <v>This paper explains theoretically how to structure meta-learning such that it is incentivized to learn optimal solutions to sequence-prediction and decision-making tasks. The core idea is to define a distribution over tasks, and then sample a new task at the beginning of each episode that the agent must then handle. Importantly, the agent is _not told_ what the task is, and so must infer it from observations. As long as you structure the loss function appropriately, the optimal policy for the agent is to maintain a prior over the task that is updated via Bayes Rule after each observation.
Of course, since the agent is actually a neural net with memory, it does not explicitly perform Bayes Rule, but rather learns a set of weights that instantiate an update rule that effectively approximates Bayes Rule for the given task distribution. Since this update rule only needs to work on the specific task distribution being meta-trained on, it can be made significantly more efficient than a full-blown Bayes Rule, and thus can be learned by a relatively small neural net. We can think of this as the network implementing a full-blown _reasoning process_.
In the case of sequence prediction, we optimize the log probability assigned to the true outcomes. As a simple example, the agent might observe a sequence of coin flips from a single coin, where the bias of that coin is chosen at the beginning of each episode (and is not given to the agent). If the bias is drawn from a Normal distribution centered at 0.5, the agent will start out predicting 50-50 on Heads/Tails; if it then sees a Heads, it might update slightly to something like 55-45, and vice versa for Tails. In contrast, if the bias is drawn from a distribution where most of the mass is near 0 or 1, and very little mass is at 0.5, the agent will still start out predicting 50-50, but after seeing a Heads it will then update strongly to e.g. 90-10.
In the case of sequential decision-making, we are given a reward function; we simply optimize the expected reward using some traditional deep RL algorithm (the paper considers Q-learning).</v>
      </c>
    </row>
    <row r="1094">
      <c r="A1094" t="str">
        <f>IFERROR(__xludf.DUMMYFUNCTION("""COMPUTED_VALUE"""),"Meta learning")</f>
        <v>Meta learning</v>
      </c>
      <c r="B1094" t="str">
        <f>IFERROR(__xludf.DUMMYFUNCTION("""COMPUTED_VALUE"""),"")</f>
        <v/>
      </c>
      <c r="C1094" s="3" t="str">
        <f>IFERROR(__xludf.DUMMYFUNCTION("""COMPUTED_VALUE"""),"Understanding meta-trained algorithms through a Bayesian lens")</f>
        <v>Understanding meta-trained algorithms through a Bayesian lens</v>
      </c>
      <c r="D1094" t="str">
        <f>IFERROR(__xludf.DUMMYFUNCTION("""COMPUTED_VALUE"""),"Vladimir Mikulik*, Grégoire Delétang*, Tom McGrath*, Tim Genewein*, Miljan Martic, Shane Legg, Pedro A. Ortega")</f>
        <v>Vladimir Mikulik*, Grégoire Delétang*, Tom McGrath*, Tim Genewein*, Miljan Martic, Shane Legg, Pedro A. Ortega</v>
      </c>
      <c r="E1094" t="str">
        <f>IFERROR(__xludf.DUMMYFUNCTION("""COMPUTED_VALUE"""),"NeurIPS 2020")</f>
        <v>NeurIPS 2020</v>
      </c>
      <c r="F1094">
        <f>IFERROR(__xludf.DUMMYFUNCTION("""COMPUTED_VALUE"""),2020.0)</f>
        <v>2020</v>
      </c>
      <c r="H1094" s="3" t="str">
        <f>IFERROR(__xludf.DUMMYFUNCTION("""COMPUTED_VALUE"""),"AN #139")</f>
        <v>AN #139</v>
      </c>
      <c r="I1094" t="str">
        <f>IFERROR(__xludf.DUMMYFUNCTION("""COMPUTED_VALUE"""),"Rohin")</f>
        <v>Rohin</v>
      </c>
      <c r="J1094" t="str">
        <f>IFERROR(__xludf.DUMMYFUNCTION("""COMPUTED_VALUE"""),"The previous paper suggested that meta-learning can implement optimal reasoning processes in theory. Does it work in practice? This paper sets out to answer this question by studying some simple prediction and decision-making tasks.
For prediction, we co"&amp;"nsider agents that are trained on a family of distributions (e.g. Bernoulli distributions whose parameter is chosen from a Beta distribution) to predict the probability distribution after seeing a sample generated from it. For decision-making, we consider"&amp;" two-armed bandit problems (where again there is a distribution over the parameters of the problem). These problems were chosen because their optimal solutions can be calculated analytically.
The authors train neural nets with memory to perform well on t"&amp;"hese tasks (as discussed in the previous paper) and find that they do indeed behave optimally, achieving effectively the best possible performance. They then try to investigate whether they are implementing the same reasoning algorithm as the analytic Bay"&amp;"es-optimal solution. To do this, they see whether they can train a second neural net to map the hidden states (memory) of the agent to the states in the Bayes-optimal solution, and vice versa. (One way to think of this: can you simulate the Bayes-optimal "&amp;"algorithm using the observation encodings from the RNN, and vice versa?)
They find that they _can_ learn a good mapping from agent states to Bayes-optimal states, but _cannot_ learn a good mapping from Bayes-optimal states to agent states. It seems likel"&amp;"y that the agent has states that encode more information than is necessary, and so the minimal information stored by the Bayes-optimal algorithm is insufficient to reconstruct the agent states.")</f>
        <v>The previous paper suggested that meta-learning can implement optimal reasoning processes in theory. Does it work in practice? This paper sets out to answer this question by studying some simple prediction and decision-making tasks.
For prediction, we consider agents that are trained on a family of distributions (e.g. Bernoulli distributions whose parameter is chosen from a Beta distribution) to predict the probability distribution after seeing a sample generated from it. For decision-making, we consider two-armed bandit problems (where again there is a distribution over the parameters of the problem). These problems were chosen because their optimal solutions can be calculated analytically.
The authors train neural nets with memory to perform well on these tasks (as discussed in the previous paper) and find that they do indeed behave optimally, achieving effectively the best possible performance. They then try to investigate whether they are implementing the same reasoning algorithm as the analytic Bayes-optimal solution. To do this, they see whether they can train a second neural net to map the hidden states (memory) of the agent to the states in the Bayes-optimal solution, and vice versa. (One way to think of this: can you simulate the Bayes-optimal algorithm using the observation encodings from the RNN, and vice versa?)
They find that they _can_ learn a good mapping from agent states to Bayes-optimal states, but _cannot_ learn a good mapping from Bayes-optimal states to agent states. It seems likely that the agent has states that encode more information than is necessary, and so the minimal information stored by the Bayes-optimal algorithm is insufficient to reconstruct the agent states.</v>
      </c>
      <c r="K1094" t="str">
        <f>IFERROR(__xludf.DUMMYFUNCTION("""COMPUTED_VALUE"""),"I suspect that in these simple tasks the posterior distribution over the parameters θ maintained by the Bayes-optimal algorithm is a _minimal_ sufficient statistic, that is, _any_ optimal policy must have states that are sufficient to reconstruct the info"&amp;"rmation stored by the Bayes-optimal algorithm. So it makes sense that, for an agent with optimal behavior, the agent’s states could be used to simulate the Bayes-optimal states. I don’t think this tells us that much about the algorithm the network is impl"&amp;"ementing.
Note that I am quite happy to see work investigating the sorts of reasoning processes that neural networks have learned. While I don’t think the specific results in this paper have told us that much, I’m excited to see this line of work scaled "&amp;"up to more complex tasks, where agents may not reach optimal behavior, or might do so by learning heuristics that _don’t_ encode all of the information that the Bayes-optimal algorithm would use.")</f>
        <v>I suspect that in these simple tasks the posterior distribution over the parameters θ maintained by the Bayes-optimal algorithm is a _minimal_ sufficient statistic, that is, _any_ optimal policy must have states that are sufficient to reconstruct the information stored by the Bayes-optimal algorithm. So it makes sense that, for an agent with optimal behavior, the agent’s states could be used to simulate the Bayes-optimal states. I don’t think this tells us that much about the algorithm the network is implementing.
Note that I am quite happy to see work investigating the sorts of reasoning processes that neural networks have learned. While I don’t think the specific results in this paper have told us that much, I’m excited to see this line of work scaled up to more complex tasks, where agents may not reach optimal behavior, or might do so by learning heuristics that _don’t_ encode all of the information that the Bayes-optimal algorithm would use.</v>
      </c>
      <c r="M1094" s="3" t="str">
        <f>IFERROR(__xludf.DUMMYFUNCTION("""COMPUTED_VALUE"""),"Paper: Meta-trained agents implement Bayes-optimal agents")</f>
        <v>Paper: Meta-trained agents implement Bayes-optimal agents</v>
      </c>
    </row>
    <row r="1095">
      <c r="A1095" t="str">
        <f>IFERROR(__xludf.DUMMYFUNCTION("""COMPUTED_VALUE"""),"Meta learning")</f>
        <v>Meta learning</v>
      </c>
      <c r="B1095" t="str">
        <f>IFERROR(__xludf.DUMMYFUNCTION("""COMPUTED_VALUE"""),"")</f>
        <v/>
      </c>
      <c r="C1095" s="3" t="str">
        <f>IFERROR(__xludf.DUMMYFUNCTION("""COMPUTED_VALUE"""),"Unsupervised Meta-Learning for Reinforcement Learning")</f>
        <v>Unsupervised Meta-Learning for Reinforcement Learning</v>
      </c>
      <c r="D1095" t="str">
        <f>IFERROR(__xludf.DUMMYFUNCTION("""COMPUTED_VALUE"""),"Abhishek Gupta, Benjamin Eysenbach, Chelsea Finn, Sergey Levine")</f>
        <v>Abhishek Gupta, Benjamin Eysenbach, Chelsea Finn, Sergey Levine</v>
      </c>
      <c r="E1095" t="str">
        <f>IFERROR(__xludf.DUMMYFUNCTION("""COMPUTED_VALUE"""),"NIPS 2018")</f>
        <v>NIPS 2018</v>
      </c>
      <c r="F1095">
        <f>IFERROR(__xludf.DUMMYFUNCTION("""COMPUTED_VALUE"""),2018.0)</f>
        <v>2018</v>
      </c>
      <c r="H1095" s="3" t="str">
        <f>IFERROR(__xludf.DUMMYFUNCTION("""COMPUTED_VALUE"""),"AN #11")</f>
        <v>AN #11</v>
      </c>
    </row>
    <row r="1096">
      <c r="A1096" t="str">
        <f>IFERROR(__xludf.DUMMYFUNCTION("""COMPUTED_VALUE"""),"Meta learning")</f>
        <v>Meta learning</v>
      </c>
      <c r="B1096" t="str">
        <f>IFERROR(__xludf.DUMMYFUNCTION("""COMPUTED_VALUE"""),"")</f>
        <v/>
      </c>
      <c r="C1096" s="3" t="str">
        <f>IFERROR(__xludf.DUMMYFUNCTION("""COMPUTED_VALUE"""),"Gradient Surgery for Multi-Task Learning")</f>
        <v>Gradient Surgery for Multi-Task Learning</v>
      </c>
      <c r="D1096" t="str">
        <f>IFERROR(__xludf.DUMMYFUNCTION("""COMPUTED_VALUE"""),"Tianhe Yu, Saurabh Kumar, Abhishek Gupta, Sergey Levine, Karol Hausman, Chelsea Finn")</f>
        <v>Tianhe Yu, Saurabh Kumar, Abhishek Gupta, Sergey Levine, Karol Hausman, Chelsea Finn</v>
      </c>
      <c r="E1096" t="str">
        <f>IFERROR(__xludf.DUMMYFUNCTION("""COMPUTED_VALUE"""),"arXiv")</f>
        <v>arXiv</v>
      </c>
      <c r="F1096">
        <f>IFERROR(__xludf.DUMMYFUNCTION("""COMPUTED_VALUE"""),2020.0)</f>
        <v>2020</v>
      </c>
      <c r="H1096" s="3" t="str">
        <f>IFERROR(__xludf.DUMMYFUNCTION("""COMPUTED_VALUE"""),"AN #100")</f>
        <v>AN #100</v>
      </c>
      <c r="I1096" t="str">
        <f>IFERROR(__xludf.DUMMYFUNCTION("""COMPUTED_VALUE"""),"Nicholas")</f>
        <v>Nicholas</v>
      </c>
      <c r="J1096" t="str">
        <f>IFERROR(__xludf.DUMMYFUNCTION("""COMPUTED_VALUE"""),"In multi-task learning, an algorithm is given data from multiple tasks and tries to learn them all simultaneously, ideally sharing information across them. This paper identifies a *tragic triad* of conditions that can prevent gradient descent from finding"&amp;" a good minimum when all three are present:
**Conflicting gradients** occur when the gradient from one task points in a different direction from another. 
**Dominating gradients** occur when the gradient from one task is much larger in magnitude than ano"&amp;"ther. 
**High curvature** is when the multi-task curvature is high in the direction of the gradient. 
In this situation, the linear approximation of the gradient to the high curvature area leads to an overestimation of the increase in performance on the "&amp;"dominant gradient’s task and an underestimation of the performance degradation from the conflicting gradient’s task. I find picturing the parabola y=x^2 and seeing that a gradient descent step overestimates progress while a gradient ascent step underestim"&amp;"ates to be helpful in understanding this. 
To solve this, they propose *PCGrad*, which projects all gradients into the normal plane of the others in a pairwise fashion. Their theoretical analysis establishes convergence properties of *PCGrad*, and they e"&amp;"mpirically show it can be combined with other multi-task algorithms to improve performance and that it makes optimization easier for multi-task supervised learning and RL. They also show plots confirming that the necessary conditions for their theorems ap"&amp;"pear in these contexts. ")</f>
        <v>In multi-task learning, an algorithm is given data from multiple tasks and tries to learn them all simultaneously, ideally sharing information across them. This paper identifies a *tragic triad* of conditions that can prevent gradient descent from finding a good minimum when all three are present:
**Conflicting gradients** occur when the gradient from one task points in a different direction from another. 
**Dominating gradients** occur when the gradient from one task is much larger in magnitude than another. 
**High curvature** is when the multi-task curvature is high in the direction of the gradient. 
In this situation, the linear approximation of the gradient to the high curvature area leads to an overestimation of the increase in performance on the dominant gradient’s task and an underestimation of the performance degradation from the conflicting gradient’s task. I find picturing the parabola y=x^2 and seeing that a gradient descent step overestimates progress while a gradient ascent step underestimates to be helpful in understanding this. 
To solve this, they propose *PCGrad*, which projects all gradients into the normal plane of the others in a pairwise fashion. Their theoretical analysis establishes convergence properties of *PCGrad*, and they empirically show it can be combined with other multi-task algorithms to improve performance and that it makes optimization easier for multi-task supervised learning and RL. They also show plots confirming that the necessary conditions for their theorems appear in these contexts. </v>
      </c>
      <c r="K1096" t="str">
        <f>IFERROR(__xludf.DUMMYFUNCTION("""COMPUTED_VALUE"""),"I like how this paper analyzes the loss landscape of a particular problem, multi-task learning, and uses that knowledge to derive a new algorithm. One thing I always find tricky in ML papers is that it is hard to establish that the theory of why an algori"&amp;"thm works (typically shown on toy models) is also the reason it improves performance (typically shown using complex neural networks). I appreciate that this paper checks for the conditions of their theorem in the multi-task RL models that they train. That"&amp;" said, I think that in order to confirm that the tragic triad they describe is the mechanism by which *PCGrad* improves performance, they would require some way to toggle each element of the triad while keeping everything else fixed. ")</f>
        <v>I like how this paper analyzes the loss landscape of a particular problem, multi-task learning, and uses that knowledge to derive a new algorithm. One thing I always find tricky in ML papers is that it is hard to establish that the theory of why an algorithm works (typically shown on toy models) is also the reason it improves performance (typically shown using complex neural networks). I appreciate that this paper checks for the conditions of their theorem in the multi-task RL models that they train. That said, I think that in order to confirm that the tragic triad they describe is the mechanism by which *PCGrad* improves performance, they would require some way to toggle each element of the triad while keeping everything else fixed. </v>
      </c>
    </row>
    <row r="1097">
      <c r="A1097" t="str">
        <f>IFERROR(__xludf.DUMMYFUNCTION("""COMPUTED_VALUE"""),"Meta learning")</f>
        <v>Meta learning</v>
      </c>
      <c r="B1097" t="str">
        <f>IFERROR(__xludf.DUMMYFUNCTION("""COMPUTED_VALUE"""),"")</f>
        <v/>
      </c>
      <c r="C1097" s="3" t="str">
        <f>IFERROR(__xludf.DUMMYFUNCTION("""COMPUTED_VALUE"""),"Alpha MAML: Adaptive Model-Agnostic Meta-Learning")</f>
        <v>Alpha MAML: Adaptive Model-Agnostic Meta-Learning</v>
      </c>
      <c r="D1097" t="str">
        <f>IFERROR(__xludf.DUMMYFUNCTION("""COMPUTED_VALUE"""),"Harkirat Singh Behl, Atılım Güneş Baydin, Philip H. S. Torr")</f>
        <v>Harkirat Singh Behl, Atılım Güneş Baydin, Philip H. S. Torr</v>
      </c>
      <c r="E1097" t="str">
        <f>IFERROR(__xludf.DUMMYFUNCTION("""COMPUTED_VALUE"""),"6th ICML Workshop on Automated Machine Learning (2019)")</f>
        <v>6th ICML Workshop on Automated Machine Learning (2019)</v>
      </c>
      <c r="F1097">
        <f>IFERROR(__xludf.DUMMYFUNCTION("""COMPUTED_VALUE"""),2019.0)</f>
        <v>2019</v>
      </c>
      <c r="H1097" s="3" t="str">
        <f>IFERROR(__xludf.DUMMYFUNCTION("""COMPUTED_VALUE"""),"AN #58")</f>
        <v>AN #58</v>
      </c>
    </row>
    <row r="1098">
      <c r="A1098" t="str">
        <f>IFERROR(__xludf.DUMMYFUNCTION("""COMPUTED_VALUE"""),"Meta learning")</f>
        <v>Meta learning</v>
      </c>
      <c r="B1098" t="str">
        <f>IFERROR(__xludf.DUMMYFUNCTION("""COMPUTED_VALUE"""),"")</f>
        <v/>
      </c>
      <c r="C1098" s="3" t="str">
        <f>IFERROR(__xludf.DUMMYFUNCTION("""COMPUTED_VALUE"""),"Meta-Learning with Hessian Free Approach in Deep Neural Nets Training")</f>
        <v>Meta-Learning with Hessian Free Approach in Deep Neural Nets Training</v>
      </c>
      <c r="D1098" t="str">
        <f>IFERROR(__xludf.DUMMYFUNCTION("""COMPUTED_VALUE"""),"Boyu Chen, Wenlian Lu, Ernest Fokoue")</f>
        <v>Boyu Chen, Wenlian Lu, Ernest Fokoue</v>
      </c>
      <c r="E1098" t="str">
        <f>IFERROR(__xludf.DUMMYFUNCTION("""COMPUTED_VALUE"""),"arXiv")</f>
        <v>arXiv</v>
      </c>
      <c r="F1098">
        <f>IFERROR(__xludf.DUMMYFUNCTION("""COMPUTED_VALUE"""),2018.0)</f>
        <v>2018</v>
      </c>
      <c r="H1098" s="3" t="str">
        <f>IFERROR(__xludf.DUMMYFUNCTION("""COMPUTED_VALUE"""),"AN #9")</f>
        <v>AN #9</v>
      </c>
    </row>
    <row r="1099">
      <c r="A1099" t="str">
        <f>IFERROR(__xludf.DUMMYFUNCTION("""COMPUTED_VALUE"""),"Meta learning")</f>
        <v>Meta learning</v>
      </c>
      <c r="B1099" t="str">
        <f>IFERROR(__xludf.DUMMYFUNCTION("""COMPUTED_VALUE"""),"")</f>
        <v/>
      </c>
      <c r="C1099" s="3" t="str">
        <f>IFERROR(__xludf.DUMMYFUNCTION("""COMPUTED_VALUE"""),"Meta-Learning with Latent Embedding Optimization")</f>
        <v>Meta-Learning with Latent Embedding Optimization</v>
      </c>
      <c r="D1099" t="str">
        <f>IFERROR(__xludf.DUMMYFUNCTION("""COMPUTED_VALUE"""),"Andrei A. Rusu, Dushyant Rao, Jakub Sygnowski, Oriol Vinyals, Razvan Pascanu, Simon Osindero, Raia Hadsell")</f>
        <v>Andrei A. Rusu, Dushyant Rao, Jakub Sygnowski, Oriol Vinyals, Razvan Pascanu, Simon Osindero, Raia Hadsell</v>
      </c>
      <c r="E1099" t="str">
        <f>IFERROR(__xludf.DUMMYFUNCTION("""COMPUTED_VALUE"""),"arXiv")</f>
        <v>arXiv</v>
      </c>
      <c r="F1099">
        <f>IFERROR(__xludf.DUMMYFUNCTION("""COMPUTED_VALUE"""),2018.0)</f>
        <v>2018</v>
      </c>
      <c r="H1099" s="3" t="str">
        <f>IFERROR(__xludf.DUMMYFUNCTION("""COMPUTED_VALUE"""),"AN #17")</f>
        <v>AN #17</v>
      </c>
    </row>
    <row r="1100">
      <c r="A1100" t="str">
        <f>IFERROR(__xludf.DUMMYFUNCTION("""COMPUTED_VALUE"""),"Meta learning")</f>
        <v>Meta learning</v>
      </c>
      <c r="B1100" t="str">
        <f>IFERROR(__xludf.DUMMYFUNCTION("""COMPUTED_VALUE"""),"")</f>
        <v/>
      </c>
      <c r="C1100" s="3" t="str">
        <f>IFERROR(__xludf.DUMMYFUNCTION("""COMPUTED_VALUE"""),"Bayesian Model-Agnostic Meta-Learning")</f>
        <v>Bayesian Model-Agnostic Meta-Learning</v>
      </c>
      <c r="D1100" t="str">
        <f>IFERROR(__xludf.DUMMYFUNCTION("""COMPUTED_VALUE"""),"Taesup Kim, Jaesik Yoon, Ousmane Dia, Sungwoong Kim, Yoshua Bengio, Sungjin Ahn")</f>
        <v>Taesup Kim, Jaesik Yoon, Ousmane Dia, Sungwoong Kim, Yoshua Bengio, Sungjin Ahn</v>
      </c>
      <c r="E1100" t="str">
        <f>IFERROR(__xludf.DUMMYFUNCTION("""COMPUTED_VALUE"""),"NIPS 2018")</f>
        <v>NIPS 2018</v>
      </c>
      <c r="F1100">
        <f>IFERROR(__xludf.DUMMYFUNCTION("""COMPUTED_VALUE"""),2018.0)</f>
        <v>2018</v>
      </c>
      <c r="H1100" s="3" t="str">
        <f>IFERROR(__xludf.DUMMYFUNCTION("""COMPUTED_VALUE"""),"AN #11")</f>
        <v>AN #11</v>
      </c>
    </row>
    <row r="1101">
      <c r="A1101" t="str">
        <f>IFERROR(__xludf.DUMMYFUNCTION("""COMPUTED_VALUE"""),"Miscellaneous (AI)")</f>
        <v>Miscellaneous (AI)</v>
      </c>
      <c r="B1101" t="str">
        <f>IFERROR(__xludf.DUMMYFUNCTION("""COMPUTED_VALUE"""),"Highlight")</f>
        <v>Highlight</v>
      </c>
      <c r="C1101" s="3" t="str">
        <f>IFERROR(__xludf.DUMMYFUNCTION("""COMPUTED_VALUE"""),"AI-GAs: AI-generating algorithms, an alternate paradigm for producing general artificial intelligence")</f>
        <v>AI-GAs: AI-generating algorithms, an alternate paradigm for producing general artificial intelligence</v>
      </c>
      <c r="D1101" t="str">
        <f>IFERROR(__xludf.DUMMYFUNCTION("""COMPUTED_VALUE"""),"Jeff Clune")</f>
        <v>Jeff Clune</v>
      </c>
      <c r="E1101" t="str">
        <f>IFERROR(__xludf.DUMMYFUNCTION("""COMPUTED_VALUE"""),"arXiv")</f>
        <v>arXiv</v>
      </c>
      <c r="F1101">
        <f>IFERROR(__xludf.DUMMYFUNCTION("""COMPUTED_VALUE"""),2019.0)</f>
        <v>2019</v>
      </c>
      <c r="H1101" s="3" t="str">
        <f>IFERROR(__xludf.DUMMYFUNCTION("""COMPUTED_VALUE"""),"AN #63")</f>
        <v>AN #63</v>
      </c>
      <c r="I1101" t="str">
        <f>IFERROR(__xludf.DUMMYFUNCTION("""COMPUTED_VALUE"""),"Rohin")</f>
        <v>Rohin</v>
      </c>
      <c r="J1101" t="str">
        <f>IFERROR(__xludf.DUMMYFUNCTION("""COMPUTED_VALUE"""),"Historically, the &lt;@bitter lesson@&gt;(@The Bitter Lesson@) has been that approaches that leverage increasing computation for learning outperform ones that build in a lot of knowledge. The current ethos towards AGI seems to be that we will come up with a bun"&amp;"ch of building blocks (e.g. convolutions, transformers, trust regions, GANs, active learning, curricula) that we will somehow manually combine into one complex powerful AI system. Rather than require this manual approach, we could instead apply learning o"&amp;"nce more, giving the paradigm of AI-generating algorithms, or AI-GA.
AI-GA has three pillars. The first is to **learn architectures**: this is analogous to a superpowered neural architecture search that can discover convolutions, recurrence and attention"&amp;" without any hardcoding. The second is to **learn the learning algorithms**, i.e. meta-learning. The third and most underexplored pillar is to learn to **generate complex and diverse environments** within which to train our agents. This is a natural exten"&amp;"sion of meta-learning: with meta-learning, you have to specify the distribution of tasks the agent should perform well on; AI-GA simply says to learn this distribution as well. &lt;@POET@&gt;(@Paired Open-Ended Trailblazer (POET): Endlessly Generating Increasin"&amp;"gly Complex and Diverse Learning Environments and Their Solutions@) is an example of recent work in this area.
A strong reason for optimism about the AI-GA paradigm is that it mimics the way that humans arose: natural selection was a very simple algorith"&amp;"m that with a _lot_ of compute and a very complex and diverse environment was able to produce a general intelligence: us. Since it would need fewer building blocks (since it aims to learn everything), it could succeed faster than the manual approach, at l"&amp;"east if the required amount of compute is not too high. It is also much more neglected than the ""manual"" approach.
However, there are safety concerns. Any powerful AI that comes from an AI-GA will be harder to understand, since it's produced by this va"&amp;"st computation where everything is learned, and so it would be hard to get an AI that is aligned with our values. In addition, with such a process it seems more likely that a powerful AI system ""catches us by surprise"" -- at some point the stars align a"&amp;"nd the giant computation makes one good random choice and suddenly it outputs a very powerful and sample efficient learning algorithm (aka an AGI, at least by some definitions). There is also the ethical concern that since we'd end up mimicking evolution,"&amp;" we might accidentally instantiate large amounts of simulated beings that can suffer (especially if the environment is competitive, as was the case with evolution).")</f>
        <v>Historically, the &lt;@bitter lesson@&gt;(@The Bitter Lesson@) has been that approaches that leverage increasing computation for learning outperform ones that build in a lot of knowledge. The current ethos towards AGI seems to be that we will come up with a bunch of building blocks (e.g. convolutions, transformers, trust regions, GANs, active learning, curricula) that we will somehow manually combine into one complex powerful AI system. Rather than require this manual approach, we could instead apply learning once more, giving the paradigm of AI-generating algorithms, or AI-GA.
AI-GA has three pillars. The first is to **learn architectures**: this is analogous to a superpowered neural architecture search that can discover convolutions, recurrence and attention without any hardcoding. The second is to **learn the learning algorithms**, i.e. meta-learning. The third and most underexplored pillar is to learn to **generate complex and diverse environments** within which to train our agents. This is a natural extension of meta-learning: with meta-learning, you have to specify the distribution of tasks the agent should perform well on; AI-GA simply says to learn this distribution as well. &lt;@POET@&gt;(@Paired Open-Ended Trailblazer (POET): Endlessly Generating Increasingly Complex and Diverse Learning Environments and Their Solutions@) is an example of recent work in this area.
A strong reason for optimism about the AI-GA paradigm is that it mimics the way that humans arose: natural selection was a very simple algorithm that with a _lot_ of compute and a very complex and diverse environment was able to produce a general intelligence: us. Since it would need fewer building blocks (since it aims to learn everything), it could succeed faster than the manual approach, at least if the required amount of compute is not too high. It is also much more neglected than the "manual" approach.
However, there are safety concerns. Any powerful AI that comes from an AI-GA will be harder to understand, since it's produced by this vast computation where everything is learned, and so it would be hard to get an AI that is aligned with our values. In addition, with such a process it seems more likely that a powerful AI system "catches us by surprise" -- at some point the stars align and the giant computation makes one good random choice and suddenly it outputs a very powerful and sample efficient learning algorithm (aka an AGI, at least by some definitions). There is also the ethical concern that since we'd end up mimicking evolution, we might accidentally instantiate large amounts of simulated beings that can suffer (especially if the environment is competitive, as was the case with evolution).</v>
      </c>
      <c r="K1101" t="str">
        <f>IFERROR(__xludf.DUMMYFUNCTION("""COMPUTED_VALUE"""),"Especially given the &lt;@growth of compute@&gt;(@AI and Compute@), this agenda seems like a natural one to pursue to get AGI. Unfortunately, it also mirrors very closely the phenomenon of &lt;@mesa optimization@&gt;(@Risks from Learned Optimization in Advanced Machi"&amp;"ne Learning Systems@), with the only difference being that it is _intended_ that the method produces a powerful inner optimizer. As the paper acknowledges, this introduces several risks, and so it calls for deep engagement with AI safety researchers (but "&amp;"sadly it does not propose ideas on how to mitigate the risks).
Due to the vast data requirements, most of the environments would have to be simulated. I suspect that this will make the agenda harder than it may seem at first glance -- I think that the co"&amp;"mplexity of the real world was quite crucial, and that simulating environments that reach the appropriate level of complexity will be a very difficult task. (My intuition is that something like &lt;@Neural MMO@&gt; is nowhere near enough complexity.)")</f>
        <v>Especially given the &lt;@growth of compute@&gt;(@AI and Compute@), this agenda seems like a natural one to pursue to get AGI. Unfortunately, it also mirrors very closely the phenomenon of &lt;@mesa optimization@&gt;(@Risks from Learned Optimization in Advanced Machine Learning Systems@), with the only difference being that it is _intended_ that the method produces a powerful inner optimizer. As the paper acknowledges, this introduces several risks, and so it calls for deep engagement with AI safety researchers (but sadly it does not propose ideas on how to mitigate the risks).
Due to the vast data requirements, most of the environments would have to be simulated. I suspect that this will make the agenda harder than it may seem at first glance -- I think that the complexity of the real world was quite crucial, and that simulating environments that reach the appropriate level of complexity will be a very difficult task. (My intuition is that something like &lt;@Neural MMO@&gt; is nowhere near enough complexity.)</v>
      </c>
    </row>
    <row r="1102">
      <c r="A1102" t="str">
        <f>IFERROR(__xludf.DUMMYFUNCTION("""COMPUTED_VALUE"""),"Miscellaneous (AI)")</f>
        <v>Miscellaneous (AI)</v>
      </c>
      <c r="B1102" t="str">
        <f>IFERROR(__xludf.DUMMYFUNCTION("""COMPUTED_VALUE"""),"Highlight")</f>
        <v>Highlight</v>
      </c>
      <c r="C1102" s="3" t="str">
        <f>IFERROR(__xludf.DUMMYFUNCTION("""COMPUTED_VALUE"""),"HARK Side of Deep Learning -- From Grad Student Descent to Automated Machine Learning")</f>
        <v>HARK Side of Deep Learning -- From Grad Student Descent to Automated Machine Learning</v>
      </c>
      <c r="D1102" t="str">
        <f>IFERROR(__xludf.DUMMYFUNCTION("""COMPUTED_VALUE"""),"Oguzhan Gencoglu, Mark van Gils, Esin Guldogan, Chamin Morikawa, Mehmet Süzen, Mathias Gruber, Jussi Leinonen, Heikki Huttunen")</f>
        <v>Oguzhan Gencoglu, Mark van Gils, Esin Guldogan, Chamin Morikawa, Mehmet Süzen, Mathias Gruber, Jussi Leinonen, Heikki Huttunen</v>
      </c>
      <c r="E1102" t="str">
        <f>IFERROR(__xludf.DUMMYFUNCTION("""COMPUTED_VALUE"""),"arXiv")</f>
        <v>arXiv</v>
      </c>
      <c r="F1102">
        <f>IFERROR(__xludf.DUMMYFUNCTION("""COMPUTED_VALUE"""),2019.0)</f>
        <v>2019</v>
      </c>
      <c r="H1102" s="3" t="str">
        <f>IFERROR(__xludf.DUMMYFUNCTION("""COMPUTED_VALUE"""),"AN #56")</f>
        <v>AN #56</v>
      </c>
      <c r="I1102" t="str">
        <f>IFERROR(__xludf.DUMMYFUNCTION("""COMPUTED_VALUE"""),"Rohin")</f>
        <v>Rohin</v>
      </c>
      <c r="J1102" t="str">
        <f>IFERROR(__xludf.DUMMYFUNCTION("""COMPUTED_VALUE"""),"This paper focuses on the negative effects of Hypothesizing After the Results are Known (HARKing), a pattern in which researchers **first conduct experiments and view the results**, and once they have hit the bar to be publishable, **a hypothesis is const"&amp;"ructed after the fact to explain the results**. It argues that HARKing is common in machine learning, and that this has negative effects on the field as a whole. First, improvements to state-of-the-art (SotA) may be questionable because they could have be"&amp;"en caused by sufficient hyperparameter tuning via grad student descent, instead of the new idea in a paper to which the gain is attributed. Second, there is publication bias since only positive results are reported in conferences, which prevents us from l"&amp;"earning from negative results. Third, hypotheses that are tailored to fit results for a single dataset or task are much less likely to generalize to new datasets or tasks. Fourth, while AutoML systems achieve good results, we cannot figure out what makes "&amp;"them work because the high compute requirements make ablation studies much harder to perform. Finally, they argue that we need to fix HARKing in order to achieve things like ethical AI, human-centric AI, reproducible AI, etc.")</f>
        <v>This paper focuses on the negative effects of Hypothesizing After the Results are Known (HARKing), a pattern in which researchers **first conduct experiments and view the results**, and once they have hit the bar to be publishable, **a hypothesis is constructed after the fact to explain the results**. It argues that HARKing is common in machine learning, and that this has negative effects on the field as a whole. First, improvements to state-of-the-art (SotA) may be questionable because they could have been caused by sufficient hyperparameter tuning via grad student descent, instead of the new idea in a paper to which the gain is attributed. Second, there is publication bias since only positive results are reported in conferences, which prevents us from learning from negative results. Third, hypotheses that are tailored to fit results for a single dataset or task are much less likely to generalize to new datasets or tasks. Fourth, while AutoML systems achieve good results, we cannot figure out what makes them work because the high compute requirements make ablation studies much harder to perform. Finally, they argue that we need to fix HARKing in order to achieve things like ethical AI, human-centric AI, reproducible AI, etc.</v>
      </c>
      <c r="K1102" t="str">
        <f>IFERROR(__xludf.DUMMYFUNCTION("""COMPUTED_VALUE"""),"I believe that I found this paper the _very first time_ I looked for generic new interesting papers _after_ I started thinking about this problem, which was quite the coincidence. I'm really happy that the authors wrote the paper -- it's not in their ince"&amp;"ntives (as far as I can tell), but the topic seems crucial to address.
That said, I disagree with the paper on a few counts. The authors don't acknowledge the value of HARKing -- **often it is useful to run many experiments and see what happens in order "&amp;"to develop a good theory**. Humans are not ideal Bayesian reasoners who can consider all hypotheses at once; we often require many observations in order to even hypothesize a theory. The authors make the point that in other fields HARKing leads to bad res"&amp;"ults, but ML is significantly different in that **we can run experiments much faster with a much higher iteration speed**.
If we were instead forced to preregister studies, as the authors suggest, **the iteration speed would drop by an order of magnitude"&amp;" or two**; I seriously doubt that the benefits would outweigh the cost of lower iteration speed. Instead of preregistering all experiments, maybe researchers could run experiments and observe results, formulate a theory, and then preregister an experiment"&amp;" that would test the theory -- but in this case I would expect that researchers end up ""preregistering"" experiments that are very similar to the experiments that generated the theory, such that the results are very likely to come out in support of the t"&amp;"heory.
(This does not require any active malice on the part of the researchers -- it's natural to think of predictions of the theory in the domain where you developed the theory. For example, in &lt;@our recent paper@&gt;(@Learning Preferences by Looking at th"&amp;"e World@), we explicitly designed four environments where we expected our method to work and one where it wouldn't.)
Another point: I think that **the underlying cause of HARKing is the incentive to chaise SotA**, and if I were writing this paper I would"&amp;" focus on that. For example, I believe that the bias towards SotA chasing causes HARKing, and not the other way around. (I'm not sure if the authors believe otherwise; the paper isn't very clear on this point.) This is also a more direct explanation of re"&amp;"sults being caused by grad student descent or hyperparameter tuning; the HARKing in such papers occur because it isn't acceptable to say ""we obtained this result via grad student descent"", because that would not be a contribution to the field.
Although"&amp;" I've been critiquing the paper, overall I find my beliefs much closer to the authors' than the ""beliefs of the field"". (Not the beliefs of researchers in the field: I suspect many researchers would agree that HARKing has negative effects, even though t"&amp;"he incentives force researchers to do so in order to get papers published.) I'd be interested in exploring the topic further, but don't have enough time to do so myself -- if you're interested in building toy models of the research field and modeling the "&amp;"effect of interventions on the field, get in touch and we can see if it would make sense to collaborate.")</f>
        <v>I believe that I found this paper the _very first time_ I looked for generic new interesting papers _after_ I started thinking about this problem, which was quite the coincidence. I'm really happy that the authors wrote the paper -- it's not in their incentives (as far as I can tell), but the topic seems crucial to address.
That said, I disagree with the paper on a few counts. The authors don't acknowledge the value of HARKing -- **often it is useful to run many experiments and see what happens in order to develop a good theory**. Humans are not ideal Bayesian reasoners who can consider all hypotheses at once; we often require many observations in order to even hypothesize a theory. The authors make the point that in other fields HARKing leads to bad results, but ML is significantly different in that **we can run experiments much faster with a much higher iteration speed**.
If we were instead forced to preregister studies, as the authors suggest, **the iteration speed would drop by an order of magnitude or two**; I seriously doubt that the benefits would outweigh the cost of lower iteration speed. Instead of preregistering all experiments, maybe researchers could run experiments and observe results, formulate a theory, and then preregister an experiment that would test the theory -- but in this case I would expect that researchers end up "preregistering" experiments that are very similar to the experiments that generated the theory, such that the results are very likely to come out in support of the theory.
(This does not require any active malice on the part of the researchers -- it's natural to think of predictions of the theory in the domain where you developed the theory. For example, in &lt;@our recent paper@&gt;(@Learning Preferences by Looking at the World@), we explicitly designed four environments where we expected our method to work and one where it wouldn't.)
Another point: I think that **the underlying cause of HARKing is the incentive to chaise SotA**, and if I were writing this paper I would focus on that. For example, I believe that the bias towards SotA chasing causes HARKing, and not the other way around. (I'm not sure if the authors believe otherwise; the paper isn't very clear on this point.) This is also a more direct explanation of results being caused by grad student descent or hyperparameter tuning; the HARKing in such papers occur because it isn't acceptable to say "we obtained this result via grad student descent", because that would not be a contribution to the field.
Although I've been critiquing the paper, overall I find my beliefs much closer to the authors' than the "beliefs of the field". (Not the beliefs of researchers in the field: I suspect many researchers would agree that HARKing has negative effects, even though the incentives force researchers to do so in order to get papers published.) I'd be interested in exploring the topic further, but don't have enough time to do so myself -- if you're interested in building toy models of the research field and modeling the effect of interventions on the field, get in touch and we can see if it would make sense to collaborate.</v>
      </c>
    </row>
    <row r="1103">
      <c r="A1103" t="str">
        <f>IFERROR(__xludf.DUMMYFUNCTION("""COMPUTED_VALUE"""),"Miscellaneous (AI)")</f>
        <v>Miscellaneous (AI)</v>
      </c>
      <c r="B1103" t="str">
        <f>IFERROR(__xludf.DUMMYFUNCTION("""COMPUTED_VALUE"""),"Highlight")</f>
        <v>Highlight</v>
      </c>
      <c r="C1103" s="3" t="str">
        <f>IFERROR(__xludf.DUMMYFUNCTION("""COMPUTED_VALUE"""),"ML Writing Month May 2018")</f>
        <v>ML Writing Month May 2018</v>
      </c>
      <c r="D1103" t="str">
        <f>IFERROR(__xludf.DUMMYFUNCTION("""COMPUTED_VALUE"""),"Cody Wild")</f>
        <v>Cody Wild</v>
      </c>
      <c r="E1103" t="str">
        <f>IFERROR(__xludf.DUMMYFUNCTION("""COMPUTED_VALUE"""),"Google Docs")</f>
        <v>Google Docs</v>
      </c>
      <c r="F1103">
        <f>IFERROR(__xludf.DUMMYFUNCTION("""COMPUTED_VALUE"""),2018.0)</f>
        <v>2018</v>
      </c>
      <c r="H1103" s="3" t="str">
        <f>IFERROR(__xludf.DUMMYFUNCTION("""COMPUTED_VALUE"""),"AN #24")</f>
        <v>AN #24</v>
      </c>
      <c r="I1103" t="str">
        <f>IFERROR(__xludf.DUMMYFUNCTION("""COMPUTED_VALUE"""),"Rohin")</f>
        <v>Rohin</v>
      </c>
      <c r="J1103" t="str">
        <f>IFERROR(__xludf.DUMMYFUNCTION("""COMPUTED_VALUE"""),"The author wrote up a summary of an ML paper every day in May, which have all been collected in this doc.")</f>
        <v>The author wrote up a summary of an ML paper every day in May, which have all been collected in this doc.</v>
      </c>
      <c r="K1103" t="str">
        <f>IFERROR(__xludf.DUMMYFUNCTION("""COMPUTED_VALUE"""),"These summaries seem really good to me (probably higher quality than a typical summary that I write), but are often on topics I'm not an expert in (eg. GANs) so it's hard for me to evaluate. The one paper I knew well ([Inverse Reward Design](https://arxiv"&amp;".org/abs/1711.02827)) had a good summary.")</f>
        <v>These summaries seem really good to me (probably higher quality than a typical summary that I write), but are often on topics I'm not an expert in (eg. GANs) so it's hard for me to evaluate. The one paper I knew well ([Inverse Reward Design](https://arxiv.org/abs/1711.02827)) had a good summary.</v>
      </c>
    </row>
    <row r="1104">
      <c r="A1104" t="str">
        <f>IFERROR(__xludf.DUMMYFUNCTION("""COMPUTED_VALUE"""),"Miscellaneous (AI)")</f>
        <v>Miscellaneous (AI)</v>
      </c>
      <c r="B1104" t="str">
        <f>IFERROR(__xludf.DUMMYFUNCTION("""COMPUTED_VALUE"""),"Highlight")</f>
        <v>Highlight</v>
      </c>
      <c r="C1104" s="3" t="str">
        <f>IFERROR(__xludf.DUMMYFUNCTION("""COMPUTED_VALUE"""),"Building Machines That Learn and Think Like People")</f>
        <v>Building Machines That Learn and Think Like People</v>
      </c>
      <c r="D1104" t="str">
        <f>IFERROR(__xludf.DUMMYFUNCTION("""COMPUTED_VALUE"""),"Brenden M. Lake, Tomer D. Ullman, Joshua B. Tenenbaum, Samuel J. Gershman")</f>
        <v>Brenden M. Lake, Tomer D. Ullman, Joshua B. Tenenbaum, Samuel J. Gershman</v>
      </c>
      <c r="E1104" t="str">
        <f>IFERROR(__xludf.DUMMYFUNCTION("""COMPUTED_VALUE"""),"arXiv")</f>
        <v>arXiv</v>
      </c>
      <c r="F1104">
        <f>IFERROR(__xludf.DUMMYFUNCTION("""COMPUTED_VALUE"""),2016.0)</f>
        <v>2016</v>
      </c>
      <c r="H1104" s="3" t="str">
        <f>IFERROR(__xludf.DUMMYFUNCTION("""COMPUTED_VALUE"""),"AN #160")</f>
        <v>AN #160</v>
      </c>
      <c r="I1104" t="str">
        <f>IFERROR(__xludf.DUMMYFUNCTION("""COMPUTED_VALUE"""),"Rohin")</f>
        <v>Rohin</v>
      </c>
      <c r="J1104" t="str">
        <f>IFERROR(__xludf.DUMMYFUNCTION("""COMPUTED_VALUE"""),"The core claim of this 2016 paper is that we should focus on building AI systems that work as _flexibly_ as humans do. For example, a human can learn how to play the Atari game Frostbite in just a couple of hours, way faster than typical deep RL algorithm"&amp;"s -- and in addition, after this they will likely be able to transfer zero-shot to new reward functions, such as “lose as quickly as possible”, “maximize the number of fish”, “beat the level with as little time to spare as possible”, and so on. How can we"&amp;" build AI systems that mimic this feat? Deep RL certainly doesn’t get us there. Similarly, while neural networks can learn to classify digits and characters with thousands of examples, humans can learn new characters from a single example, which then allo"&amp;"ws them to perform many different tasks such as classification, generation, parsing it into different pen strokes, etc. Since the paper was written neural nets have made progress on few-shot classification, but are still quite far from the flexibility tha"&amp;"t humans display.
You might reasonably object that humans have rich priors built from years of lived experience, as well as innate knowledge baked in by evolution; in contrast, a neural network has to learn from scratch. The authors agree: in their view,"&amp;" the challenge is **how to imbue rich priors into artificial agents**, so that they too can exhibit these impressive behaviors that humans show. Their preferred approach is to take inspiration from human learning and intelligence as much as possible. In t"&amp;"his paper, they identify three main ingredients to recreate that flexibility, and provide an overview of the existing literature:
1. **Developmental software:** This refers to the basic capabilities that children have, even before they learn language. Th"&amp;"ese are called “intuitive theories” in cognitive science; think of “intuitive physics” and “intuitive psychology” theories.
2. **Model building:** Neural networks primarily work via _pattern matching_, but in order to get human-level flexibility, you wil"&amp;"l need to build _models_: this enables flexibility because the same model can be used for a variety of different tasks. (For example, you can reuse your understanding of the environment transitions in Frostbite when the reward function changes.) Models ne"&amp;"ed to be _compositional_, that is, the representations should be capable of being composed with each other to provide new semantically meaningful representation. For example, for handwritten characters, the representation of a character should be the comp"&amp;"osition of the representations of the individual pen strokes used to make the character. The authors also highlight _causality_ and _learning to learn_ as important.
3. **Thinking fast:** One major drawback of models is that getting _conclusions_ from th"&amp;"ese models often requires slow, complex inference algorithms. But human thinking is actually quite fast; just think of how quickly we can understand a visual scene. How can we get this property as well? First, we can use approximate inference algorithms t"&amp;"o get answers much more quickly (in fact, one line of work distills the inference algorithm into a fast neural network for even more speed). Second, we can combine model-based and model-free algorithms together; for example we might use a model-based algo"&amp;"rithm for flexibility but then use the data generated by that algorithm to train a model-free method that can run faster.")</f>
        <v>The core claim of this 2016 paper is that we should focus on building AI systems that work as _flexibly_ as humans do. For example, a human can learn how to play the Atari game Frostbite in just a couple of hours, way faster than typical deep RL algorithms -- and in addition, after this they will likely be able to transfer zero-shot to new reward functions, such as “lose as quickly as possible”, “maximize the number of fish”, “beat the level with as little time to spare as possible”, and so on. How can we build AI systems that mimic this feat? Deep RL certainly doesn’t get us there. Similarly, while neural networks can learn to classify digits and characters with thousands of examples, humans can learn new characters from a single example, which then allows them to perform many different tasks such as classification, generation, parsing it into different pen strokes, etc. Since the paper was written neural nets have made progress on few-shot classification, but are still quite far from the flexibility that humans display.
You might reasonably object that humans have rich priors built from years of lived experience, as well as innate knowledge baked in by evolution; in contrast, a neural network has to learn from scratch. The authors agree: in their view, the challenge is **how to imbue rich priors into artificial agents**, so that they too can exhibit these impressive behaviors that humans show. Their preferred approach is to take inspiration from human learning and intelligence as much as possible. In this paper, they identify three main ingredients to recreate that flexibility, and provide an overview of the existing literature:
1. **Developmental software:** This refers to the basic capabilities that children have, even before they learn language. These are called “intuitive theories” in cognitive science; think of “intuitive physics” and “intuitive psychology” theories.
2. **Model building:** Neural networks primarily work via _pattern matching_, but in order to get human-level flexibility, you will need to build _models_: this enables flexibility because the same model can be used for a variety of different tasks. (For example, you can reuse your understanding of the environment transitions in Frostbite when the reward function changes.) Models need to be _compositional_, that is, the representations should be capable of being composed with each other to provide new semantically meaningful representation. For example, for handwritten characters, the representation of a character should be the composition of the representations of the individual pen strokes used to make the character. The authors also highlight _causality_ and _learning to learn_ as important.
3. **Thinking fast:** One major drawback of models is that getting _conclusions_ from these models often requires slow, complex inference algorithms. But human thinking is actually quite fast; just think of how quickly we can understand a visual scene. How can we get this property as well? First, we can use approximate inference algorithms to get answers much more quickly (in fact, one line of work distills the inference algorithm into a fast neural network for even more speed). Second, we can combine model-based and model-free algorithms together; for example we might use a model-based algorithm for flexibility but then use the data generated by that algorithm to train a model-free method that can run faster.</v>
      </c>
      <c r="K1104" t="str">
        <f>IFERROR(__xludf.DUMMYFUNCTION("""COMPUTED_VALUE"""),"I really like this paper from the point of view of illustrating an alternative paradigm to building powerful AI systems that _isn’t_ based on scaling up neural networks. You might have picked up from the last few newsletters that I generally do expect us "&amp;"to build powerful AI systems by scaling up neural networks, so you might expect that I disagree with this paper. This is only partially true. I do in fact think that many of the skills mentioned in this paper will emerge by training very large neural netw"&amp;"orks on diverse datasets; indeed we’re already seeing this with &lt;@few-shot learning@&gt;(@Language Models are Few-Shot Learners@). However, this likely only happens at what would be truly mind-boggling amounts of compute today: in order for this to be remote"&amp;"ly feasible, we need to have &lt;@exponential improvements in hardware cost and algorithmic efficiency@&gt;(@Draft report on AI timelines@). It is plausible to me that some of the needed improvements in algorithmic efficiency will come through ideas similar to "&amp;"the ones in this paper: for example, just as CNNs provided a useful inductive bias of translation-invariance, perhaps we get a new architecture that has an inductive bias towards compositionality or causality.")</f>
        <v>I really like this paper from the point of view of illustrating an alternative paradigm to building powerful AI systems that _isn’t_ based on scaling up neural networks. You might have picked up from the last few newsletters that I generally do expect us to build powerful AI systems by scaling up neural networks, so you might expect that I disagree with this paper. This is only partially true. I do in fact think that many of the skills mentioned in this paper will emerge by training very large neural networks on diverse datasets; indeed we’re already seeing this with &lt;@few-shot learning@&gt;(@Language Models are Few-Shot Learners@). However, this likely only happens at what would be truly mind-boggling amounts of compute today: in order for this to be remotely feasible, we need to have &lt;@exponential improvements in hardware cost and algorithmic efficiency@&gt;(@Draft report on AI timelines@). It is plausible to me that some of the needed improvements in algorithmic efficiency will come through ideas similar to the ones in this paper: for example, just as CNNs provided a useful inductive bias of translation-invariance, perhaps we get a new architecture that has an inductive bias towards compositionality or causality.</v>
      </c>
    </row>
    <row r="1105">
      <c r="A1105" t="str">
        <f>IFERROR(__xludf.DUMMYFUNCTION("""COMPUTED_VALUE"""),"Miscellaneous (AI)")</f>
        <v>Miscellaneous (AI)</v>
      </c>
      <c r="B1105" t="str">
        <f>IFERROR(__xludf.DUMMYFUNCTION("""COMPUTED_VALUE"""),"")</f>
        <v/>
      </c>
      <c r="C1105" s="3" t="str">
        <f>IFERROR(__xludf.DUMMYFUNCTION("""COMPUTED_VALUE"""),"Unreproducible Research is Reproducible")</f>
        <v>Unreproducible Research is Reproducible</v>
      </c>
      <c r="D1105" t="str">
        <f>IFERROR(__xludf.DUMMYFUNCTION("""COMPUTED_VALUE"""),"Xavier Bouthillier, Cesar Laurent, Pascal Vincent")</f>
        <v>Xavier Bouthillier, Cesar Laurent, Pascal Vincent</v>
      </c>
      <c r="E1105" t="str">
        <f>IFERROR(__xludf.DUMMYFUNCTION("""COMPUTED_VALUE"""),"ICML 2019")</f>
        <v>ICML 2019</v>
      </c>
      <c r="F1105">
        <f>IFERROR(__xludf.DUMMYFUNCTION("""COMPUTED_VALUE"""),2019.0)</f>
        <v>2019</v>
      </c>
      <c r="H1105" s="3" t="str">
        <f>IFERROR(__xludf.DUMMYFUNCTION("""COMPUTED_VALUE"""),"AN #66")</f>
        <v>AN #66</v>
      </c>
      <c r="I1105" t="str">
        <f>IFERROR(__xludf.DUMMYFUNCTION("""COMPUTED_VALUE"""),"Flo")</f>
        <v>Flo</v>
      </c>
      <c r="J1105" t="str">
        <f>IFERROR(__xludf.DUMMYFUNCTION("""COMPUTED_VALUE"""),"This paper argues that despite the growing popularity of sharing code, machine learning research has a problem with reproducibility. It makes the distinction between the reproducibility of **methods/results**, which can be achieved by fixing random seeds "&amp;"and sharing code, and the reproducibility of **findings/conclusions**, which requires that different experimental setups (or at least random seeds) lead to the same conclusion.
Several popular neural network architectures are trained on several image cla"&amp;"ssification datasets several times with different random seeds determining the weight initialization and sampling of data. The relative rankings of the architectures with respect to the test accuracy are found to vary relevantly with the random seed for a"&amp;"ll data sets, as well as between data sets.
The authors then argue that while the reproducibility of methods can help with speeding up **exploratory research**, the reproducibility of findings is necessary for **empirical research** from which robust con"&amp;"clusions can be drawn.  They claim that exploratory research that is not based on robust findings can get inefficient, and so call for the machine learning community to do more empirical research.")</f>
        <v>This paper argues that despite the growing popularity of sharing code, machine learning research has a problem with reproducibility. It makes the distinction between the reproducibility of **methods/results**, which can be achieved by fixing random seeds and sharing code, and the reproducibility of **findings/conclusions**, which requires that different experimental setups (or at least random seeds) lead to the same conclusion.
Several popular neural network architectures are trained on several image classification datasets several times with different random seeds determining the weight initialization and sampling of data. The relative rankings of the architectures with respect to the test accuracy are found to vary relevantly with the random seed for all data sets, as well as between data sets.
The authors then argue that while the reproducibility of methods can help with speeding up **exploratory research**, the reproducibility of findings is necessary for **empirical research** from which robust conclusions can be drawn.  They claim that exploratory research that is not based on robust findings can get inefficient, and so call for the machine learning community to do more empirical research.</v>
      </c>
      <c r="K1105" t="str">
        <f>IFERROR(__xludf.DUMMYFUNCTION("""COMPUTED_VALUE"""),"I really like that this paper not just claims that there is a problem with reproducibility, but demonstrates this more rigorously using an experiment. More robust empirical findings seem quite important for getting to a better understanding of machine lea"&amp;"rning systems in the medium term. Since this understanding is especially important for safety relevant research, where exploratory research seems more problematic by default, I am excited for a push in that direction.")</f>
        <v>I really like that this paper not just claims that there is a problem with reproducibility, but demonstrates this more rigorously using an experiment. More robust empirical findings seem quite important for getting to a better understanding of machine learning systems in the medium term. Since this understanding is especially important for safety relevant research, where exploratory research seems more problematic by default, I am excited for a push in that direction.</v>
      </c>
    </row>
    <row r="1106">
      <c r="A1106" t="str">
        <f>IFERROR(__xludf.DUMMYFUNCTION("""COMPUTED_VALUE"""),"Miscellaneous (AI)")</f>
        <v>Miscellaneous (AI)</v>
      </c>
      <c r="B1106" t="str">
        <f>IFERROR(__xludf.DUMMYFUNCTION("""COMPUTED_VALUE"""),"")</f>
        <v/>
      </c>
      <c r="C1106" s="3" t="str">
        <f>IFERROR(__xludf.DUMMYFUNCTION("""COMPUTED_VALUE"""),"The Bitter Lesson")</f>
        <v>The Bitter Lesson</v>
      </c>
      <c r="D1106" t="str">
        <f>IFERROR(__xludf.DUMMYFUNCTION("""COMPUTED_VALUE"""),"Rich Sutton")</f>
        <v>Rich Sutton</v>
      </c>
      <c r="E1106" t="str">
        <f>IFERROR(__xludf.DUMMYFUNCTION("""COMPUTED_VALUE"""),"Incomplete Ideas")</f>
        <v>Incomplete Ideas</v>
      </c>
      <c r="F1106">
        <f>IFERROR(__xludf.DUMMYFUNCTION("""COMPUTED_VALUE"""),2019.0)</f>
        <v>2019</v>
      </c>
      <c r="H1106" s="3" t="str">
        <f>IFERROR(__xludf.DUMMYFUNCTION("""COMPUTED_VALUE"""),"AN #49")</f>
        <v>AN #49</v>
      </c>
      <c r="I1106" t="str">
        <f>IFERROR(__xludf.DUMMYFUNCTION("""COMPUTED_VALUE"""),"Rohin")</f>
        <v>Rohin</v>
      </c>
      <c r="J1106" t="str">
        <f>IFERROR(__xludf.DUMMYFUNCTION("""COMPUTED_VALUE"""),"This blog post is controversial. This is a combination summary and opinion, and so is more biased than my summaries usually are.
Much research in AI has been about embedding human knowledge in AI systems, in order to use the current limited amount of com"&amp;"pute to achieve some outcomes. That is, we try to get our AI systems to think the way we think we think. However, this usually results in systems that work currently, but then cannot leverage the increasing computation that will be available. The bitter l"&amp;"esson is that methods like search and learning that can scale to more computation eventually win out, as more computation becomes available. There are many examples that will likely be familiar to readers of this newsletter, such as chess (large scale tre"&amp;"e search), Go (large scale self play), image classification (CNNs), and speech recognition (Hidden Markov Models in the 70s, and now deep learning).
Shimon Whiteson's [take](https://twitter.com/shimon8282/status/1106534178676506624) is that in reality lo"&amp;"ts of human knowledge has been important in getting AI to do things; such as the invariances built into convolutional nets, or the MCTS and self-play algorithm underlying AlphaZero. I don't see this as opposed to Rich Sutton's point -- it seems to me that"&amp;" the takeaway is that we should aim to build algorithms that will be able to leverage large amounts of compute, but we can be clever and embed important knowledge in such algorithms. I think this criterion would have predicted ex-ante (i.e. before seeing "&amp;"the results) that much past and current research in AI was misguided, without also predicting that any of the major advances (like CNNs) were misguided.
It's worth noting that this is coming from a perspective of aiming for the most general possible capa"&amp;"bilities for AI systems. If your goal is to instead build something that works reliably now, then it really is a good idea to embed human domain knowledge, as it does lead to a performance improvement -- you should just expect that in time the system will"&amp;" be replaced with a better performing system with less embedded human knowledge.
One disagreement I have is that this post doesn't acknowledge the importance of data. The AI advances we see now are ones where the data has been around for a long time (or "&amp;"you use simulation to get the data), and someone finally put in enough engineering effort + compute to get the data out and put it in a big enough model. That is, currently compute is &lt;@increasing much faster@&gt;(@AI and Compute@) than data, so the breakthr"&amp;"oughs you see are in domains where the bottleneck was compute and not data; that doesn't mean data bottlenecks don't exist.")</f>
        <v>This blog post is controversial. This is a combination summary and opinion, and so is more biased than my summaries usually are.
Much research in AI has been about embedding human knowledge in AI systems, in order to use the current limited amount of compute to achieve some outcomes. That is, we try to get our AI systems to think the way we think we think. However, this usually results in systems that work currently, but then cannot leverage the increasing computation that will be available. The bitter lesson is that methods like search and learning that can scale to more computation eventually win out, as more computation becomes available. There are many examples that will likely be familiar to readers of this newsletter, such as chess (large scale tree search), Go (large scale self play), image classification (CNNs), and speech recognition (Hidden Markov Models in the 70s, and now deep learning).
Shimon Whiteson's [take](https://twitter.com/shimon8282/status/1106534178676506624) is that in reality lots of human knowledge has been important in getting AI to do things; such as the invariances built into convolutional nets, or the MCTS and self-play algorithm underlying AlphaZero. I don't see this as opposed to Rich Sutton's point -- it seems to me that the takeaway is that we should aim to build algorithms that will be able to leverage large amounts of compute, but we can be clever and embed important knowledge in such algorithms. I think this criterion would have predicted ex-ante (i.e. before seeing the results) that much past and current research in AI was misguided, without also predicting that any of the major advances (like CNNs) were misguided.
It's worth noting that this is coming from a perspective of aiming for the most general possible capabilities for AI systems. If your goal is to instead build something that works reliably now, then it really is a good idea to embed human domain knowledge, as it does lead to a performance improvement -- you should just expect that in time the system will be replaced with a better performing system with less embedded human knowledge.
One disagreement I have is that this post doesn't acknowledge the importance of data. The AI advances we see now are ones where the data has been around for a long time (or you use simulation to get the data), and someone finally put in enough engineering effort + compute to get the data out and put it in a big enough model. That is, currently compute is &lt;@increasing much faster@&gt;(@AI and Compute@) than data, so the breakthroughs you see are in domains where the bottleneck was compute and not data; that doesn't mean data bottlenecks don't exist.</v>
      </c>
    </row>
    <row r="1107">
      <c r="A1107" t="str">
        <f>IFERROR(__xludf.DUMMYFUNCTION("""COMPUTED_VALUE"""),"Miscellaneous (AI)")</f>
        <v>Miscellaneous (AI)</v>
      </c>
      <c r="B1107" t="str">
        <f>IFERROR(__xludf.DUMMYFUNCTION("""COMPUTED_VALUE"""),"")</f>
        <v/>
      </c>
      <c r="C1107" s="3" t="str">
        <f>IFERROR(__xludf.DUMMYFUNCTION("""COMPUTED_VALUE"""),"2021 AI Index Report")</f>
        <v>2021 AI Index Report</v>
      </c>
      <c r="D1107" t="str">
        <f>IFERROR(__xludf.DUMMYFUNCTION("""COMPUTED_VALUE"""),"Daniel Zhang, Saurabh Mishra, Erik Brynjolfsson, John Etchemendy, Deep Ganguli, Barbara Grosz, Terah Lyons, James Manyika, Juan Carlos Niebles, Michael Sellitto, Yoav Shoham, Jack Clark, Raymond Perrault")</f>
        <v>Daniel Zhang, Saurabh Mishra, Erik Brynjolfsson, John Etchemendy, Deep Ganguli, Barbara Grosz, Terah Lyons, James Manyika, Juan Carlos Niebles, Michael Sellitto, Yoav Shoham, Jack Clark, Raymond Perrault</v>
      </c>
      <c r="E1107" t="str">
        <f>IFERROR(__xludf.DUMMYFUNCTION("""COMPUTED_VALUE"""),"AI Index Website")</f>
        <v>AI Index Website</v>
      </c>
      <c r="F1107">
        <f>IFERROR(__xludf.DUMMYFUNCTION("""COMPUTED_VALUE"""),2021.0)</f>
        <v>2021</v>
      </c>
      <c r="H1107" s="3" t="str">
        <f>IFERROR(__xludf.DUMMYFUNCTION("""COMPUTED_VALUE"""),"AN #144")</f>
        <v>AN #144</v>
      </c>
      <c r="I1107" t="str">
        <f>IFERROR(__xludf.DUMMYFUNCTION("""COMPUTED_VALUE"""),"Zach")</f>
        <v>Zach</v>
      </c>
      <c r="J1107" t="str">
        <f>IFERROR(__xludf.DUMMYFUNCTION("""COMPUTED_VALUE"""),"The AI Index Report is a project to track and distill data related to artificial intelligence. One central theme the report focuses on is the effects of COVID on AI research direction. The report highlights significant increases in spending on drug develo"&amp;"pment, 4.5 times that in 2019. The report also focuses a spotlight on the relative lack of AI ethics benchmarks. This could pose a significant problem as surveillance technologies become an increasingly mature technology. Beyond these broad themes, there'"&amp;"s data on publication trends, politics, diversity, and more in the 222-page report. Additionally, a significant amount of data is publicly available or interactive. ")</f>
        <v>The AI Index Report is a project to track and distill data related to artificial intelligence. One central theme the report focuses on is the effects of COVID on AI research direction. The report highlights significant increases in spending on drug development, 4.5 times that in 2019. The report also focuses a spotlight on the relative lack of AI ethics benchmarks. This could pose a significant problem as surveillance technologies become an increasingly mature technology. Beyond these broad themes, there's data on publication trends, politics, diversity, and more in the 222-page report. Additionally, a significant amount of data is publicly available or interactive. </v>
      </c>
      <c r="K1107" t="str">
        <f>IFERROR(__xludf.DUMMYFUNCTION("""COMPUTED_VALUE"""),"This is well presented and you can glean a lot from looking at the introductory sections. If you choose to dive into a particular topic, charts and methodology are presented in a clear manner with nice hyperlinking to make navigation relatively painless. "&amp;"There is also an [interactive](https://aiindex.stanford.edu/vibrancy/) visualization that allows for cross-country comparison according to user-defined metrics. Once again, very well presented. ")</f>
        <v>This is well presented and you can glean a lot from looking at the introductory sections. If you choose to dive into a particular topic, charts and methodology are presented in a clear manner with nice hyperlinking to make navigation relatively painless. There is also an [interactive](https://aiindex.stanford.edu/vibrancy/) visualization that allows for cross-country comparison according to user-defined metrics. Once again, very well presented. </v>
      </c>
      <c r="M1107" s="3" t="str">
        <f>IFERROR(__xludf.DUMMYFUNCTION("""COMPUTED_VALUE"""),"Full report PDF")</f>
        <v>Full report PDF</v>
      </c>
    </row>
    <row r="1108">
      <c r="A1108" t="str">
        <f>IFERROR(__xludf.DUMMYFUNCTION("""COMPUTED_VALUE"""),"Miscellaneous (AI)")</f>
        <v>Miscellaneous (AI)</v>
      </c>
      <c r="B1108" t="str">
        <f>IFERROR(__xludf.DUMMYFUNCTION("""COMPUTED_VALUE"""),"")</f>
        <v/>
      </c>
      <c r="C1108" s="3" t="str">
        <f>IFERROR(__xludf.DUMMYFUNCTION("""COMPUTED_VALUE"""),"Stand-Alone Self Attention in Vision Models")</f>
        <v>Stand-Alone Self Attention in Vision Models</v>
      </c>
      <c r="D1108" t="str">
        <f>IFERROR(__xludf.DUMMYFUNCTION("""COMPUTED_VALUE"""),"Prajit Ramachandran, Niki Parmar, Ashish Vaswani, Irwan Bello, Anselm Levskaya, Jonathon Shlens")</f>
        <v>Prajit Ramachandran, Niki Parmar, Ashish Vaswani, Irwan Bello, Anselm Levskaya, Jonathon Shlens</v>
      </c>
      <c r="E1108" t="str">
        <f>IFERROR(__xludf.DUMMYFUNCTION("""COMPUTED_VALUE"""),"arXiv")</f>
        <v>arXiv</v>
      </c>
      <c r="F1108">
        <f>IFERROR(__xludf.DUMMYFUNCTION("""COMPUTED_VALUE"""),2019.0)</f>
        <v>2019</v>
      </c>
      <c r="H1108" s="3" t="str">
        <f>IFERROR(__xludf.DUMMYFUNCTION("""COMPUTED_VALUE"""),"AN #64")</f>
        <v>AN #64</v>
      </c>
      <c r="I1108" t="str">
        <f>IFERROR(__xludf.DUMMYFUNCTION("""COMPUTED_VALUE"""),"Cody")</f>
        <v>Cody</v>
      </c>
      <c r="J1108" t="str">
        <f>IFERROR(__xludf.DUMMYFUNCTION("""COMPUTED_VALUE"""),"Continuing with the more general rise of attention models across disciplines, this paper argues that attention-only models can perform comparably to convolutional networks on image classification tasks, a domain where convolution has been the reigning def"&amp;"ault method for years now.  Because attention doesn't scale parameter-wise as you increase spatial scale, this comparable performance can be achieved at a notably lower number of parameters and FLOPs. The authors perform a few interesting modifications to"&amp;" attention. Firstly, it's canonical, with attention, to include a representation of a pixel's position in the image, in addition to the vector storing the content of the image. In this paper, they found that storing this position information in relative t"&amp;"erms (i.e. ""how close is this pixel to the center one where attention is being calculated"") performs better. 
This can be seen as a sort of generalized form of convolution, where instead of having fixed weights for pixels in a kernel indexed by their r"&amp;"elative position, attention takes both content and relative position as an input and generates a weight dynamically. Another modification is, at the lower parts of the network, to somewhat modify the attention paradigm such that the ""value"" at each loca"&amp;"tion isn't just a neutrally transformed version of the input at that location, but rather one transformed differently according to the pixel's position relative to the anchor point where attention is being calculated. At the lower levels of the network, c"&amp;"onvolutions tend to outperform attention, but attention performs better at later layers of the network. This makes sense, the authors claim, because in early layers each individual pixel doesn't contain much content information that an attention mechanism"&amp;" could usefully leverage, whereas later the learned features at a given spatial location are richer, and more productively leveraged by attention.")</f>
        <v>Continuing with the more general rise of attention models across disciplines, this paper argues that attention-only models can perform comparably to convolutional networks on image classification tasks, a domain where convolution has been the reigning default method for years now.  Because attention doesn't scale parameter-wise as you increase spatial scale, this comparable performance can be achieved at a notably lower number of parameters and FLOPs. The authors perform a few interesting modifications to attention. Firstly, it's canonical, with attention, to include a representation of a pixel's position in the image, in addition to the vector storing the content of the image. In this paper, they found that storing this position information in relative terms (i.e. "how close is this pixel to the center one where attention is being calculated") performs better. 
This can be seen as a sort of generalized form of convolution, where instead of having fixed weights for pixels in a kernel indexed by their relative position, attention takes both content and relative position as an input and generates a weight dynamically. Another modification is, at the lower parts of the network, to somewhat modify the attention paradigm such that the "value" at each location isn't just a neutrally transformed version of the input at that location, but rather one transformed differently according to the pixel's position relative to the anchor point where attention is being calculated. At the lower levels of the network, convolutions tend to outperform attention, but attention performs better at later layers of the network. This makes sense, the authors claim, because in early layers each individual pixel doesn't contain much content information that an attention mechanism could usefully leverage, whereas later the learned features at a given spatial location are richer, and more productively leveraged by attention.</v>
      </c>
      <c r="K1108" t="str">
        <f>IFERROR(__xludf.DUMMYFUNCTION("""COMPUTED_VALUE"""),"I enjoyed and appreciated the way this paper questions the obvious default of convolutional models for image processing, and in particular the way it highlights various reachable points (neighborhood-aware value transformation, relative position encoding,"&amp;" etc) on the interpolation path between weights based purely on relative distance (convolution) and weights based purely on content similarity (attention without any position representation). I'd be interested in the future to see more work in this space,"&amp;" exploring different places in a network architecture where content-focused or position-focused computation is most valuable. ")</f>
        <v>I enjoyed and appreciated the way this paper questions the obvious default of convolutional models for image processing, and in particular the way it highlights various reachable points (neighborhood-aware value transformation, relative position encoding, etc) on the interpolation path between weights based purely on relative distance (convolution) and weights based purely on content similarity (attention without any position representation). I'd be interested in the future to see more work in this space, exploring different places in a network architecture where content-focused or position-focused computation is most valuable. </v>
      </c>
    </row>
    <row r="1109">
      <c r="A1109" t="str">
        <f>IFERROR(__xludf.DUMMYFUNCTION("""COMPUTED_VALUE"""),"Miscellaneous (AI)")</f>
        <v>Miscellaneous (AI)</v>
      </c>
      <c r="B1109" t="str">
        <f>IFERROR(__xludf.DUMMYFUNCTION("""COMPUTED_VALUE"""),"")</f>
        <v/>
      </c>
      <c r="C1109" s="3" t="str">
        <f>IFERROR(__xludf.DUMMYFUNCTION("""COMPUTED_VALUE"""),"Explainable AI, Sparse Representations, and Signals")</f>
        <v>Explainable AI, Sparse Representations, and Signals</v>
      </c>
      <c r="E1109" t="str">
        <f>IFERROR(__xludf.DUMMYFUNCTION("""COMPUTED_VALUE"""),"Notion")</f>
        <v>Notion</v>
      </c>
      <c r="F1109">
        <f>IFERROR(__xludf.DUMMYFUNCTION("""COMPUTED_VALUE"""),2019.0)</f>
        <v>2019</v>
      </c>
      <c r="H1109" s="3" t="str">
        <f>IFERROR(__xludf.DUMMYFUNCTION("""COMPUTED_VALUE"""),"AN #61")</f>
        <v>AN #61</v>
      </c>
      <c r="I1109" t="str">
        <f>IFERROR(__xludf.DUMMYFUNCTION("""COMPUTED_VALUE"""),"Rohin")</f>
        <v>Rohin</v>
      </c>
      <c r="J1109" t="str">
        <f>IFERROR(__xludf.DUMMYFUNCTION("""COMPUTED_VALUE"""),"So far, we have built AI systems that store knowledge _symbolically_ or in a _distributed fashion_ (with neural nets being the latter). While the distributed form allows us to learn knowledge and rules automatically, it is much harder to understand and in"&amp;"terpret than symbolically represented knowledge. This post argues that the main difference is in the **sparsity** of the learned knowledge. Of course, with more ""sparse"" knowledge, it should be easier for us to understand the internal workings of the AI"&amp;" system, since we can ignore the pruned connections. However, the author also argues that sparse knowledge will help 'guide the search for models and agents that can be said to ""learn"" but also ""reason""'. Given that AGI will likely involve finding goo"&amp;"d representations for the world (in the sense of unsupervised learning), then sparse learning can be thought of as a bias towards finding better [bases](https://en.wikipedia.org/wiki/Basis_(linear_algebra)) for world models, that are more likely to be con"&amp;"ceptually clean and more in line with Occam's razor.
In a postscript, the author considers arguments for AI risk. Notably, there isn't any consideration of goal-directedness or alignment failures; the worry is that we will start applying superhuman AI sy"&amp;"stems to superhuman tasks, and we won't know how to deal with these situations.")</f>
        <v>So far, we have built AI systems that store knowledge _symbolically_ or in a _distributed fashion_ (with neural nets being the latter). While the distributed form allows us to learn knowledge and rules automatically, it is much harder to understand and interpret than symbolically represented knowledge. This post argues that the main difference is in the **sparsity** of the learned knowledge. Of course, with more "sparse" knowledge, it should be easier for us to understand the internal workings of the AI system, since we can ignore the pruned connections. However, the author also argues that sparse knowledge will help 'guide the search for models and agents that can be said to "learn" but also "reason"'. Given that AGI will likely involve finding good representations for the world (in the sense of unsupervised learning), then sparse learning can be thought of as a bias towards finding better [bases](https://en.wikipedia.org/wiki/Basis_(linear_algebra)) for world models, that are more likely to be conceptually clean and more in line with Occam's razor.
In a postscript, the author considers arguments for AI risk. Notably, there isn't any consideration of goal-directedness or alignment failures; the worry is that we will start applying superhuman AI systems to superhuman tasks, and we won't know how to deal with these situations.</v>
      </c>
      <c r="K1109" t="str">
        <f>IFERROR(__xludf.DUMMYFUNCTION("""COMPUTED_VALUE"""),"Sparsity seems like a good objective to shoot for in order to ensure explainability. I'm less convinced that it's worthwhile for representation learning: I doubt humans have any sort of ""sparse learning"" bias; I think sparsity of knowledge is a natural "&amp;"consequence of having to understand a very complex world with a very small brain. (Whereas current ML systems only have to understand much simpler environments.)")</f>
        <v>Sparsity seems like a good objective to shoot for in order to ensure explainability. I'm less convinced that it's worthwhile for representation learning: I doubt humans have any sort of "sparse learning" bias; I think sparsity of knowledge is a natural consequence of having to understand a very complex world with a very small brain. (Whereas current ML systems only have to understand much simpler environments.)</v>
      </c>
    </row>
    <row r="1110">
      <c r="A1110" t="str">
        <f>IFERROR(__xludf.DUMMYFUNCTION("""COMPUTED_VALUE"""),"Miscellaneous (AI)")</f>
        <v>Miscellaneous (AI)</v>
      </c>
      <c r="B1110" t="str">
        <f>IFERROR(__xludf.DUMMYFUNCTION("""COMPUTED_VALUE"""),"")</f>
        <v/>
      </c>
      <c r="C1110" s="3" t="str">
        <f>IFERROR(__xludf.DUMMYFUNCTION("""COMPUTED_VALUE"""),"BERT: Pre-training of Deep Bidirectional Transformers for Language Understanding")</f>
        <v>BERT: Pre-training of Deep Bidirectional Transformers for Language Understanding</v>
      </c>
      <c r="D1110" t="str">
        <f>IFERROR(__xludf.DUMMYFUNCTION("""COMPUTED_VALUE"""),"Jacob Devlin, Ming-Wei Chang, Kenton Lee, Kristina Toutanova")</f>
        <v>Jacob Devlin, Ming-Wei Chang, Kenton Lee, Kristina Toutanova</v>
      </c>
      <c r="E1110" t="str">
        <f>IFERROR(__xludf.DUMMYFUNCTION("""COMPUTED_VALUE"""),"arXiv")</f>
        <v>arXiv</v>
      </c>
      <c r="F1110">
        <f>IFERROR(__xludf.DUMMYFUNCTION("""COMPUTED_VALUE"""),2018.0)</f>
        <v>2018</v>
      </c>
      <c r="H1110" s="3" t="str">
        <f>IFERROR(__xludf.DUMMYFUNCTION("""COMPUTED_VALUE"""),"AN #28")</f>
        <v>AN #28</v>
      </c>
    </row>
    <row r="1111">
      <c r="A1111" t="str">
        <f>IFERROR(__xludf.DUMMYFUNCTION("""COMPUTED_VALUE"""),"Miscellaneous (AI)")</f>
        <v>Miscellaneous (AI)</v>
      </c>
      <c r="B1111" t="str">
        <f>IFERROR(__xludf.DUMMYFUNCTION("""COMPUTED_VALUE"""),"")</f>
        <v/>
      </c>
      <c r="C1111" s="3" t="str">
        <f>IFERROR(__xludf.DUMMYFUNCTION("""COMPUTED_VALUE"""),"Making it easier to discover datasets")</f>
        <v>Making it easier to discover datasets</v>
      </c>
      <c r="D1111" t="str">
        <f>IFERROR(__xludf.DUMMYFUNCTION("""COMPUTED_VALUE"""),"Natasha Noy")</f>
        <v>Natasha Noy</v>
      </c>
      <c r="E1111" t="str">
        <f>IFERROR(__xludf.DUMMYFUNCTION("""COMPUTED_VALUE"""),"Google Blog")</f>
        <v>Google Blog</v>
      </c>
      <c r="F1111">
        <f>IFERROR(__xludf.DUMMYFUNCTION("""COMPUTED_VALUE"""),2018.0)</f>
        <v>2018</v>
      </c>
      <c r="H1111" s="3" t="str">
        <f>IFERROR(__xludf.DUMMYFUNCTION("""COMPUTED_VALUE"""),"AN #23")</f>
        <v>AN #23</v>
      </c>
      <c r="I1111" t="str">
        <f>IFERROR(__xludf.DUMMYFUNCTION("""COMPUTED_VALUE"""),"Rohin")</f>
        <v>Rohin</v>
      </c>
      <c r="J1111" t="str">
        <f>IFERROR(__xludf.DUMMYFUNCTION("""COMPUTED_VALUE"""),"Google has launched Dataset Search, a tool that lets you search for datasets that you could then use in research.")</f>
        <v>Google has launched Dataset Search, a tool that lets you search for datasets that you could then use in research.</v>
      </c>
      <c r="K1111" t="str">
        <f>IFERROR(__xludf.DUMMYFUNCTION("""COMPUTED_VALUE"""),"I imagine that this is primarily targeted at data scientists aiming to learn about the real world, and not ML researchers, but I wouldn't be surprised if it was helpful for us as well. MNIST and ImageNet are both present, and a search for ""self-driving c"&amp;"ars"" turned up some promising-looking links that I didn't investigate further.")</f>
        <v>I imagine that this is primarily targeted at data scientists aiming to learn about the real world, and not ML researchers, but I wouldn't be surprised if it was helpful for us as well. MNIST and ImageNet are both present, and a search for "self-driving cars" turned up some promising-looking links that I didn't investigate further.</v>
      </c>
    </row>
    <row r="1112">
      <c r="A1112" t="str">
        <f>IFERROR(__xludf.DUMMYFUNCTION("""COMPUTED_VALUE"""),"Miscellaneous (AI)")</f>
        <v>Miscellaneous (AI)</v>
      </c>
      <c r="B1112" t="str">
        <f>IFERROR(__xludf.DUMMYFUNCTION("""COMPUTED_VALUE"""),"")</f>
        <v/>
      </c>
      <c r="C1112" s="3" t="str">
        <f>IFERROR(__xludf.DUMMYFUNCTION("""COMPUTED_VALUE"""),"State of AI Report 2021")</f>
        <v>State of AI Report 2021</v>
      </c>
      <c r="D1112" t="str">
        <f>IFERROR(__xludf.DUMMYFUNCTION("""COMPUTED_VALUE"""),"Nathan Benaich and Ian Hogarth")</f>
        <v>Nathan Benaich and Ian Hogarth</v>
      </c>
      <c r="E1112" t="str">
        <f>IFERROR(__xludf.DUMMYFUNCTION("""COMPUTED_VALUE"""),"State of AI Website")</f>
        <v>State of AI Website</v>
      </c>
      <c r="F1112">
        <f>IFERROR(__xludf.DUMMYFUNCTION("""COMPUTED_VALUE"""),2021.0)</f>
        <v>2021</v>
      </c>
      <c r="H1112" s="3" t="str">
        <f>IFERROR(__xludf.DUMMYFUNCTION("""COMPUTED_VALUE"""),"AN #167")</f>
        <v>AN #167</v>
      </c>
      <c r="I1112" t="str">
        <f>IFERROR(__xludf.DUMMYFUNCTION("""COMPUTED_VALUE"""),"Rohin")</f>
        <v>Rohin</v>
      </c>
      <c r="J1112" t="str">
        <f>IFERROR(__xludf.DUMMYFUNCTION("""COMPUTED_VALUE"""),"As with &lt;@past@&gt;(@State of AI@) &lt;@reports@&gt;(@State of AI Report 2020@), I’m not going to summarize the entire thing; instead you get the high-level themes that the authors identified:
1. AI is stepping up in more concrete ways, including in mission criti"&amp;"cal infrastructure.
2. AI-first approaches have taken biology by storm (and we aren’t just talking about AlphaFold).
3. Transformers have emerged as a general purpose architecture for machine learning in many domains, not just NLP.
4. Investors have taken"&amp;" notice, with record funding this year into AI startups, and two first ever IPOs for AI-first drug discovery companies, as well as blockbuster IPOs for data infrastructure and cybersecurity companies that help enterprises retool for the AI-first era.
5. T"&amp;"he under-resourced AI-alignment efforts from key organisations who are advancing the overall field of AI, as well as concerns about datasets used to train AI models and bias in model evaluation benchmarks, raise important questions about how best to chart"&amp;" the progress of AI systems with rapidly advancing capabilities.
6. AI is now an actual arms race rather than a figurative one, with reports of recent use of autonomous weapons by various militaries.
7. Within the US-China rivalry, China's ascension in re"&amp;"search quality and talent training is notable, with Chinese institutions now beating the most prominent Western ones.
8. There is an emergence and nationalisation of large language models.")</f>
        <v>As with &lt;@past@&gt;(@State of AI@) &lt;@reports@&gt;(@State of AI Report 2020@), I’m not going to summarize the entire thing; instead you get the high-level themes that the authors identified:
1. AI is stepping up in more concrete ways, including in mission critical infrastructure.
2. AI-first approaches have taken biology by storm (and we aren’t just talking about AlphaFold).
3. Transformers have emerged as a general purpose architecture for machine learning in many domains, not just NLP.
4. Investors have taken notice, with record funding this year into AI startups, and two first ever IPOs for AI-first drug discovery companies, as well as blockbuster IPOs for data infrastructure and cybersecurity companies that help enterprises retool for the AI-first era.
5. The under-resourced AI-alignment efforts from key organisations who are advancing the overall field of AI, as well as concerns about datasets used to train AI models and bias in model evaluation benchmarks, raise important questions about how best to chart the progress of AI systems with rapidly advancing capabilities.
6. AI is now an actual arms race rather than a figurative one, with reports of recent use of autonomous weapons by various militaries.
7. Within the US-China rivalry, China's ascension in research quality and talent training is notable, with Chinese institutions now beating the most prominent Western ones.
8. There is an emergence and nationalisation of large language models.</v>
      </c>
      <c r="K1112" t="str">
        <f>IFERROR(__xludf.DUMMYFUNCTION("""COMPUTED_VALUE"""),"In &lt;@last year’s report@&gt;(@State of AI Report 2020@), I said that their 8 predictions seemed to be going out on a limb, and that even 67% accuracy woud be pretty impressive. This year, they scored their predictions as 5 “Yes”, 1 “Sort of”, and 2 “No”. Tha"&amp;"t being said, they graded “The first 10 trillion parameter dense model” as “Yes”, I believe on the basis that Microsoft had run a couple of steps of training on a 32 trillion parameter dense model. I definitely interpreted the prediction as saying that a "&amp;"10 trillion parameter model would be trained _to completion_, which I do not think happened publicly, so I’m inclined to give it a “No”. Still, this does seem like a decent track record for what seemed to me to be non-trivial predictions. This year's pred"&amp;"ictions seem similarly ""out on a limb"" as last year's.
This year’s report included one-slide summaries of many papers I’ve summarized before. I only found one major issue -- the slide on &lt;@TruthfulQA@&gt;(@TruthfulQA: Measuring How Models Mimic Human Fals"&amp;"ehoods@) implies that larger language models are less honest _in general_, rather than being more likely to imitate human falsehoods. This is actually a pretty good track record, given the number of things they summarized where I would have noticed if the"&amp;"re were major issues.")</f>
        <v>In &lt;@last year’s report@&gt;(@State of AI Report 2020@), I said that their 8 predictions seemed to be going out on a limb, and that even 67% accuracy woud be pretty impressive. This year, they scored their predictions as 5 “Yes”, 1 “Sort of”, and 2 “No”. That being said, they graded “The first 10 trillion parameter dense model” as “Yes”, I believe on the basis that Microsoft had run a couple of steps of training on a 32 trillion parameter dense model. I definitely interpreted the prediction as saying that a 10 trillion parameter model would be trained _to completion_, which I do not think happened publicly, so I’m inclined to give it a “No”. Still, this does seem like a decent track record for what seemed to me to be non-trivial predictions. This year's predictions seem similarly "out on a limb" as last year's.
This year’s report included one-slide summaries of many papers I’ve summarized before. I only found one major issue -- the slide on &lt;@TruthfulQA@&gt;(@TruthfulQA: Measuring How Models Mimic Human Falsehoods@) implies that larger language models are less honest _in general_, rather than being more likely to imitate human falsehoods. This is actually a pretty good track record, given the number of things they summarized where I would have noticed if there were major issues.</v>
      </c>
    </row>
    <row r="1113">
      <c r="A1113" t="str">
        <f>IFERROR(__xludf.DUMMYFUNCTION("""COMPUTED_VALUE"""),"Miscellaneous (AI)")</f>
        <v>Miscellaneous (AI)</v>
      </c>
      <c r="B1113" t="str">
        <f>IFERROR(__xludf.DUMMYFUNCTION("""COMPUTED_VALUE"""),"")</f>
        <v/>
      </c>
      <c r="C1113" s="3" t="str">
        <f>IFERROR(__xludf.DUMMYFUNCTION("""COMPUTED_VALUE"""),"Neurosymbolic AI: The 3rd Wave")</f>
        <v>Neurosymbolic AI: The 3rd Wave</v>
      </c>
      <c r="D1113" t="str">
        <f>IFERROR(__xludf.DUMMYFUNCTION("""COMPUTED_VALUE"""),"Artur d'Avila Garcez, Luis C. Lamb")</f>
        <v>Artur d'Avila Garcez, Luis C. Lamb</v>
      </c>
      <c r="E1113" t="str">
        <f>IFERROR(__xludf.DUMMYFUNCTION("""COMPUTED_VALUE"""),"arXiv")</f>
        <v>arXiv</v>
      </c>
      <c r="F1113">
        <f>IFERROR(__xludf.DUMMYFUNCTION("""COMPUTED_VALUE"""),2020.0)</f>
        <v>2020</v>
      </c>
      <c r="H1113" s="3" t="str">
        <f>IFERROR(__xludf.DUMMYFUNCTION("""COMPUTED_VALUE"""),"AN #134")</f>
        <v>AN #134</v>
      </c>
      <c r="I1113" t="str">
        <f>IFERROR(__xludf.DUMMYFUNCTION("""COMPUTED_VALUE"""),"Zach")</f>
        <v>Zach</v>
      </c>
      <c r="J1113" t="str">
        <f>IFERROR(__xludf.DUMMYFUNCTION("""COMPUTED_VALUE"""),"The field of neural-symbolic AI is broadly concerned with how to combine the power of discrete symbolic reasoning with the expressivity of neural networks. This article frames the relevance of neural-symbolic reasoning in the context of a big question: wh"&amp;"at are the necessary and sufficient building blocks of AI? The authors address this and argue that AI needs to have both the ability to learn from and make use of experience. In this context, the neural-symbolic approach to AI seeks to establish provable "&amp;"correspondences between neural models and logical representations. This would allow neural systems to generalize beyond their training distributions through neural-reasoning and would constitute significant progress towards AI.
The article surveys the la"&amp;"st 20 years of research on neural-symbolic integration. As a survey, a number of different perspectives on neural-symbolic AI are presented. In particular, the authors tend to see neural-symbolic reasoning as divided into two camps: localist and distribut"&amp;"ed. Localist approaches assign definite identifiers to concepts while distributed representations make use of continuous-valued vectors to work with concepts. In the later parts of the article, promising approaches, current challenges, and directions for "&amp;"future work are discussed.
Recognizing 'patterns' in neural networks constitutes a localist approach. This relates to explainable AI (XAI) because recognizing how a given neural model makes a decision is a pre-requisite for interpretability. One justific"&amp;"ation for this approach is that codifying patterns in this way allows systems to avoid reinventing the wheel by approximating functions that are already well-known. On the other hand, converting logical relations (if-then) into representations compatible "&amp;"with neural models constitutes a distributed approach. One distributed method the authors highlight is the conversion of statements in first-order logic to vector embeddings. Specifically, Logic Tensor Networks generalize this method by grounding logical "&amp;"concepts onto tensors and then using these embeddings as constraints on the resulting logical embedding.
Despite the promising approaches to neural-symbolic reasoning, there remain many challenges. Somewhat fundamentally, formal reasoning systems tend to"&amp;" struggle with existential quantifiers while learning systems tend to struggle with universal quantification. Thus, the way forward is likely a combination of localist and distributed approaches. Another challenging area lies in XAI. Early methods for XAI"&amp;" were evaluated according to fidelity: measures of the accuracy of extracted knowledge in relation to the network rather than the data. However, many recent methods have opted to focus on explaining data rather than the internal workings of the model. Thi"&amp;"s has resulted in a movement away from fidelity which the authors argue is the wrong approach.
")</f>
        <v>The field of neural-symbolic AI is broadly concerned with how to combine the power of discrete symbolic reasoning with the expressivity of neural networks. This article frames the relevance of neural-symbolic reasoning in the context of a big question: what are the necessary and sufficient building blocks of AI? The authors address this and argue that AI needs to have both the ability to learn from and make use of experience. In this context, the neural-symbolic approach to AI seeks to establish provable correspondences between neural models and logical representations. This would allow neural systems to generalize beyond their training distributions through neural-reasoning and would constitute significant progress towards AI.
The article surveys the last 20 years of research on neural-symbolic integration. As a survey, a number of different perspectives on neural-symbolic AI are presented. In particular, the authors tend to see neural-symbolic reasoning as divided into two camps: localist and distributed. Localist approaches assign definite identifiers to concepts while distributed representations make use of continuous-valued vectors to work with concepts. In the later parts of the article, promising approaches, current challenges, and directions for future work are discussed.
Recognizing 'patterns' in neural networks constitutes a localist approach. This relates to explainable AI (XAI) because recognizing how a given neural model makes a decision is a pre-requisite for interpretability. One justification for this approach is that codifying patterns in this way allows systems to avoid reinventing the wheel by approximating functions that are already well-known. On the other hand, converting logical relations (if-then) into representations compatible with neural models constitutes a distributed approach. One distributed method the authors highlight is the conversion of statements in first-order logic to vector embeddings. Specifically, Logic Tensor Networks generalize this method by grounding logical concepts onto tensors and then using these embeddings as constraints on the resulting logical embedding.
Despite the promising approaches to neural-symbolic reasoning, there remain many challenges. Somewhat fundamentally, formal reasoning systems tend to struggle with existential quantifiers while learning systems tend to struggle with universal quantification. Thus, the way forward is likely a combination of localist and distributed approaches. Another challenging area lies in XAI. Early methods for XAI were evaluated according to fidelity: measures of the accuracy of extracted knowledge in relation to the network rather than the data. However, many recent methods have opted to focus on explaining data rather than the internal workings of the model. This has resulted in a movement away from fidelity which the authors argue is the wrong approach.
</v>
      </c>
      <c r="K1113" t="str">
        <f>IFERROR(__xludf.DUMMYFUNCTION("""COMPUTED_VALUE"""),"The article does a reasonably good job of giving equal attention to different viewpoints on neural-symbolic integration. While the article does focus on the localist vs. distributed distinction, I also find it to be broadly useful. Personally, after readi"&amp;"ng the article I wonder if 'reasoning' needs to be hand-set into a neural network at all. Is there really something inherently different about reasoning such that it wouldn't just emerge from any sufficiently powerful forward predictive model? The authors"&amp;" make a good point regarding XAI and the importance of fidelity. I agree that it's important that our explanations specifically fit the model rather than interpret the data. However, from a performance perspective, I don't feel I have a good understanding"&amp;" of why the abstraction of a symbol/logic should occur outside the neural network. This leaves me thinking [**the bitter lesson**](http://www.incompleteideas.net/IncIdeas/BitterLesson.html) ([**AN #49**](https://mailchi.mp/efed27be268a/alignment-newslette"&amp;"r-49)) will apply to neural-symbolic approaches that try to extract symbols or apply reason using human features (containers/first-order logic).
**Rohin's opinion:** While I do think that you can get human-level reasoning (including e.g. causality) by sc"&amp;"aling up neural networks with more diverse data and environments, this does _not_ mean that neural-symbolic methods are irrelevant. I don’t focus on them much in this newsletter because 1) they don’t seem that relevant to AI alignment in particular (just "&amp;"as I don’t focus much on e.g. neural architecture search) and 2) I don’t know as much about them, but this should not be taken as a prediction that they won’t matter. I agree with Zach that the bitter lesson will apply, in the sense that for a specific ta"&amp;"sk as we scale up we will tend to reproduce neural-symbolic approaches with end-to-end approaches. However, it could still be the case that for the most challenging and/or diverse tasks, neural-symbolic approaches will provide useful knowledge / inductive"&amp;" bias that make them the best at a given time, even though vanilla neural nets could scale better (if they had the data, memory and compute).")</f>
        <v>The article does a reasonably good job of giving equal attention to different viewpoints on neural-symbolic integration. While the article does focus on the localist vs. distributed distinction, I also find it to be broadly useful. Personally, after reading the article I wonder if 'reasoning' needs to be hand-set into a neural network at all. Is there really something inherently different about reasoning such that it wouldn't just emerge from any sufficiently powerful forward predictive model? The authors make a good point regarding XAI and the importance of fidelity. I agree that it's important that our explanations specifically fit the model rather than interpret the data. However, from a performance perspective, I don't feel I have a good understanding of why the abstraction of a symbol/logic should occur outside the neural network. This leaves me thinking [**the bitter lesson**](http://www.incompleteideas.net/IncIdeas/BitterLesson.html) ([**AN #49**](https://mailchi.mp/efed27be268a/alignment-newsletter-49)) will apply to neural-symbolic approaches that try to extract symbols or apply reason using human features (containers/first-order logic).
**Rohin's opinion:** While I do think that you can get human-level reasoning (including e.g. causality) by scaling up neural networks with more diverse data and environments, this does _not_ mean that neural-symbolic methods are irrelevant. I don’t focus on them much in this newsletter because 1) they don’t seem that relevant to AI alignment in particular (just as I don’t focus much on e.g. neural architecture search) and 2) I don’t know as much about them, but this should not be taken as a prediction that they won’t matter. I agree with Zach that the bitter lesson will apply, in the sense that for a specific task as we scale up we will tend to reproduce neural-symbolic approaches with end-to-end approaches. However, it could still be the case that for the most challenging and/or diverse tasks, neural-symbolic approaches will provide useful knowledge / inductive bias that make them the best at a given time, even though vanilla neural nets could scale better (if they had the data, memory and compute).</v>
      </c>
      <c r="M1113" t="str">
        <f>IFERROR(__xludf.DUMMYFUNCTION("""COMPUTED_VALUE"""),"[Logic Tensor Networks](https://arxiv.org/abs/1606.04422), [The Bitter Lesson](http://www.incompleteideas.net/IncIdeas/BitterLesson.html)")</f>
        <v>[Logic Tensor Networks](https://arxiv.org/abs/1606.04422), [The Bitter Lesson](http://www.incompleteideas.net/IncIdeas/BitterLesson.html)</v>
      </c>
    </row>
    <row r="1114">
      <c r="A1114" t="str">
        <f>IFERROR(__xludf.DUMMYFUNCTION("""COMPUTED_VALUE"""),"Miscellaneous (AI)")</f>
        <v>Miscellaneous (AI)</v>
      </c>
      <c r="B1114" t="str">
        <f>IFERROR(__xludf.DUMMYFUNCTION("""COMPUTED_VALUE"""),"")</f>
        <v/>
      </c>
      <c r="C1114" s="3" t="str">
        <f>IFERROR(__xludf.DUMMYFUNCTION("""COMPUTED_VALUE"""),"State of AI Report 2020")</f>
        <v>State of AI Report 2020</v>
      </c>
      <c r="D1114" t="str">
        <f>IFERROR(__xludf.DUMMYFUNCTION("""COMPUTED_VALUE"""),"Nathan Benaich and Ian Hogarth")</f>
        <v>Nathan Benaich and Ian Hogarth</v>
      </c>
      <c r="F1114">
        <f>IFERROR(__xludf.DUMMYFUNCTION("""COMPUTED_VALUE"""),2020.0)</f>
        <v>2020</v>
      </c>
      <c r="H1114" s="3" t="str">
        <f>IFERROR(__xludf.DUMMYFUNCTION("""COMPUTED_VALUE"""),"AN #120")</f>
        <v>AN #120</v>
      </c>
      <c r="I1114" t="str">
        <f>IFERROR(__xludf.DUMMYFUNCTION("""COMPUTED_VALUE"""),"Rohin")</f>
        <v>Rohin</v>
      </c>
      <c r="J1114" t="str">
        <f>IFERROR(__xludf.DUMMYFUNCTION("""COMPUTED_VALUE"""),"The third &lt;@State of AI@&gt; report is out! I won’t go into details here since there is really quite a lot of information, but I recommend scrolling through the presentation to get a sense of what’s been going on. I was particularly interested in their 8 pre"&amp;"dictions for the next year: most of them seemed like they were going out on a limb, predicting something that isn’t just “the default continues”. On last year’s 6 predictions, 4 were correct, 1 was wrong, and 1 was technically wrong but quite close to bei"&amp;"ng correct;  even this 67% accuracy would be pretty impressive on this year’s 8 predictions. (It does seem to me that last year’s predictions were more run-of-the-mill, but that might just be hindsight bias.)")</f>
        <v>The third &lt;@State of AI@&gt; report is out! I won’t go into details here since there is really quite a lot of information, but I recommend scrolling through the presentation to get a sense of what’s been going on. I was particularly interested in their 8 predictions for the next year: most of them seemed like they were going out on a limb, predicting something that isn’t just “the default continues”. On last year’s 6 predictions, 4 were correct, 1 was wrong, and 1 was technically wrong but quite close to being correct;  even this 67% accuracy would be pretty impressive on this year’s 8 predictions. (It does seem to me that last year’s predictions were more run-of-the-mill, but that might just be hindsight bias.)</v>
      </c>
    </row>
    <row r="1115">
      <c r="A1115" t="str">
        <f>IFERROR(__xludf.DUMMYFUNCTION("""COMPUTED_VALUE"""),"Miscellaneous (AI)")</f>
        <v>Miscellaneous (AI)</v>
      </c>
      <c r="B1115" t="str">
        <f>IFERROR(__xludf.DUMMYFUNCTION("""COMPUTED_VALUE"""),"")</f>
        <v/>
      </c>
      <c r="C1115" s="3" t="str">
        <f>IFERROR(__xludf.DUMMYFUNCTION("""COMPUTED_VALUE"""),"Dark, Beyond Deep: A Paradigm Shift to Cognitive AI with Humanlike Common Sense")</f>
        <v>Dark, Beyond Deep: A Paradigm Shift to Cognitive AI with Humanlike Common Sense</v>
      </c>
      <c r="D1115" t="str">
        <f>IFERROR(__xludf.DUMMYFUNCTION("""COMPUTED_VALUE"""),"Yixin Zhu, Tao Gao, Lifeng Fan, Siyuan Huang, Mark Edmonds, Hangxin Liu, Feng Gao, Chi Zhang, Siyuan Qi, Ying Nian Wu, Joshua B. Tenenbaum, Song-Chun Zhu")</f>
        <v>Yixin Zhu, Tao Gao, Lifeng Fan, Siyuan Huang, Mark Edmonds, Hangxin Liu, Feng Gao, Chi Zhang, Siyuan Qi, Ying Nian Wu, Joshua B. Tenenbaum, Song-Chun Zhu</v>
      </c>
      <c r="E1115" t="str">
        <f>IFERROR(__xludf.DUMMYFUNCTION("""COMPUTED_VALUE"""),"Author's Website")</f>
        <v>Author's Website</v>
      </c>
      <c r="F1115">
        <f>IFERROR(__xludf.DUMMYFUNCTION("""COMPUTED_VALUE"""),2020.0)</f>
        <v>2020</v>
      </c>
      <c r="H1115" s="3" t="str">
        <f>IFERROR(__xludf.DUMMYFUNCTION("""COMPUTED_VALUE"""),"AN #119")</f>
        <v>AN #119</v>
      </c>
      <c r="I1115" t="str">
        <f>IFERROR(__xludf.DUMMYFUNCTION("""COMPUTED_VALUE"""),"Rohin")</f>
        <v>Rohin</v>
      </c>
      <c r="J1115" t="str">
        <f>IFERROR(__xludf.DUMMYFUNCTION("""COMPUTED_VALUE"""),"This paper argues that current computer vision research focuses too much on a “big data for small tasks” paradigm that focuses only on the “what” and “where” of images. More work should be done on a “small data for big tasks” paradigm that focuses more on"&amp;" the “how” and “why” of images. These “how” and “why” questions focus attention on details of an image that may not be directly present in the pixels of the image, which the authors term “dark” data (analogously to dark matter in physics, whose existence "&amp;"is inferred, not observed). For example, by asking why a human is holding a kettle with the spout pointing down, we can infer that the kettle contains liquid that will soon come out of the kettle, even though there are no pixels that directly correspond t"&amp;"o the liquid.
The authors propose five important areas for further research, abbreviated FPICU, and do a literature review within each one:
1. **Functionality:** Many objects, especially those designed by humans, can be better understood by focusing on w"&amp;"hat functionalities they have.
2. **Physics:** Cognitive science has shown that humans make extensive use of _intuitive physics_ to understand the world. For example, simply reasoning about whether objects would fall can provide a lot of constraints on a "&amp;"visual scene; it would be weird to see an upright cup floating in the air.
3. **Intent:** The world is filled with goal-directed agents, and so understanding the world requires us to infer the goals that various agents have. This is a capability humans ge"&amp;"t very quickly -- at eighteen months of age, children can infer and imitate the intended goal of an action, even if the action fails to achieve the goal.
4. **Causality:** Much has already been written about causality; I will not bore you with it again. T"&amp;"he authors see this as the most important factor that underlies the other four areas.
5. **Utility:** I didn’t really get how this differed from intent. The section in the paper discusses utility theory, and then talks about work that infers utility funct"&amp;"ions from behavior.")</f>
        <v>This paper argues that current computer vision research focuses too much on a “big data for small tasks” paradigm that focuses only on the “what” and “where” of images. More work should be done on a “small data for big tasks” paradigm that focuses more on the “how” and “why” of images. These “how” and “why” questions focus attention on details of an image that may not be directly present in the pixels of the image, which the authors term “dark” data (analogously to dark matter in physics, whose existence is inferred, not observed). For example, by asking why a human is holding a kettle with the spout pointing down, we can infer that the kettle contains liquid that will soon come out of the kettle, even though there are no pixels that directly correspond to the liquid.
The authors propose five important areas for further research, abbreviated FPICU, and do a literature review within each one:
1. **Functionality:** Many objects, especially those designed by humans, can be better understood by focusing on what functionalities they have.
2. **Physics:** Cognitive science has shown that humans make extensive use of _intuitive physics_ to understand the world. For example, simply reasoning about whether objects would fall can provide a lot of constraints on a visual scene; it would be weird to see an upright cup floating in the air.
3. **Intent:** The world is filled with goal-directed agents, and so understanding the world requires us to infer the goals that various agents have. This is a capability humans get very quickly -- at eighteen months of age, children can infer and imitate the intended goal of an action, even if the action fails to achieve the goal.
4. **Causality:** Much has already been written about causality; I will not bore you with it again. The authors see this as the most important factor that underlies the other four areas.
5. **Utility:** I didn’t really get how this differed from intent. The section in the paper discusses utility theory, and then talks about work that infers utility functions from behavior.</v>
      </c>
      <c r="K1115" t="str">
        <f>IFERROR(__xludf.DUMMYFUNCTION("""COMPUTED_VALUE"""),"I really liked the super detailed description of a large number of things that humans can do but current vision systems cannot do; it feels like I have a much more detailed sense now of what is missing from current approaches to vision. While the paper ha"&amp;"s a huge 491 references backing up its claims, I’m not sure how relevant all of them are. For example, the reference to the revelation principle didn’t really seem to justify the associated point. As a counterpoint, the discussion on utility functions in "&amp;"various fields was excellent. Unfortunately I’m not familiar enough with most of the other areas to spot check them.
I read this paper because I heard that the last author, Song-Chun Zhu, was leaving his job as a professor at UCLA to set up a research in"&amp;"stitute on “general AI” in Beijing, and I wanted to get a sense of what the institute was likely to work on. It seems like the institute will probably pursue an agenda that focuses on building the five particular facets of intelligence into AI systems, as"&amp;" a form of inductive bias: this is how you’d get to a “small data for big tasks” paradigm. If that’s right, it would be in stark contrast to the neural network approaches taken by most of industry, and the biology-inspired approaches taken by (say) the Hu"&amp;"man Brain Project, but it would feel quite aligned with the views of many academics (like Josh Tenenbaum, who is a coauthor on this paper).")</f>
        <v>I really liked the super detailed description of a large number of things that humans can do but current vision systems cannot do; it feels like I have a much more detailed sense now of what is missing from current approaches to vision. While the paper has a huge 491 references backing up its claims, I’m not sure how relevant all of them are. For example, the reference to the revelation principle didn’t really seem to justify the associated point. As a counterpoint, the discussion on utility functions in various fields was excellent. Unfortunately I’m not familiar enough with most of the other areas to spot check them.
I read this paper because I heard that the last author, Song-Chun Zhu, was leaving his job as a professor at UCLA to set up a research institute on “general AI” in Beijing, and I wanted to get a sense of what the institute was likely to work on. It seems like the institute will probably pursue an agenda that focuses on building the five particular facets of intelligence into AI systems, as a form of inductive bias: this is how you’d get to a “small data for big tasks” paradigm. If that’s right, it would be in stark contrast to the neural network approaches taken by most of industry, and the biology-inspired approaches taken by (say) the Human Brain Project, but it would feel quite aligned with the views of many academics (like Josh Tenenbaum, who is a coauthor on this paper).</v>
      </c>
    </row>
    <row r="1116">
      <c r="A1116" t="str">
        <f>IFERROR(__xludf.DUMMYFUNCTION("""COMPUTED_VALUE"""),"Miscellaneous (AI)")</f>
        <v>Miscellaneous (AI)</v>
      </c>
      <c r="B1116" t="str">
        <f>IFERROR(__xludf.DUMMYFUNCTION("""COMPUTED_VALUE"""),"")</f>
        <v/>
      </c>
      <c r="C1116" s="3" t="str">
        <f>IFERROR(__xludf.DUMMYFUNCTION("""COMPUTED_VALUE"""),"PPO-CMA: Proximal Policy Optimization with Covariance Matrix Adaptation")</f>
        <v>PPO-CMA: Proximal Policy Optimization with Covariance Matrix Adaptation</v>
      </c>
      <c r="D1116" t="str">
        <f>IFERROR(__xludf.DUMMYFUNCTION("""COMPUTED_VALUE"""),"Perttu Hämäläinen, Amin Babadi, Xiaoxiao Ma, Jaakko Lehtinen")</f>
        <v>Perttu Hämäläinen, Amin Babadi, Xiaoxiao Ma, Jaakko Lehtinen</v>
      </c>
      <c r="E1116" t="str">
        <f>IFERROR(__xludf.DUMMYFUNCTION("""COMPUTED_VALUE"""),"arXiv")</f>
        <v>arXiv</v>
      </c>
      <c r="F1116">
        <f>IFERROR(__xludf.DUMMYFUNCTION("""COMPUTED_VALUE"""),2018.0)</f>
        <v>2018</v>
      </c>
      <c r="H1116" s="3" t="str">
        <f>IFERROR(__xludf.DUMMYFUNCTION("""COMPUTED_VALUE"""),"AN #28")</f>
        <v>AN #28</v>
      </c>
    </row>
    <row r="1117">
      <c r="A1117" t="str">
        <f>IFERROR(__xludf.DUMMYFUNCTION("""COMPUTED_VALUE"""),"Miscellaneous (alignment)")</f>
        <v>Miscellaneous (alignment)</v>
      </c>
      <c r="B1117" t="str">
        <f>IFERROR(__xludf.DUMMYFUNCTION("""COMPUTED_VALUE"""),"Highlight")</f>
        <v>Highlight</v>
      </c>
      <c r="C1117" s="3" t="str">
        <f>IFERROR(__xludf.DUMMYFUNCTION("""COMPUTED_VALUE"""),"Predicting Slow Judgments")</f>
        <v>Predicting Slow Judgments</v>
      </c>
      <c r="D1117" t="str">
        <f>IFERROR(__xludf.DUMMYFUNCTION("""COMPUTED_VALUE"""),"Andreas Stuhlmueller, Owain Evans, Tom McGrath, Zac Kenton, Chris Cundy, Ryan Carey, Andrew Schreiber, Neal Jean, Girish Sastry")</f>
        <v>Andreas Stuhlmueller, Owain Evans, Tom McGrath, Zac Kenton, Chris Cundy, Ryan Carey, Andrew Schreiber, Neal Jean, Girish Sastry</v>
      </c>
      <c r="E1117" t="str">
        <f>IFERROR(__xludf.DUMMYFUNCTION("""COMPUTED_VALUE"""),"N/A")</f>
        <v>N/A</v>
      </c>
      <c r="F1117">
        <f>IFERROR(__xludf.DUMMYFUNCTION("""COMPUTED_VALUE"""),2018.0)</f>
        <v>2018</v>
      </c>
      <c r="H1117" s="3" t="str">
        <f>IFERROR(__xludf.DUMMYFUNCTION("""COMPUTED_VALUE"""),"Recon #4")</f>
        <v>Recon #4</v>
      </c>
      <c r="I1117" t="str">
        <f>IFERROR(__xludf.DUMMYFUNCTION("""COMPUTED_VALUE"""),"Rohin")</f>
        <v>Rohin</v>
      </c>
      <c r="J1117" t="str">
        <f>IFERROR(__xludf.DUMMYFUNCTION("""COMPUTED_VALUE"""),"A joint project between Ought and FHI. The goal is to predict judgments that humans make after considering a question for many hours. However, that data is expensive to collect, so they also collect a lot of labels of how humans make judgments in limited "&amp;"time, and use those as noisy labels for the slow, deliberative judgments. They have just released Think Again (https://thinkagain.ought.org/), where you can make fast and slow judgments on Fermi estimates, political statements, or ML papers. They are espe"&amp;"cially looking for people to make judgments on ML papers. This will take an hour or two, but they'll recommend papers that they think you'll like based on your judgments of the papers they showed you.")</f>
        <v>A joint project between Ought and FHI. The goal is to predict judgments that humans make after considering a question for many hours. However, that data is expensive to collect, so they also collect a lot of labels of how humans make judgments in limited time, and use those as noisy labels for the slow, deliberative judgments. They have just released Think Again (https://thinkagain.ought.org/), where you can make fast and slow judgments on Fermi estimates, political statements, or ML papers. They are especially looking for people to make judgments on ML papers. This will take an hour or two, but they'll recommend papers that they think you'll like based on your judgments of the papers they showed you.</v>
      </c>
      <c r="K1117" t="str">
        <f>IFERROR(__xludf.DUMMYFUNCTION("""COMPUTED_VALUE"""),"I've summarized the post pretty well, I think -- mainly I'd encourage you to play the Think Again game, it's pretty fun and you generate useful data for them.")</f>
        <v>I've summarized the post pretty well, I think -- mainly I'd encourage you to play the Think Again game, it's pretty fun and you generate useful data for them.</v>
      </c>
    </row>
    <row r="1118">
      <c r="A1118" t="str">
        <f>IFERROR(__xludf.DUMMYFUNCTION("""COMPUTED_VALUE"""),"Miscellaneous (Alignment)")</f>
        <v>Miscellaneous (Alignment)</v>
      </c>
      <c r="B1118" t="str">
        <f>IFERROR(__xludf.DUMMYFUNCTION("""COMPUTED_VALUE"""),"Highlight")</f>
        <v>Highlight</v>
      </c>
      <c r="C1118" s="3" t="str">
        <f>IFERROR(__xludf.DUMMYFUNCTION("""COMPUTED_VALUE"""),"The Precipice: Existential Risk and the Future of Humanity")</f>
        <v>The Precipice: Existential Risk and the Future of Humanity</v>
      </c>
      <c r="D1118" t="str">
        <f>IFERROR(__xludf.DUMMYFUNCTION("""COMPUTED_VALUE"""),"Toby Ord")</f>
        <v>Toby Ord</v>
      </c>
      <c r="E1118" t="str">
        <f>IFERROR(__xludf.DUMMYFUNCTION("""COMPUTED_VALUE"""),"Amazon")</f>
        <v>Amazon</v>
      </c>
      <c r="F1118">
        <f>IFERROR(__xludf.DUMMYFUNCTION("""COMPUTED_VALUE"""),2020.0)</f>
        <v>2020</v>
      </c>
      <c r="H1118" s="3" t="str">
        <f>IFERROR(__xludf.DUMMYFUNCTION("""COMPUTED_VALUE"""),"AN #93")</f>
        <v>AN #93</v>
      </c>
      <c r="I1118" t="str">
        <f>IFERROR(__xludf.DUMMYFUNCTION("""COMPUTED_VALUE"""),"Rohin")</f>
        <v>Rohin</v>
      </c>
      <c r="J1118" t="str">
        <f>IFERROR(__xludf.DUMMYFUNCTION("""COMPUTED_VALUE"""),"This book argues that humanity is in a special stage of its development: it is on the _precipice_, a narrow time during which we have enough power to destroy ourselves, but not enough wisdom to have mitigated such risks. It first argues that existential r"&amp;"isk would be very important to reduce (for all the standard reasons), and then considers many different kinds of existential risks, finding that natural ones (asteroids, supervolcanoes, stellar explosions) are small relative to anthropogenic risks, both c"&amp;"urrent (nuclear war, climate change, environmental destruction) and future (engineered pandemics, unaligned AI, dystopian scenarios). I'll focus primarily on the part about AI risk, as well as some of the comments on existential risk in general.
The AI r"&amp;"isk presentation in the book was similar to that in [Superintelligence](https://www.amazon.com/Superintelligence-Dangers-Strategies-Nick-Bostrom/dp/1501227742): it argues for risk from goal-directed AI systems (though the terminology used in the book is d"&amp;"ifferent). It first demonstrates the strong progress in deep learning, and then notes that expert surveys estimate that AGI is more likely than not to arrive in the next century. It then notes that we don't know how to specify a reward function for an AI "&amp;"system (even with e.g. inverse reinforcement learning), and to the extent that we get it wrong, it pits us in competition against a superintelligent adversary. Ideas like switching off the AI system wouldn't work, due to convergent instrumental subgoals l"&amp;"ike survival.
It also considers some obvious objections, including the very reasonable objection that ""AI researchers won't build something that will kill them"". However, Toby is still worried, citing that due to the unilateralist curse unaligned AGI m"&amp;"ight still be built by the most optimistic researchers, and in any case the personal benefits to the researchers might justify the risk of misalignment to them personally (though it would not be justified for the world as a whole).
The book then spends s"&amp;"ome time discussing _risk factors_, which are things that do not _directly_ lead to existential risks, but indirectly _exacerbate_ other existential risks, making them more likely. For example, great power war seems like a risk factor: it isn't going to c"&amp;"ause an existential catastrophe by itself, but it increases the likelihood that we use risky technologies like bioweapons and AI that could then cause an existential catastrophe.
The book also has lots of useful insights about existential risks in genera"&amp;"l, which then also apply to AI risk: for example, risks that strike sooner should be prioritized (since the later risks can be dealt with later), risks that are more sudden will be more important to focus on (since we won't be able to build support as the"&amp;" risk gradually comes in), and risks that are ""sharper"" will be more neglected since there won't be as many ""warning shots"".")</f>
        <v>This book argues that humanity is in a special stage of its development: it is on the _precipice_, a narrow time during which we have enough power to destroy ourselves, but not enough wisdom to have mitigated such risks. It first argues that existential risk would be very important to reduce (for all the standard reasons), and then considers many different kinds of existential risks, finding that natural ones (asteroids, supervolcanoes, stellar explosions) are small relative to anthropogenic risks, both current (nuclear war, climate change, environmental destruction) and future (engineered pandemics, unaligned AI, dystopian scenarios). I'll focus primarily on the part about AI risk, as well as some of the comments on existential risk in general.
The AI risk presentation in the book was similar to that in [Superintelligence](https://www.amazon.com/Superintelligence-Dangers-Strategies-Nick-Bostrom/dp/1501227742): it argues for risk from goal-directed AI systems (though the terminology used in the book is different). It first demonstrates the strong progress in deep learning, and then notes that expert surveys estimate that AGI is more likely than not to arrive in the next century. It then notes that we don't know how to specify a reward function for an AI system (even with e.g. inverse reinforcement learning), and to the extent that we get it wrong, it pits us in competition against a superintelligent adversary. Ideas like switching off the AI system wouldn't work, due to convergent instrumental subgoals like survival.
It also considers some obvious objections, including the very reasonable objection that "AI researchers won't build something that will kill them". However, Toby is still worried, citing that due to the unilateralist curse unaligned AGI might still be built by the most optimistic researchers, and in any case the personal benefits to the researchers might justify the risk of misalignment to them personally (though it would not be justified for the world as a whole).
The book then spends some time discussing _risk factors_, which are things that do not _directly_ lead to existential risks, but indirectly _exacerbate_ other existential risks, making them more likely. For example, great power war seems like a risk factor: it isn't going to cause an existential catastrophe by itself, but it increases the likelihood that we use risky technologies like bioweapons and AI that could then cause an existential catastrophe.
The book also has lots of useful insights about existential risks in general, which then also apply to AI risk: for example, risks that strike sooner should be prioritized (since the later risks can be dealt with later), risks that are more sudden will be more important to focus on (since we won't be able to build support as the risk gradually comes in), and risks that are "sharper" will be more neglected since there won't be as many "warning shots".</v>
      </c>
      <c r="K1118" t="str">
        <f>IFERROR(__xludf.DUMMYFUNCTION("""COMPUTED_VALUE"""),"I enjoyed this book more than I thought I would: it had a lot of novel content for me, and I liked the explanations and comparisons across different kinds of existential risks (something that I hadn't really seen a single unified perspective on), and I es"&amp;"pecially liked the constant focus on what we do and don't know -- it felt more like a research paper (albeit in a conversational style) than a popular book, and was similarly information-dense.
On the AI part specifically, I liked that one of the endnote"&amp;"s cashed out powerful AI systems using model-based RL: this indeed seems like the thing that is closest to the classic expected utility maximizer, so the conclusions make a bit more sense. You still have to wonder how exactly the model is learned, and how"&amp;" exactly the AI system becomes good at using the model to find good actions, but at least under those two assumptions you would have all the standard convergent instrumental subgoals. In contrast, with model-free RL, the default expectation is that the RL"&amp;" agent needs to try things multiple times before it can learn to do them again, so it's less clear how it starts doing novel things. It seems that model-based and model-free RL are pretty similar so the distinction doesn't matter in practice, but at least"&amp;" conceptually it's a lot easier to reason about the model-based system (at least in the context of AI risk).
Toby gives a 1 in 10 chance of existential catastrophe from AI in the next century (more than half of his total of 1 in 6), which decomposes into"&amp;" a 1 in 2 chance of AGI this century, and 1 in 5 of it leading to existential catastrophe. This is a bit more pessimistic than Paul's &lt;@estimate@&gt;(@Conversation with Paul Christiano@) of 10% EV loss (which was over all time, not just this century), which "&amp;"is in turn a bit more pessimistic than the 1 in 10 chance that I &lt;@estimated@&gt;(@Conversation with Rohin Shah@) (and am now forever anchored on), which was over all time _and_ conditional on no additional effort from longtermists. But I wouldn't read too m"&amp;"uch into this -- 10 is a nice round number, and that probably played a big role in why I chose it. I certainly don't feel calibrated enough to easily tell the difference between 1 in 5 and 1 in 20 on a question of this complexity.
I am very happy about t"&amp;"his trend of people actually stating numbers: it's a lot easier to narrow down on the important disagreements when people put down numbers, even if they're completely made up. I'd really like to see numbers from people who have larger disagreements (as I "&amp;"expect would be the case with e.g. MIRI researchers).")</f>
        <v>I enjoyed this book more than I thought I would: it had a lot of novel content for me, and I liked the explanations and comparisons across different kinds of existential risks (something that I hadn't really seen a single unified perspective on), and I especially liked the constant focus on what we do and don't know -- it felt more like a research paper (albeit in a conversational style) than a popular book, and was similarly information-dense.
On the AI part specifically, I liked that one of the endnotes cashed out powerful AI systems using model-based RL: this indeed seems like the thing that is closest to the classic expected utility maximizer, so the conclusions make a bit more sense. You still have to wonder how exactly the model is learned, and how exactly the AI system becomes good at using the model to find good actions, but at least under those two assumptions you would have all the standard convergent instrumental subgoals. In contrast, with model-free RL, the default expectation is that the RL agent needs to try things multiple times before it can learn to do them again, so it's less clear how it starts doing novel things. It seems that model-based and model-free RL are pretty similar so the distinction doesn't matter in practice, but at least conceptually it's a lot easier to reason about the model-based system (at least in the context of AI risk).
Toby gives a 1 in 10 chance of existential catastrophe from AI in the next century (more than half of his total of 1 in 6), which decomposes into a 1 in 2 chance of AGI this century, and 1 in 5 of it leading to existential catastrophe. This is a bit more pessimistic than Paul's &lt;@estimate@&gt;(@Conversation with Paul Christiano@) of 10% EV loss (which was over all time, not just this century), which is in turn a bit more pessimistic than the 1 in 10 chance that I &lt;@estimated@&gt;(@Conversation with Rohin Shah@) (and am now forever anchored on), which was over all time _and_ conditional on no additional effort from longtermists. But I wouldn't read too much into this -- 10 is a nice round number, and that probably played a big role in why I chose it. I certainly don't feel calibrated enough to easily tell the difference between 1 in 5 and 1 in 20 on a question of this complexity.
I am very happy about this trend of people actually stating numbers: it's a lot easier to narrow down on the important disagreements when people put down numbers, even if they're completely made up. I'd really like to see numbers from people who have larger disagreements (as I expect would be the case with e.g. MIRI researchers).</v>
      </c>
      <c r="M1118" s="3" t="str">
        <f>IFERROR(__xludf.DUMMYFUNCTION("""COMPUTED_VALUE"""),"FLI Podcast: The Precipice: Existential Risk and the Future of Humanity with Toby Ord")</f>
        <v>FLI Podcast: The Precipice: Existential Risk and the Future of Humanity with Toby Ord</v>
      </c>
    </row>
    <row r="1119">
      <c r="A1119" t="str">
        <f>IFERROR(__xludf.DUMMYFUNCTION("""COMPUTED_VALUE"""),"Miscellaneous (Alignment)")</f>
        <v>Miscellaneous (Alignment)</v>
      </c>
      <c r="B1119" t="str">
        <f>IFERROR(__xludf.DUMMYFUNCTION("""COMPUTED_VALUE"""),"Highlight")</f>
        <v>Highlight</v>
      </c>
      <c r="C1119" s="3" t="str">
        <f>IFERROR(__xludf.DUMMYFUNCTION("""COMPUTED_VALUE"""),"Artificial Intelligence, Values and Alignment")</f>
        <v>Artificial Intelligence, Values and Alignment</v>
      </c>
      <c r="D1119" t="str">
        <f>IFERROR(__xludf.DUMMYFUNCTION("""COMPUTED_VALUE"""),"Iason Gabriel")</f>
        <v>Iason Gabriel</v>
      </c>
      <c r="E1119" t="str">
        <f>IFERROR(__xludf.DUMMYFUNCTION("""COMPUTED_VALUE"""),"arXiv")</f>
        <v>arXiv</v>
      </c>
      <c r="F1119">
        <f>IFERROR(__xludf.DUMMYFUNCTION("""COMPUTED_VALUE"""),2020.0)</f>
        <v>2020</v>
      </c>
      <c r="H1119" s="3" t="str">
        <f>IFERROR(__xludf.DUMMYFUNCTION("""COMPUTED_VALUE"""),"AN #85")</f>
        <v>AN #85</v>
      </c>
      <c r="I1119" t="str">
        <f>IFERROR(__xludf.DUMMYFUNCTION("""COMPUTED_VALUE"""),"Rohin")</f>
        <v>Rohin</v>
      </c>
      <c r="J1119" t="str">
        <f>IFERROR(__xludf.DUMMYFUNCTION("""COMPUTED_VALUE"""),"This paper from a DeepMind author considers what it would mean to align an AI system. It first makes a distinction between the _technical_ and _normative_ aspects of the AI alignment problem. Roughly, the normative aspect asks, ""what should our AI system"&amp;"s do?"", while the technical aspect asks, ""given we know what our AI systems should do, how do we get them to do it?"". The author argues that these two questions are interrelated and should not be solved separately: for example, the current success of d"&amp;"eep reinforcement learning in which we _maximize expected reward_ suggests that it would be much easier to align AI to a utilitarian framework in which we _maximize expected utility_, as opposed to a deontological or Kantian framework.
The paper then exp"&amp;"lores the normative aspect, in both the single human and multiple humans case. When there's only one human, we must grapple with the problem of what to align our AI system to. The paper considers six possibilities: instructions, expressed intentions, reve"&amp;"aled preferences, informed preferences, interests, and values, but doesn't come to a conclusion about which is best. When there are multiple humans, we must also deal with the fact that different people disagree on values. The paper analyzes three possibi"&amp;"lities: aligning to a global notion of morality (e.g. ""basic human rights""), doing what people would prefer from behind a veil of ignorance, and pursuing values that are determined by a democratic process (the domain of social choice theory).
See also "&amp;"[Import AI #183](https://jack-clark.net/2020/02/03/import-ai-183-curve-fitting-conversation-with-meena-gans-show-us-our-climate-change-future-and-what-compute-data-arbitrage-means/)")</f>
        <v>This paper from a DeepMind author considers what it would mean to align an AI system. It first makes a distinction between the _technical_ and _normative_ aspects of the AI alignment problem. Roughly, the normative aspect asks, "what should our AI systems do?", while the technical aspect asks, "given we know what our AI systems should do, how do we get them to do it?". The author argues that these two questions are interrelated and should not be solved separately: for example, the current success of deep reinforcement learning in which we _maximize expected reward_ suggests that it would be much easier to align AI to a utilitarian framework in which we _maximize expected utility_, as opposed to a deontological or Kantian framework.
The paper then explores the normative aspect, in both the single human and multiple humans case. When there's only one human, we must grapple with the problem of what to align our AI system to. The paper considers six possibilities: instructions, expressed intentions, revealed preferences, informed preferences, interests, and values, but doesn't come to a conclusion about which is best. When there are multiple humans, we must also deal with the fact that different people disagree on values. The paper analyzes three possibilities: aligning to a global notion of morality (e.g. "basic human rights"), doing what people would prefer from behind a veil of ignorance, and pursuing values that are determined by a democratic process (the domain of social choice theory).
See also [Import AI #183](https://jack-clark.net/2020/02/03/import-ai-183-curve-fitting-conversation-with-meena-gans-show-us-our-climate-change-future-and-what-compute-data-arbitrage-means/)</v>
      </c>
      <c r="K1119" t="str">
        <f>IFERROR(__xludf.DUMMYFUNCTION("""COMPUTED_VALUE"""),"I'm excited to see more big-picture thought about AI alignment out of DeepMind. This newsletter (and I) tend to focus a lot more on the technical alignment problem than the normative one, partly because there's more work on it, but also partly because I t"&amp;"hink it is the [more urgent problem](https://www.alignmentforum.org/posts/ZeE7EKHTFMBs8eMxn/clarifying-ai-alignment#3ECKoYzFNW2ZqS6km) (a [controversial](https://www.alignmentforum.org/posts/ZeE7EKHTFMBs8eMxn/clarifying-ai-alignment#JK9Jzvz8f4BEjmNqi) [po"&amp;"sition](https://www.alignmentforum.org/posts/w6d7XBCegc96kz4n3/the-argument-from-philosophical-difficulty)).")</f>
        <v>I'm excited to see more big-picture thought about AI alignment out of DeepMind. This newsletter (and I) tend to focus a lot more on the technical alignment problem than the normative one, partly because there's more work on it, but also partly because I think it is the [more urgent problem](https://www.alignmentforum.org/posts/ZeE7EKHTFMBs8eMxn/clarifying-ai-alignment#3ECKoYzFNW2ZqS6km) (a [controversial](https://www.alignmentforum.org/posts/ZeE7EKHTFMBs8eMxn/clarifying-ai-alignment#JK9Jzvz8f4BEjmNqi) [position](https://www.alignmentforum.org/posts/w6d7XBCegc96kz4n3/the-argument-from-philosophical-difficulty)).</v>
      </c>
    </row>
    <row r="1120">
      <c r="A1120" t="str">
        <f>IFERROR(__xludf.DUMMYFUNCTION("""COMPUTED_VALUE"""),"Miscellaneous (Alignment)")</f>
        <v>Miscellaneous (Alignment)</v>
      </c>
      <c r="B1120" t="str">
        <f>IFERROR(__xludf.DUMMYFUNCTION("""COMPUTED_VALUE"""),"Highlight")</f>
        <v>Highlight</v>
      </c>
      <c r="C1120" s="3" t="str">
        <f>IFERROR(__xludf.DUMMYFUNCTION("""COMPUTED_VALUE"""),"2019 AI Alignment Literature Review and Charity Comparison")</f>
        <v>2019 AI Alignment Literature Review and Charity Comparison</v>
      </c>
      <c r="D1120" t="str">
        <f>IFERROR(__xludf.DUMMYFUNCTION("""COMPUTED_VALUE"""),"Larks")</f>
        <v>Larks</v>
      </c>
      <c r="E1120" t="str">
        <f>IFERROR(__xludf.DUMMYFUNCTION("""COMPUTED_VALUE"""),"Alignment Forum")</f>
        <v>Alignment Forum</v>
      </c>
      <c r="F1120">
        <f>IFERROR(__xludf.DUMMYFUNCTION("""COMPUTED_VALUE"""),2019.0)</f>
        <v>2019</v>
      </c>
      <c r="H1120" s="3" t="str">
        <f>IFERROR(__xludf.DUMMYFUNCTION("""COMPUTED_VALUE"""),"AN #78")</f>
        <v>AN #78</v>
      </c>
      <c r="I1120" t="str">
        <f>IFERROR(__xludf.DUMMYFUNCTION("""COMPUTED_VALUE"""),"Rohin")</f>
        <v>Rohin</v>
      </c>
      <c r="J1120" t="str">
        <f>IFERROR(__xludf.DUMMYFUNCTION("""COMPUTED_VALUE"""),"As in [three](https://forum.effectivealtruism.org/posts/nSot23sAjoZRgaEwa/2016-ai-risk-literature-review-and-charity-comparison) [previous](https://forum.effectivealtruism.org/posts/XKwiEpWRdfWo7jy7f/2017-ai-safety-literature-review-and-charity-comparison"&amp;") &lt;@years@&gt;(@2018 AI Alignment Literature Review and Charity Comparison@), this mammoth post goes through the work done within AI alignment from December 2018 - November 2019, from the perspective of someone trying to decide which of several AI alignment "&amp;"organizations to donate to. As part of this endeavor, Larks summarizes several papers that were published at various organizations, and compares them to their budget and room for more funding.")</f>
        <v>As in [three](https://forum.effectivealtruism.org/posts/nSot23sAjoZRgaEwa/2016-ai-risk-literature-review-and-charity-comparison) [previous](https://forum.effectivealtruism.org/posts/XKwiEpWRdfWo7jy7f/2017-ai-safety-literature-review-and-charity-comparison) &lt;@years@&gt;(@2018 AI Alignment Literature Review and Charity Comparison@), this mammoth post goes through the work done within AI alignment from December 2018 - November 2019, from the perspective of someone trying to decide which of several AI alignment organizations to donate to. As part of this endeavor, Larks summarizes several papers that were published at various organizations, and compares them to their budget and room for more funding.</v>
      </c>
      <c r="K1120" t="str">
        <f>IFERROR(__xludf.DUMMYFUNCTION("""COMPUTED_VALUE"""),"I look forward to this post every year. This year, it's been a stark demonstration of how much work _doesn't_ get covered in this newsletter -- while I tend to focus on the technical alignment problem, with some focus on AI governance and AI capabilities,"&amp;" Larks's literature review spans many organizations working on existential risk, and as such has many papers that were never covered in this newsletter. Anyone who wants to donate to an organization working on AI alignment and/or x-risk should read this p"&amp;"ost. However, if your goal is instead to figure out what the field has been up to for the last year, for the sake of building inside view models of what's happening in AI alignment, I _might_ soon write up such an overview myself, but no promises.")</f>
        <v>I look forward to this post every year. This year, it's been a stark demonstration of how much work _doesn't_ get covered in this newsletter -- while I tend to focus on the technical alignment problem, with some focus on AI governance and AI capabilities, Larks's literature review spans many organizations working on existential risk, and as such has many papers that were never covered in this newsletter. Anyone who wants to donate to an organization working on AI alignment and/or x-risk should read this post. However, if your goal is instead to figure out what the field has been up to for the last year, for the sake of building inside view models of what's happening in AI alignment, I _might_ soon write up such an overview myself, but no promises.</v>
      </c>
    </row>
    <row r="1121">
      <c r="A1121" t="str">
        <f>IFERROR(__xludf.DUMMYFUNCTION("""COMPUTED_VALUE"""),"Miscellaneous (Alignment)")</f>
        <v>Miscellaneous (Alignment)</v>
      </c>
      <c r="B1121" t="str">
        <f>IFERROR(__xludf.DUMMYFUNCTION("""COMPUTED_VALUE"""),"Highlight")</f>
        <v>Highlight</v>
      </c>
      <c r="C1121" s="3" t="str">
        <f>IFERROR(__xludf.DUMMYFUNCTION("""COMPUTED_VALUE"""),"I'm Buck Shlegeris, I do research and outreach at MIRI, AMA")</f>
        <v>I'm Buck Shlegeris, I do research and outreach at MIRI, AMA</v>
      </c>
      <c r="D1121" t="str">
        <f>IFERROR(__xludf.DUMMYFUNCTION("""COMPUTED_VALUE"""),"Buck Shlegeris")</f>
        <v>Buck Shlegeris</v>
      </c>
      <c r="E1121" t="str">
        <f>IFERROR(__xludf.DUMMYFUNCTION("""COMPUTED_VALUE"""),"EA Forum")</f>
        <v>EA Forum</v>
      </c>
      <c r="F1121">
        <f>IFERROR(__xludf.DUMMYFUNCTION("""COMPUTED_VALUE"""),2019.0)</f>
        <v>2019</v>
      </c>
      <c r="H1121" s="3" t="str">
        <f>IFERROR(__xludf.DUMMYFUNCTION("""COMPUTED_VALUE"""),"AN #75")</f>
        <v>AN #75</v>
      </c>
      <c r="I1121" t="str">
        <f>IFERROR(__xludf.DUMMYFUNCTION("""COMPUTED_VALUE"""),"Rohin")</f>
        <v>Rohin</v>
      </c>
      <c r="J1121" t="str">
        <f>IFERROR(__xludf.DUMMYFUNCTION("""COMPUTED_VALUE"""),"Here are some beliefs that Buck reported that I think are particularly interesting (selected for relevance to AI safety):
1. He would probably not work on AI safety if he thought there was less than 30% chance of AGI within 50 years.
2. The ideas in &lt;@Ri"&amp;"sks from Learned Optimization@&gt;(@Risks from Learned Optimization in Advanced Machine Learning Systems@) are extremely important.
3. If we build ""business-as-usual ML"", there will be inner alignment failures, which can't easily be fixed. In addition, the"&amp;" ML systems' goals may accidentally change as they self-improve, obviating any guarantees we had. The only way to solve this is to have a clearer picture of what we're doing when building these systems. _(This was a response to a question about the motiva"&amp;"tion for MIRI's research agenda, and so may not reflect his actual beliefs, but just his beliefs about MIRI's beliefs.)_
4. Different people who work on AI alignment have radically different pictures of what the development of AI will look like, what the "&amp;"alignment problem is, and what solutions might look like.
5. Skilled and experienced AI safety researchers seem to have a much more holistic and much more concrete mindset: they consider a solution to be composed of many parts that solve subproblems that "&amp;"can be put together with different relative strengths, as opposed to searching for a single overall story for everything.
6. External criticism seems relatively unimportant in AI safety, where there isn't an established research community that has already"&amp;" figured out what kinds of arguments are most important.")</f>
        <v>Here are some beliefs that Buck reported that I think are particularly interesting (selected for relevance to AI safety):
1. He would probably not work on AI safety if he thought there was less than 30% chance of AGI within 50 years.
2. The ideas in &lt;@Risks from Learned Optimization@&gt;(@Risks from Learned Optimization in Advanced Machine Learning Systems@) are extremely important.
3. If we build "business-as-usual ML", there will be inner alignment failures, which can't easily be fixed. In addition, the ML systems' goals may accidentally change as they self-improve, obviating any guarantees we had. The only way to solve this is to have a clearer picture of what we're doing when building these systems. _(This was a response to a question about the motivation for MIRI's research agenda, and so may not reflect his actual beliefs, but just his beliefs about MIRI's beliefs.)_
4. Different people who work on AI alignment have radically different pictures of what the development of AI will look like, what the alignment problem is, and what solutions might look like.
5. Skilled and experienced AI safety researchers seem to have a much more holistic and much more concrete mindset: they consider a solution to be composed of many parts that solve subproblems that can be put together with different relative strengths, as opposed to searching for a single overall story for everything.
6. External criticism seems relatively unimportant in AI safety, where there isn't an established research community that has already figured out what kinds of arguments are most important.</v>
      </c>
      <c r="K1121" t="str">
        <f>IFERROR(__xludf.DUMMYFUNCTION("""COMPUTED_VALUE"""),"I strongly agree with 2 and 4, weakly agree with 1, 5, and 6, and disagree with 3.")</f>
        <v>I strongly agree with 2 and 4, weakly agree with 1, 5, and 6, and disagree with 3.</v>
      </c>
    </row>
    <row r="1122">
      <c r="A1122" t="str">
        <f>IFERROR(__xludf.DUMMYFUNCTION("""COMPUTED_VALUE"""),"Miscellaneous (Alignment)")</f>
        <v>Miscellaneous (Alignment)</v>
      </c>
      <c r="B1122" t="str">
        <f>IFERROR(__xludf.DUMMYFUNCTION("""COMPUTED_VALUE"""),"Highlight")</f>
        <v>Highlight</v>
      </c>
      <c r="C1122" s="3" t="str">
        <f>IFERROR(__xludf.DUMMYFUNCTION("""COMPUTED_VALUE"""),"Human Compatible: Artificial Intelligence and the Problem of Control")</f>
        <v>Human Compatible: Artificial Intelligence and the Problem of Control</v>
      </c>
      <c r="D1122" t="str">
        <f>IFERROR(__xludf.DUMMYFUNCTION("""COMPUTED_VALUE"""),"Stuart Russell")</f>
        <v>Stuart Russell</v>
      </c>
      <c r="E1122" t="str">
        <f>IFERROR(__xludf.DUMMYFUNCTION("""COMPUTED_VALUE"""),"Book")</f>
        <v>Book</v>
      </c>
      <c r="F1122">
        <f>IFERROR(__xludf.DUMMYFUNCTION("""COMPUTED_VALUE"""),2019.0)</f>
        <v>2019</v>
      </c>
      <c r="H1122" s="3" t="str">
        <f>IFERROR(__xludf.DUMMYFUNCTION("""COMPUTED_VALUE"""),"AN #69")</f>
        <v>AN #69</v>
      </c>
      <c r="I1122" t="str">
        <f>IFERROR(__xludf.DUMMYFUNCTION("""COMPUTED_VALUE"""),"Rohin")</f>
        <v>Rohin</v>
      </c>
      <c r="J1122" t="str">
        <f>IFERROR(__xludf.DUMMYFUNCTION("""COMPUTED_VALUE"""),"_Since I am aiming this summary for people who are already familiar with AI safety, my summary is substantially reorganized from the book, and skips large portions of the book that I expect will be less useful for this audience. If you are not familiar wi"&amp;"th AI safety, **note that I am skipping many arguments and counterarguments in the book that are aimed for you**. I'll refer to the book as ""HC"" in this newsletter._
Before we get into details of impacts and solutions to the problem of AI safety, it's "&amp;"important to have a model of how AI development will happen. Many estimates have been made by figuring out the amount of compute needed to run a human brain, and figuring out how long it will be until we get there. HC doesn't agree with these; it suggests"&amp;" the bottleneck for AI is in the algorithms rather than the hardware. We will need several conceptual breakthroughs, for example in language or common sense understanding, cumulative learning (the analog of cultural accumulation for humans), discovering h"&amp;"ierarchy, and managing mental activity (that is, the metacognition needed to prioritize what to think about next). It's not clear how long these will take, and whether there will need to be more breakthroughs after these occur, but these seem like necessa"&amp;"ry ones.
What could happen if we do get beneficial superintelligent AI? While there is a lot of sci-fi speculation that we could do here, as a weak lower bound, it should at least be able to automate away almost all existing human labor. Assuming that su"&amp;"perintelligent AI is very cheap, most services and many goods would become extremely cheap. Even many primary products such as food and natural resources would become cheaper, as human labor is still a significant fraction of their production cost. If we "&amp;"assume that this could bring up everyone's standard of life up to that of the 88th percentile American, that would result in nearly a _tenfold_ increase in world GDP per year. Assuming a 5% discount rate per year, this corresponds to $13.5 _quadrillion_ n"&amp;"et present value. Such a giant prize removes many reasons for conflict, and should encourage everyone to cooperate to ensure we all get to keep this prize.
Of course, this doesn't mean that there aren't any problems, even with AI that does what its owner"&amp;" wants. Depending on who has access to powerful AI systems, we could see a rise in automated surveillance, lethal autonomous weapons, automated blackmail, fake news and behavior manipulation. Another issue that could come up is that once AI is better than"&amp;" humans at all tasks, we may end up delegating everything to AI, and lose autonomy, leading to _human enfeeblement_.
This all assumes that we are able to control AI. However, we should be cautious about such an endeavor -- if nothing else, we should be c"&amp;"areful about creating entities that are more intelligent than us. After all, the gorillas probably aren't too happy about the fact that their habitat, happiness, and existence depends on our moods and whims. For this reason, HC calls this the _gorilla pro"&amp;"blem_: specifically, ""the problem of whether humans can maintain their supremacy and autonomy in a world that includes machines with substantially greater intelligence"". Of course, we aren't in the same position as the gorillas: we get to _design_ the m"&amp;"ore intelligent ""species"". But we should probably have some good arguments explaining why our design isn't going to succumb to the gorilla problem. This is especially important in the case of a fast intelligence explosion, or _hard takeoff_, because in "&amp;"that scenario we do not get any time to react and solve any problems that arise.
Do we have such an argument right now? Not really, and in fact there's an argument that we _will_ succumb to the gorilla problem. The vast majority of research in AI and rel"&amp;"ated fields assumes that there is some definite, known _specification_ or _objective_ that must be optimized. In RL, we optimize the _reward function_; in search, we look for states matching a _goal criterion_; in statistics, we minimize _expected loss_; "&amp;"in control theory, we minimize the _cost function_ (typically deviation from some desired behavior); in economics, we design mechanisms and policies to maximize the _utility_ of individuals, _welfare_ of groups, or _profit_ of corporations. This leads HC "&amp;"to propose the following standard model of machine intelligence: _Machines are intelligent to the extent that their actions can be expected to achieve their objectives._ However, if we put in the wrong objective, the machine's obstinate pursuit of that ob"&amp;"jective would lead to outcomes we won't like.
Consider for example the content selection algorithms used by social media, typically maximizing some measure of engagement, like click-through. Despite their lack of intelligence, such algorithms end up chan"&amp;"ging the user's preference so that they become more predictable, since more predictable users can be given items they are more likely to click on. In practice, this means that users are pushed to become more extreme in their political views. Arguably, the"&amp;"se algorithms have already caused much damage to the world.
So the problem is that we don't know how to put our objectives inside of the AI system so that when it optimizes its objective, the results are good for us. Stuart calls this the ""King Midas"" "&amp;"problem: as the legend goes, King Midas wished that everything he touched would turn to gold, not realizing that ""everything"" included his daughter and his food, a classic case of a &lt;@badly specified objective@&gt;(@Specification gaming examples in AI@). I"&amp;"n some sense, we've known about this problem for a long time, both from King Midas's tale, and in stories about genies, where the characters inevitably want to undo their wishes.
You might think that we could simply turn off the power to the AI, but that"&amp;" won't work, because for almost any definite goal, the AI has an incentive to stay operational, just because that is necessary for it to achieve its goal. This is captured in what may be Stuart's most famous quote: _you can't fetch the coffee if you're de"&amp;"ad_. This is one of a few worrisome [convergent instrumental subgoals](https://selfawaresystems.files.wordpress.com/2008/01/ai_drives_final.pdf).
What went wrong? The problem was the way we evaluated machine intelligence, which doesn't take into account "&amp;"the fact that machines should be useful for _us_. HC proposes: _Machines are **beneficial** to the extent that **their** actions can be expected to achieve **our** objectives_. But with this definition, instead of our AI systems optimizing a definite, wro"&amp;"ng objective, they will _also_ be uncertain about the objective, since we ourselves don't know what our objectives are. HC expands on this by proposing three principles for the design of AI systems, that I'll quote here in full:
1. _The machine’s only ob"&amp;"jective is to maximize the realization of human preferences._
2. _The machine is initially uncertain about what those preferences are._
3. _The ultimate source of information about human preferences is human behavior._
[Cooperative Inverse Reinforcement "&amp;"Learning](https://arxiv.org/abs/1606.03137) provides a formal model of an _assistance game_ that showcases these principles. You might worry that an AI system that is uncertain about its objective will not be as useful as one that knows the objective, but"&amp;" actually this uncertainty is a feature, not a bug: it leads to AI systems that are deferential, that ask for clarifying information, and that try to learn human preferences. [The Off-Switch Game](https://arxiv.org/abs/1611.08219) shows that because the A"&amp;"I is uncertain about the reward, it will let itself be shut off. These papers are discussed later in this newsletter.
So that's the proposed solution. You might worry that the proposed solution is quite challenging: after all, it requires a shift in the "&amp;"entire way we do AI. What if the standard model of AI can deliver more results, even if just because more people work on it? Here, HC is optimistic: the big issue with the standard model is that it is not very good at learning our preferences, and there's"&amp;" a huge economic pressure to learn preferences. For example, I would pay a lot of money for an AI assistant that accurately learns my preferences for meeting times, and schedules them completely autonomously.
Another research challenge is how to actually"&amp;" put principle 3 into practice: it requires us to connect human behavior to human preferences. [Inverse Reward Design](https://arxiv.org/abs/1711.02827) and &lt;@Preferences Implicit in the State of the World@&gt;(@Learning Preferences by Looking at the World@)"&amp;" are example papers that tackle portions of this. However, there are _lots_ of subtleties in this connection. We need to use _Gricean semantics_ for language: when we say X, we do not mean the literal meaning of X: the agent must also take into account th"&amp;"e fact that we bothered to say X, and that we didn't say Y. For example, I'm only going to ask for the agent to buy a cup of coffee if I believe that there is a place to buy reasonably priced coffee nearby. If those beliefs happen to be wrong, the agent s"&amp;"hould ask for clarification, rather than trudge hundreds of miles or pay hundreds of dollars to ensure I get my cup of coffee.
Another problem with inferring preferences from behavior is that humans are nearly always in some deeply nested plan, and many "&amp;"actions don't even occur to us. Right now I'm writing this summary, and not considering whether I should become a fireman. I'm not writing this summary because I just ran a calculation showing that this would best achieve my preferences, I'm doing it beca"&amp;"use it's a subpart of the overall plan of writing this bonus newsletter, which itself is a subpart of other plans. The connection to my preferences is very far up. How do we deal with that fact?
There are perhaps more fundamental challenges with the noti"&amp;"on of ""preferences"" itself. For example, our _experiencing self_ and our _remembering self_ may have different preferences -- if so, which one should our agent optimize for? In addition, our preferences often change over time: should our agent optimize "&amp;"for our current preferences, even if it knows that they will predictably change in the future? This one could potentially be solved by learning _meta-preferences_ that dictate what kinds of preference change processes are acceptable.
All of these issues "&amp;"suggest that we need work across many fields (such as AI, cognitive science, psychology, and neuroscience) to reverse-engineer human cognition, so that we can put principle 3 into action and create a model that shows how human behavior arises from human p"&amp;"references.
So far, we've been talking about the case with a single human. But of course, there are going to be multiple humans: how do we deal with that? As a baseline, we could imagine that every human gets their own agent that optimizes for their pref"&amp;"erences. However, this will differentially benefit people who care less about other people's welfare, since their agents have access to many potential plans that wouldn't be available to an agent for someone who cared about other people. For example, if H"&amp;"arriet was going to be late for a meeting with Ivan, her AI agent might arrange for Ivan to be even later.
What if we had laws that prevented AI systems from acting in such antisocial ways? It seems likely that superintelligent AI would be able to find l"&amp;"oopholes in such laws, so that they do things that are strictly legal but still antisocial, e.g. line-cutting. (This problem is similar to the problem that we can't just write down what we want and have AI optimize it.)
What if we made our AI systems uti"&amp;"litarian (assuming we figured out some acceptable method of comparing utilities across people)? Then we get the ""Somalia problem"": agents will end up going to Somalia to help the worse-off people there, and so no one would ever buy such an agent.
Overa"&amp;"ll, it's not obvious how we deal with the transition from a single human to multiple humans. While HC focuses on a potential solution for the single human / single agent case, there is still much more to be said and done to account for the impact of AI on"&amp;" all of humanity. To quote HC, ""There is really no analog in our present world to the relationship we will have with beneficial intelligent machines in the future. It remains to be seen how the endgame turns out.""")</f>
        <v>_Since I am aiming this summary for people who are already familiar with AI safety, my summary is substantially reorganized from the book, and skips large portions of the book that I expect will be less useful for this audience. If you are not familiar with AI safety, **note that I am skipping many arguments and counterarguments in the book that are aimed for you**. I'll refer to the book as "HC" in this newsletter._
Before we get into details of impacts and solutions to the problem of AI safety, it's important to have a model of how AI development will happen. Many estimates have been made by figuring out the amount of compute needed to run a human brain, and figuring out how long it will be until we get there. HC doesn't agree with these; it suggests the bottleneck for AI is in the algorithms rather than the hardware. We will need several conceptual breakthroughs, for example in language or common sense understanding, cumulative learning (the analog of cultural accumulation for humans), discovering hierarchy, and managing mental activity (that is, the metacognition needed to prioritize what to think about next). It's not clear how long these will take, and whether there will need to be more breakthroughs after these occur, but these seem like necessary ones.
What could happen if we do get beneficial superintelligent AI? While there is a lot of sci-fi speculation that we could do here, as a weak lower bound, it should at least be able to automate away almost all existing human labor. Assuming that superintelligent AI is very cheap, most services and many goods would become extremely cheap. Even many primary products such as food and natural resources would become cheaper, as human labor is still a significant fraction of their production cost. If we assume that this could bring up everyone's standard of life up to that of the 88th percentile American, that would result in nearly a _tenfold_ increase in world GDP per year. Assuming a 5% discount rate per year, this corresponds to $13.5 _quadrillion_ net present value. Such a giant prize removes many reasons for conflict, and should encourage everyone to cooperate to ensure we all get to keep this prize.
Of course, this doesn't mean that there aren't any problems, even with AI that does what its owner wants. Depending on who has access to powerful AI systems, we could see a rise in automated surveillance, lethal autonomous weapons, automated blackmail, fake news and behavior manipulation. Another issue that could come up is that once AI is better than humans at all tasks, we may end up delegating everything to AI, and lose autonomy, leading to _human enfeeblement_.
This all assumes that we are able to control AI. However, we should be cautious about such an endeavor -- if nothing else, we should be careful about creating entities that are more intelligent than us. After all, the gorillas probably aren't too happy about the fact that their habitat, happiness, and existence depends on our moods and whims. For this reason, HC calls this the _gorilla problem_: specifically, "the problem of whether humans can maintain their supremacy and autonomy in a world that includes machines with substantially greater intelligence". Of course, we aren't in the same position as the gorillas: we get to _design_ the more intelligent "species". But we should probably have some good arguments explaining why our design isn't going to succumb to the gorilla problem. This is especially important in the case of a fast intelligence explosion, or _hard takeoff_, because in that scenario we do not get any time to react and solve any problems that arise.
Do we have such an argument right now? Not really, and in fact there's an argument that we _will_ succumb to the gorilla problem. The vast majority of research in AI and related fields assumes that there is some definite, known _specification_ or _objective_ that must be optimized. In RL, we optimize the _reward function_; in search, we look for states matching a _goal criterion_; in statistics, we minimize _expected loss_; in control theory, we minimize the _cost function_ (typically deviation from some desired behavior); in economics, we design mechanisms and policies to maximize the _utility_ of individuals, _welfare_ of groups, or _profit_ of corporations. This leads HC to propose the following standard model of machine intelligence: _Machines are intelligent to the extent that their actions can be expected to achieve their objectives._ However, if we put in the wrong objective, the machine's obstinate pursuit of that objective would lead to outcomes we won't like.
Consider for example the content selection algorithms used by social media, typically maximizing some measure of engagement, like click-through. Despite their lack of intelligence, such algorithms end up changing the user's preference so that they become more predictable, since more predictable users can be given items they are more likely to click on. In practice, this means that users are pushed to become more extreme in their political views. Arguably, these algorithms have already caused much damage to the world.
So the problem is that we don't know how to put our objectives inside of the AI system so that when it optimizes its objective, the results are good for us. Stuart calls this the "King Midas" problem: as the legend goes, King Midas wished that everything he touched would turn to gold, not realizing that "everything" included his daughter and his food, a classic case of a &lt;@badly specified objective@&gt;(@Specification gaming examples in AI@). In some sense, we've known about this problem for a long time, both from King Midas's tale, and in stories about genies, where the characters inevitably want to undo their wishes.
You might think that we could simply turn off the power to the AI, but that won't work, because for almost any definite goal, the AI has an incentive to stay operational, just because that is necessary for it to achieve its goal. This is captured in what may be Stuart's most famous quote: _you can't fetch the coffee if you're dead_. This is one of a few worrisome [convergent instrumental subgoals](https://selfawaresystems.files.wordpress.com/2008/01/ai_drives_final.pdf).
What went wrong? The problem was the way we evaluated machine intelligence, which doesn't take into account the fact that machines should be useful for _us_. HC proposes: _Machines are **beneficial** to the extent that **their** actions can be expected to achieve **our** objectives_. But with this definition, instead of our AI systems optimizing a definite, wrong objective, they will _also_ be uncertain about the objective, since we ourselves don't know what our objectives are. HC expands on this by proposing three principles for the design of AI systems, that I'll quote here in full:
1. _The machine’s only objective is to maximize the realization of human preferences._
2. _The machine is initially uncertain about what those preferences are._
3. _The ultimate source of information about human preferences is human behavior._
[Cooperative Inverse Reinforcement Learning](https://arxiv.org/abs/1606.03137) provides a formal model of an _assistance game_ that showcases these principles. You might worry that an AI system that is uncertain about its objective will not be as useful as one that knows the objective, but actually this uncertainty is a feature, not a bug: it leads to AI systems that are deferential, that ask for clarifying information, and that try to learn human preferences. [The Off-Switch Game](https://arxiv.org/abs/1611.08219) shows that because the AI is uncertain about the reward, it will let itself be shut off. These papers are discussed later in this newsletter.
So that's the proposed solution. You might worry that the proposed solution is quite challenging: after all, it requires a shift in the entire way we do AI. What if the standard model of AI can deliver more results, even if just because more people work on it? Here, HC is optimistic: the big issue with the standard model is that it is not very good at learning our preferences, and there's a huge economic pressure to learn preferences. For example, I would pay a lot of money for an AI assistant that accurately learns my preferences for meeting times, and schedules them completely autonomously.
Another research challenge is how to actually put principle 3 into practice: it requires us to connect human behavior to human preferences. [Inverse Reward Design](https://arxiv.org/abs/1711.02827) and &lt;@Preferences Implicit in the State of the World@&gt;(@Learning Preferences by Looking at the World@) are example papers that tackle portions of this. However, there are _lots_ of subtleties in this connection. We need to use _Gricean semantics_ for language: when we say X, we do not mean the literal meaning of X: the agent must also take into account the fact that we bothered to say X, and that we didn't say Y. For example, I'm only going to ask for the agent to buy a cup of coffee if I believe that there is a place to buy reasonably priced coffee nearby. If those beliefs happen to be wrong, the agent should ask for clarification, rather than trudge hundreds of miles or pay hundreds of dollars to ensure I get my cup of coffee.
Another problem with inferring preferences from behavior is that humans are nearly always in some deeply nested plan, and many actions don't even occur to us. Right now I'm writing this summary, and not considering whether I should become a fireman. I'm not writing this summary because I just ran a calculation showing that this would best achieve my preferences, I'm doing it because it's a subpart of the overall plan of writing this bonus newsletter, which itself is a subpart of other plans. The connection to my preferences is very far up. How do we deal with that fact?
There are perhaps more fundamental challenges with the notion of "preferences" itself. For example, our _experiencing self_ and our _remembering self_ may have different preferences -- if so, which one should our agent optimize for? In addition, our preferences often change over time: should our agent optimize for our current preferences, even if it knows that they will predictably change in the future? This one could potentially be solved by learning _meta-preferences_ that dictate what kinds of preference change processes are acceptable.
All of these issues suggest that we need work across many fields (such as AI, cognitive science, psychology, and neuroscience) to reverse-engineer human cognition, so that we can put principle 3 into action and create a model that shows how human behavior arises from human preferences.
So far, we've been talking about the case with a single human. But of course, there are going to be multiple humans: how do we deal with that? As a baseline, we could imagine that every human gets their own agent that optimizes for their preferences. However, this will differentially benefit people who care less about other people's welfare, since their agents have access to many potential plans that wouldn't be available to an agent for someone who cared about other people. For example, if Harriet was going to be late for a meeting with Ivan, her AI agent might arrange for Ivan to be even later.
What if we had laws that prevented AI systems from acting in such antisocial ways? It seems likely that superintelligent AI would be able to find loopholes in such laws, so that they do things that are strictly legal but still antisocial, e.g. line-cutting. (This problem is similar to the problem that we can't just write down what we want and have AI optimize it.)
What if we made our AI systems utilitarian (assuming we figured out some acceptable method of comparing utilities across people)? Then we get the "Somalia problem": agents will end up going to Somalia to help the worse-off people there, and so no one would ever buy such an agent.
Overall, it's not obvious how we deal with the transition from a single human to multiple humans. While HC focuses on a potential solution for the single human / single agent case, there is still much more to be said and done to account for the impact of AI on all of humanity. To quote HC, "There is really no analog in our present world to the relationship we will have with beneficial intelligent machines in the future. It remains to be seen how the endgame turns out."</v>
      </c>
      <c r="K1122" t="str">
        <f>IFERROR(__xludf.DUMMYFUNCTION("""COMPUTED_VALUE"""),"I enjoyed reading this book; I don't usually get to read a single person's overall high-level view on the state of AI, how it could have societal impact, the argument for AI risk, potential solutions, and the need for AI governance. It's nice to see all o"&amp;"f these areas I think about tied together into a single coherent view. While I agree with much of the book, especially the conceptual switch from the standard model of intelligent machines to Stuart's model of beneficial machines, I'm going to focus on di"&amp;"sagreements in this opinion.
First, the book has an implied stance towards the future of AI research that I don't agree with: I could imagine that powerful AI systems end up being created by learning alone without needing the conceptual breakthroughs tha"&amp;"t Stuart outlines. This has been proposed in e.g. &lt;@AI-GAs@&gt;(@AI-GAs: AI-generating algorithms, an alternate paradigm for producing general artificial intelligence@)), and seems to be the implicit belief that drives OpenAI and DeepMind's research agendas."&amp;" This leads to differences in risk analysis and solutions: for example, the &lt;@inner alignment problem@&gt;(@Risks from Learned Optimization in Advanced Machine Learning Systems@) only applies to agents arising from learning algorithms, and I suspect would no"&amp;"t apply to Stuart's view of AI progress.
The book also gives the impression that to solve AI safety, we simply need to make sure that AI systems are optimizing the right objective, at least in the case where there is a single human and a single robot. Ag"&amp;"ain, depending on how future AI systems work, that could be true, but I expect there will be other problems that need to be solved as well. I've already mentioned inner alignment; other graduate students at CHAI work on e.g. [robustness](https://adversari"&amp;"alpolicies.github.io/) and transparency.
The proposal for aligning AI requires us to build a model that relates human preferences to human behavior. This sounds extremely hard to get completely right. Of course, we may not need a model that is completely"&amp;" right: since reward uncertainty makes the agent amenable to shutdowns, it seems plausible that we can correct mistakes in the model as they come up. But it's not obvious to me that this is sufficient.
The sections on multiple humans are much more specul"&amp;"ative and I have more disagreements there, but I expect that is simply because we haven't done enough research yet. For example, HC worries that we won't be able to use laws to prevent AIs from doing technically legal but still antisocial things for the b"&amp;"enefit of a single human. This seems true if you imagine that a single human suddenly gets access to a superintelligent AI, but when everyone has a superintelligent AI, then the current system where humans socially penalize each other for norm violations "&amp;"may scale up naturally. The overall effect depends on whether AI makes it easier to violate norms, or to detect and punish norm violations.")</f>
        <v>I enjoyed reading this book; I don't usually get to read a single person's overall high-level view on the state of AI, how it could have societal impact, the argument for AI risk, potential solutions, and the need for AI governance. It's nice to see all of these areas I think about tied together into a single coherent view. While I agree with much of the book, especially the conceptual switch from the standard model of intelligent machines to Stuart's model of beneficial machines, I'm going to focus on disagreements in this opinion.
First, the book has an implied stance towards the future of AI research that I don't agree with: I could imagine that powerful AI systems end up being created by learning alone without needing the conceptual breakthroughs that Stuart outlines. This has been proposed in e.g. &lt;@AI-GAs@&gt;(@AI-GAs: AI-generating algorithms, an alternate paradigm for producing general artificial intelligence@)), and seems to be the implicit belief that drives OpenAI and DeepMind's research agendas. This leads to differences in risk analysis and solutions: for example, the &lt;@inner alignment problem@&gt;(@Risks from Learned Optimization in Advanced Machine Learning Systems@) only applies to agents arising from learning algorithms, and I suspect would not apply to Stuart's view of AI progress.
The book also gives the impression that to solve AI safety, we simply need to make sure that AI systems are optimizing the right objective, at least in the case where there is a single human and a single robot. Again, depending on how future AI systems work, that could be true, but I expect there will be other problems that need to be solved as well. I've already mentioned inner alignment; other graduate students at CHAI work on e.g. [robustness](https://adversarialpolicies.github.io/) and transparency.
The proposal for aligning AI requires us to build a model that relates human preferences to human behavior. This sounds extremely hard to get completely right. Of course, we may not need a model that is completely right: since reward uncertainty makes the agent amenable to shutdowns, it seems plausible that we can correct mistakes in the model as they come up. But it's not obvious to me that this is sufficient.
The sections on multiple humans are much more speculative and I have more disagreements there, but I expect that is simply because we haven't done enough research yet. For example, HC worries that we won't be able to use laws to prevent AIs from doing technically legal but still antisocial things for the benefit of a single human. This seems true if you imagine that a single human suddenly gets access to a superintelligent AI, but when everyone has a superintelligent AI, then the current system where humans socially penalize each other for norm violations may scale up naturally. The overall effect depends on whether AI makes it easier to violate norms, or to detect and punish norm violations.</v>
      </c>
      <c r="M1122" t="str">
        <f>IFERROR(__xludf.DUMMYFUNCTION("""COMPUTED_VALUE"""),"[Max Tegmark's summary](https://www.amazon.com/gp/customer-reviews/RVSAD5GWSLQ42/ref=cm_cr_dp_d_rvw_ttl?ie=UTF8&amp;ASIN=B07N5J5FTS), [Alex Turner's thoughts](https://www.alignmentforum.org/posts/FuGDYNvA6qh4qyFah/thoughts-on-human-compatible)")</f>
        <v>[Max Tegmark's summary](https://www.amazon.com/gp/customer-reviews/RVSAD5GWSLQ42/ref=cm_cr_dp_d_rvw_ttl?ie=UTF8&amp;ASIN=B07N5J5FTS), [Alex Turner's thoughts](https://www.alignmentforum.org/posts/FuGDYNvA6qh4qyFah/thoughts-on-human-compatible)</v>
      </c>
    </row>
    <row r="1123">
      <c r="A1123" t="str">
        <f>IFERROR(__xludf.DUMMYFUNCTION("""COMPUTED_VALUE"""),"Miscellaneous (Alignment)")</f>
        <v>Miscellaneous (Alignment)</v>
      </c>
      <c r="B1123" t="str">
        <f>IFERROR(__xludf.DUMMYFUNCTION("""COMPUTED_VALUE"""),"Highlight")</f>
        <v>Highlight</v>
      </c>
      <c r="C1123" s="3" t="str">
        <f>IFERROR(__xludf.DUMMYFUNCTION("""COMPUTED_VALUE"""),"AI Alignment Podcast: Human Compatible: Artificial Intelligence and the Problem of Control")</f>
        <v>AI Alignment Podcast: Human Compatible: Artificial Intelligence and the Problem of Control</v>
      </c>
      <c r="D1123" t="str">
        <f>IFERROR(__xludf.DUMMYFUNCTION("""COMPUTED_VALUE"""),"Lucas Perry and Stuart Russell")</f>
        <v>Lucas Perry and Stuart Russell</v>
      </c>
      <c r="E1123" t="str">
        <f>IFERROR(__xludf.DUMMYFUNCTION("""COMPUTED_VALUE"""),"FLI Website")</f>
        <v>FLI Website</v>
      </c>
      <c r="F1123">
        <f>IFERROR(__xludf.DUMMYFUNCTION("""COMPUTED_VALUE"""),2019.0)</f>
        <v>2019</v>
      </c>
      <c r="H1123" s="3" t="str">
        <f>IFERROR(__xludf.DUMMYFUNCTION("""COMPUTED_VALUE"""),"AN #69")</f>
        <v>AN #69</v>
      </c>
      <c r="I1123" t="str">
        <f>IFERROR(__xludf.DUMMYFUNCTION("""COMPUTED_VALUE"""),"Rohin")</f>
        <v>Rohin</v>
      </c>
      <c r="J1123" t="str">
        <f>IFERROR(__xludf.DUMMYFUNCTION("""COMPUTED_VALUE"""),"This podcast covers some of the main ideas from the book, which I'll ignore for this summary. It also talks a bit about the motivations for the book. Stuart has three audiences in mind. He wants to explain to laypeople what AI is and why it matters. He wa"&amp;"nts to convince AI researchers that they should be working in this new model of beneficial AI that optimizes for our objectives, rather than the standard model of intelligent AI that optimizes for its objectives. Finally, he wants to recruit academics in "&amp;"other fields to help connect human behavior to human preferences (principle 3), as well as to figure out how to deal with multiple humans.
Stuart also points out that his book has two main differences from Superintelligence and Life 3.0: first, his book "&amp;"explains how existing AI techniques work (and in particular it explains the standard model), and second, it proposes a technical solution to the problem (the three principles).")</f>
        <v>This podcast covers some of the main ideas from the book, which I'll ignore for this summary. It also talks a bit about the motivations for the book. Stuart has three audiences in mind. He wants to explain to laypeople what AI is and why it matters. He wants to convince AI researchers that they should be working in this new model of beneficial AI that optimizes for our objectives, rather than the standard model of intelligent AI that optimizes for its objectives. Finally, he wants to recruit academics in other fields to help connect human behavior to human preferences (principle 3), as well as to figure out how to deal with multiple humans.
Stuart also points out that his book has two main differences from Superintelligence and Life 3.0: first, his book explains how existing AI techniques work (and in particular it explains the standard model), and second, it proposes a technical solution to the problem (the three principles).</v>
      </c>
    </row>
    <row r="1124">
      <c r="A1124" t="str">
        <f>IFERROR(__xludf.DUMMYFUNCTION("""COMPUTED_VALUE"""),"Miscellaneous (Alignment)")</f>
        <v>Miscellaneous (Alignment)</v>
      </c>
      <c r="B1124" t="str">
        <f>IFERROR(__xludf.DUMMYFUNCTION("""COMPUTED_VALUE"""),"Highlight")</f>
        <v>Highlight</v>
      </c>
      <c r="C1124" s="3" t="str">
        <f>IFERROR(__xludf.DUMMYFUNCTION("""COMPUTED_VALUE"""),"Alignment Newsletter One Year Retrospective")</f>
        <v>Alignment Newsletter One Year Retrospective</v>
      </c>
      <c r="D1124" t="str">
        <f>IFERROR(__xludf.DUMMYFUNCTION("""COMPUTED_VALUE"""),"Rohin Shah")</f>
        <v>Rohin Shah</v>
      </c>
      <c r="E1124" t="str">
        <f>IFERROR(__xludf.DUMMYFUNCTION("""COMPUTED_VALUE"""),"Alignment Forum")</f>
        <v>Alignment Forum</v>
      </c>
      <c r="F1124">
        <f>IFERROR(__xludf.DUMMYFUNCTION("""COMPUTED_VALUE"""),2019.0)</f>
        <v>2019</v>
      </c>
      <c r="H1124" s="3" t="str">
        <f>IFERROR(__xludf.DUMMYFUNCTION("""COMPUTED_VALUE"""),"AN #53")</f>
        <v>AN #53</v>
      </c>
      <c r="I1124" t="str">
        <f>IFERROR(__xludf.DUMMYFUNCTION("""COMPUTED_VALUE"""),"Rohin")</f>
        <v>Rohin</v>
      </c>
      <c r="J1124" t="str">
        <f>IFERROR(__xludf.DUMMYFUNCTION("""COMPUTED_VALUE"""),"The Alignment Newsletter is one year old! I've written a retrospective of the newsletter's impact over the last year, with a lot of open questions about what the newsletter should look like in the future. Please help me figure out the answers by *taking t"&amp;"his 3-minute [survey](https://docs.google.com/forms/d/e/1FAIpQLSepm8ATtun9pvLGL9MXhk6Z59hO14huEVS6qgqtl3KS6n5SIQ/viewform?usp=sf_link)*, and if you're feeling particularly generous with your time, read the retrospective and tell me your opinions in the co"&amp;"mments!")</f>
        <v>The Alignment Newsletter is one year old! I've written a retrospective of the newsletter's impact over the last year, with a lot of open questions about what the newsletter should look like in the future. Please help me figure out the answers by *taking this 3-minute [survey](https://docs.google.com/forms/d/e/1FAIpQLSepm8ATtun9pvLGL9MXhk6Z59hO14huEVS6qgqtl3KS6n5SIQ/viewform?usp=sf_link)*, and if you're feeling particularly generous with your time, read the retrospective and tell me your opinions in the comments!</v>
      </c>
    </row>
    <row r="1125">
      <c r="A1125" t="str">
        <f>IFERROR(__xludf.DUMMYFUNCTION("""COMPUTED_VALUE"""),"Miscellaneous (Alignment)")</f>
        <v>Miscellaneous (Alignment)</v>
      </c>
      <c r="B1125" t="str">
        <f>IFERROR(__xludf.DUMMYFUNCTION("""COMPUTED_VALUE"""),"Highlight")</f>
        <v>Highlight</v>
      </c>
      <c r="C1125" t="str">
        <f>IFERROR(__xludf.DUMMYFUNCTION("""COMPUTED_VALUE"""),"[Quantilizers: A Safer Alternative to Maximizers for Limited Optimization](https://intelligence.org/files/QuantilizersSaferAlternative.pdf) and [When to use quantilization](https://www.alignmentforum.org/posts/Rs6vZCrnQFWQ4p37P/when-to-use-quantilization)")</f>
        <v>[Quantilizers: A Safer Alternative to Maximizers for Limited Optimization](https://intelligence.org/files/QuantilizersSaferAlternative.pdf) and [When to use quantilization](https://www.alignmentforum.org/posts/Rs6vZCrnQFWQ4p37P/when-to-use-quantilization)</v>
      </c>
      <c r="D1125" t="str">
        <f>IFERROR(__xludf.DUMMYFUNCTION("""COMPUTED_VALUE"""),"Jessica Taylor and Ryan Carey")</f>
        <v>Jessica Taylor and Ryan Carey</v>
      </c>
      <c r="E1125" t="str">
        <f>IFERROR(__xludf.DUMMYFUNCTION("""COMPUTED_VALUE"""),"MIRI Website and Alignment Forum")</f>
        <v>MIRI Website and Alignment Forum</v>
      </c>
      <c r="F1125">
        <f>IFERROR(__xludf.DUMMYFUNCTION("""COMPUTED_VALUE"""),2015.0)</f>
        <v>2015</v>
      </c>
      <c r="H1125" s="3" t="str">
        <f>IFERROR(__xludf.DUMMYFUNCTION("""COMPUTED_VALUE"""),"AN #48")</f>
        <v>AN #48</v>
      </c>
      <c r="I1125" t="str">
        <f>IFERROR(__xludf.DUMMYFUNCTION("""COMPUTED_VALUE"""),"Rohin")</f>
        <v>Rohin</v>
      </c>
      <c r="J1125" t="str">
        <f>IFERROR(__xludf.DUMMYFUNCTION("""COMPUTED_VALUE"""),"A key worry with AI alignment is that if we maximize expected utility for some utility function chosen by hand, we will likely get unintended side effects that score highly by the utility function but are nevertheless not what we intended. We might hope t"&amp;"o leverage human feedback to solve this: in particular, an AI system that simply mimics human actions would often be desirable. However, mimicry can only achieve human performance, and cannot improve upon it. The first link is a 2015 paper that introduces"&amp;" quantilization, which interpolates between these two extremes to improve upon human performance while bounding the potential (expected) loss from unintended side effects.
In particular, let's suppose that humans have some policy γ (i.e. probability dist"&amp;"ribution over actions). We evaluate utility or performance using a utility function U, but we _do not assume_ it is well-specified -- U can be any function, including one we would not want to maximize. Our goal is to design a policy π that gets higher exp"&amp;"ected U than γ (reflecting our hope that U measures utility well) without doing too much worse than γ in the worst case when U was as badly designed as possible. We'll consider a one-shot case: π is used to select an action once, and then the game is over"&amp;".
The core idea behind quantilization is simple: if our policy only does things that the human might have done, any expected loss it incurs corresponds to some loss that the human could incur. So, let's take our human policy γ, keep only the top q-fracti"&amp;"on of γ (as evaluated by U), and then sample an action from there. This defines our policy π_q, also called a q-quantilizer. For example, suppose the human would choose A with probability 0.25, B with probability 0.5, and C with probability 0.25, and U(A)"&amp;" &gt; U(B) &gt; U(C). Then a (1/4)-quantilizer would choose A with certainty, a (1/2)-quantilizer would choose randomly between A and B, and a (3/8)-quantilizer would choose A twice as often as B.
Note that even if π_q places all of its probability on the wors"&amp;"t possible actions (because U was badly designed), by construction the human had probability q of doing the same thing as π_q, and so the expected cost of π_q can be at most (1/q) times larger than the expected cost of the human policy γ. In fact, if we h"&amp;"ave no other knowledge, a q-quantilizer maximizes expected utility U subject to the constraint of never doing worse than (1/q) times as bad as γ.
As soon as you move to the setting with multiple actions, if you choose each action using quantilization, th"&amp;"en your worst case bound is exponential in the number of actions. If you assume the cost for each action is independent, you recover the guarantees, but this is not a realistic assumption (as the authors note). Long-term plans are very good or very bad _b"&amp;"ecause_ all of the actions build on each other to achieve some goal, so the costs are not going to be independent.
The second link is a recent post that further analyzes quantilization. It points out that the theoretical analysis in the paper assumes tha"&amp;"t deviating from the human policy can only lead to costs. If the deviation could also forgo benefits, then the theorems no longer apply. Perhaps the bottom (1-q) of actions actually have strong positive benefits, that we failed to model in U. Then by elim"&amp;"inating those actions, we may have lost arbitrary amounts of expected value. In these situations, the only way to bound the expected regret is by exact mimicry. It also points out that if you are aiming to simultaneously do well both on U and the worst-ca"&amp;"se bound, then typically imitation will be better since adding any optimization can drastically weaken the worst-case bound and usually will not make U better by the same amount. Quantilization makes sense when there is a ""sweet-spot of actions that are "&amp;"pretty common but substantially outperform imitation"".")</f>
        <v>A key worry with AI alignment is that if we maximize expected utility for some utility function chosen by hand, we will likely get unintended side effects that score highly by the utility function but are nevertheless not what we intended. We might hope to leverage human feedback to solve this: in particular, an AI system that simply mimics human actions would often be desirable. However, mimicry can only achieve human performance, and cannot improve upon it. The first link is a 2015 paper that introduces quantilization, which interpolates between these two extremes to improve upon human performance while bounding the potential (expected) loss from unintended side effects.
In particular, let's suppose that humans have some policy γ (i.e. probability distribution over actions). We evaluate utility or performance using a utility function U, but we _do not assume_ it is well-specified -- U can be any function, including one we would not want to maximize. Our goal is to design a policy π that gets higher expected U than γ (reflecting our hope that U measures utility well) without doing too much worse than γ in the worst case when U was as badly designed as possible. We'll consider a one-shot case: π is used to select an action once, and then the game is over.
The core idea behind quantilization is simple: if our policy only does things that the human might have done, any expected loss it incurs corresponds to some loss that the human could incur. So, let's take our human policy γ, keep only the top q-fraction of γ (as evaluated by U), and then sample an action from there. This defines our policy π_q, also called a q-quantilizer. For example, suppose the human would choose A with probability 0.25, B with probability 0.5, and C with probability 0.25, and U(A) &gt; U(B) &gt; U(C). Then a (1/4)-quantilizer would choose A with certainty, a (1/2)-quantilizer would choose randomly between A and B, and a (3/8)-quantilizer would choose A twice as often as B.
Note that even if π_q places all of its probability on the worst possible actions (because U was badly designed), by construction the human had probability q of doing the same thing as π_q, and so the expected cost of π_q can be at most (1/q) times larger than the expected cost of the human policy γ. In fact, if we have no other knowledge, a q-quantilizer maximizes expected utility U subject to the constraint of never doing worse than (1/q) times as bad as γ.
As soon as you move to the setting with multiple actions, if you choose each action using quantilization, then your worst case bound is exponential in the number of actions. If you assume the cost for each action is independent, you recover the guarantees, but this is not a realistic assumption (as the authors note). Long-term plans are very good or very bad _because_ all of the actions build on each other to achieve some goal, so the costs are not going to be independent.
The second link is a recent post that further analyzes quantilization. It points out that the theoretical analysis in the paper assumes that deviating from the human policy can only lead to costs. If the deviation could also forgo benefits, then the theorems no longer apply. Perhaps the bottom (1-q) of actions actually have strong positive benefits, that we failed to model in U. Then by eliminating those actions, we may have lost arbitrary amounts of expected value. In these situations, the only way to bound the expected regret is by exact mimicry. It also points out that if you are aiming to simultaneously do well both on U and the worst-case bound, then typically imitation will be better since adding any optimization can drastically weaken the worst-case bound and usually will not make U better by the same amount. Quantilization makes sense when there is a "sweet-spot of actions that are pretty common but substantially outperform imitation".</v>
      </c>
      <c r="K1125" t="str">
        <f>IFERROR(__xludf.DUMMYFUNCTION("""COMPUTED_VALUE"""),"The exponential blowup in potential loss with multiple actions would make this prohibitive, but of course you could instead view the full sequence of actions (i.e. trajectory) as a mega-action, and quantilize over this mega-action. In this case, a one-mil"&amp;"lionth-quantilizer could choose from among the million best plans that a human would make (assuming a well-specified U), and any unintended consequences (that were intentionally chosen by the quantilizer) would have to be ones that a human had a one-in-a-"&amp;"million chance of causing to occur, which quite plausibly excludes really bad outcomes.
Phrased this way, quantilization feels like an amplification of a human policy. Unlike the amplification in iterated amplification, it does _not_ try to preserve alig"&amp;"nment, it simply tries to bound how far away from alignment the resulting policy can diverge. As a result, you can't iterate quantilization to get arbitrarily good capabilities. You might hope that humans could learn from powerful AI systems, grow more ca"&amp;"pable themselves (while remaining as safe as they were before), and then the next quantilizers would be more powerful.
It's worth noting that the theorem in the paper shows that, to the extent that you think quantilization is insufficient for AI alignmen"&amp;"t, you need to make some other assumption, or find some other source of information, in order to do better, since quantilization is optimal for its particular setup. For example, you could try to assume that U is at least somewhat reasonable and not patho"&amp;"logically bad; or you could assume an interactive setting where the human can notice and correct for any issues with the U-maximizing plan before it is executed; or you could not have U at all and exceed human performance through some other technique.
I'"&amp;"m not very worried about the issue that quantilization could forgo benefits that the human policy had. It seems that even if this happens, we could notice this, turn off the quantilizer, and fix the utility function U so that it no longer ignores those be"&amp;"nefits. (We wouldn't be able to prevent the quantilizer from forgoing benefits of our policy that we didn't know about, but that seems okay to me.)")</f>
        <v>The exponential blowup in potential loss with multiple actions would make this prohibitive, but of course you could instead view the full sequence of actions (i.e. trajectory) as a mega-action, and quantilize over this mega-action. In this case, a one-millionth-quantilizer could choose from among the million best plans that a human would make (assuming a well-specified U), and any unintended consequences (that were intentionally chosen by the quantilizer) would have to be ones that a human had a one-in-a-million chance of causing to occur, which quite plausibly excludes really bad outcomes.
Phrased this way, quantilization feels like an amplification of a human policy. Unlike the amplification in iterated amplification, it does _not_ try to preserve alignment, it simply tries to bound how far away from alignment the resulting policy can diverge. As a result, you can't iterate quantilization to get arbitrarily good capabilities. You might hope that humans could learn from powerful AI systems, grow more capable themselves (while remaining as safe as they were before), and then the next quantilizers would be more powerful.
It's worth noting that the theorem in the paper shows that, to the extent that you think quantilization is insufficient for AI alignment, you need to make some other assumption, or find some other source of information, in order to do better, since quantilization is optimal for its particular setup. For example, you could try to assume that U is at least somewhat reasonable and not pathologically bad; or you could assume an interactive setting where the human can notice and correct for any issues with the U-maximizing plan before it is executed; or you could not have U at all and exceed human performance through some other technique.
I'm not very worried about the issue that quantilization could forgo benefits that the human policy had. It seems that even if this happens, we could notice this, turn off the quantilizer, and fix the utility function U so that it no longer ignores those benefits. (We wouldn't be able to prevent the quantilizer from forgoing benefits of our policy that we didn't know about, but that seems okay to me.)</v>
      </c>
    </row>
    <row r="1126">
      <c r="A1126" t="str">
        <f>IFERROR(__xludf.DUMMYFUNCTION("""COMPUTED_VALUE"""),"Miscellaneous (Alignment)")</f>
        <v>Miscellaneous (Alignment)</v>
      </c>
      <c r="B1126" t="str">
        <f>IFERROR(__xludf.DUMMYFUNCTION("""COMPUTED_VALUE"""),"Highlight")</f>
        <v>Highlight</v>
      </c>
      <c r="C1126" s="3" t="str">
        <f>IFERROR(__xludf.DUMMYFUNCTION("""COMPUTED_VALUE"""),"AI Safety Needs Social Scientists")</f>
        <v>AI Safety Needs Social Scientists</v>
      </c>
      <c r="D1126" t="str">
        <f>IFERROR(__xludf.DUMMYFUNCTION("""COMPUTED_VALUE"""),"Geoffrey Irving and Amanda Askell")</f>
        <v>Geoffrey Irving and Amanda Askell</v>
      </c>
      <c r="E1126" t="str">
        <f>IFERROR(__xludf.DUMMYFUNCTION("""COMPUTED_VALUE"""),"Distill")</f>
        <v>Distill</v>
      </c>
      <c r="F1126">
        <f>IFERROR(__xludf.DUMMYFUNCTION("""COMPUTED_VALUE"""),2019.0)</f>
        <v>2019</v>
      </c>
      <c r="H1126" s="3" t="str">
        <f>IFERROR(__xludf.DUMMYFUNCTION("""COMPUTED_VALUE"""),"AN #47")</f>
        <v>AN #47</v>
      </c>
      <c r="I1126" t="str">
        <f>IFERROR(__xludf.DUMMYFUNCTION("""COMPUTED_VALUE"""),"Richard")</f>
        <v>Richard</v>
      </c>
      <c r="J1126" t="str">
        <f>IFERROR(__xludf.DUMMYFUNCTION("""COMPUTED_VALUE"""),"One approach to AI safety is to ""ask humans a large number of questions about what they want, train an ML model of their values, and optimize the AI system to do well according to the learned values"". However, humans give answers that are limited, biase"&amp;"d and often in disagreement with each other, and so AI safety needs social scientists to figure out how to improve this data - which eventually may be gathered from thousands or millions of people. Of particular importance is the ability to design rigorou"&amp;"s experiments, drawing from an interdisciplinary understanding of human cognition and behaviour. The authors discuss [Debate](https://blog.openai.com/debate/) ([AN #5](https://mailchi.mp/0ae5d69de63b/alignment-newsletter-5)) as a case study of a safety te"&amp;"chnique whose success depends on empirical questions such as: how skilled are humans as judges by default? Can we train people to be better judges? Are there ways to restrict debate to make it easier to judge?
There are a couple of key premises underlyin"&amp;"g this argument. The first is that, despite human biases, there are correct answers to questions about human values - perhaps defined as the answer we would endorse if given all relevant information and unlimited time to think. However, it’s not necessary"&amp;" for AIs to always find those answers, as long as they are able to recognise cases in which they’re uncertain and do nothing (while there are some cases in which inaction can cause harm, such as a self-driving car ceasing to steer mid-journey, it seems th"&amp;"at the most worrying long-term catastrophes can be avoided by inaction). Another reason for optimism is that even incomplete or negative results from social science experiments may be useful in informing technical safety research going forward. However, i"&amp;"n some cases the systems we're trying to reason about are very different from anything we can test now - for example, AI debaters that are much stronger than humans.")</f>
        <v>One approach to AI safety is to "ask humans a large number of questions about what they want, train an ML model of their values, and optimize the AI system to do well according to the learned values". However, humans give answers that are limited, biased and often in disagreement with each other, and so AI safety needs social scientists to figure out how to improve this data - which eventually may be gathered from thousands or millions of people. Of particular importance is the ability to design rigorous experiments, drawing from an interdisciplinary understanding of human cognition and behaviour. The authors discuss [Debate](https://blog.openai.com/debate/) ([AN #5](https://mailchi.mp/0ae5d69de63b/alignment-newsletter-5)) as a case study of a safety technique whose success depends on empirical questions such as: how skilled are humans as judges by default? Can we train people to be better judges? Are there ways to restrict debate to make it easier to judge?
There are a couple of key premises underlying this argument. The first is that, despite human biases, there are correct answers to questions about human values - perhaps defined as the answer we would endorse if given all relevant information and unlimited time to think. However, it’s not necessary for AIs to always find those answers, as long as they are able to recognise cases in which they’re uncertain and do nothing (while there are some cases in which inaction can cause harm, such as a self-driving car ceasing to steer mid-journey, it seems that the most worrying long-term catastrophes can be avoided by inaction). Another reason for optimism is that even incomplete or negative results from social science experiments may be useful in informing technical safety research going forward. However, in some cases the systems we're trying to reason about are very different from anything we can test now - for example, AI debaters that are much stronger than humans.</v>
      </c>
      <c r="K1126" t="str">
        <f>IFERROR(__xludf.DUMMYFUNCTION("""COMPUTED_VALUE"""),"This post, and its accompanying paper, seems very sensible to me. While I have some doubts about how informative human debate data will be about superhuman debaters, it certainly seems worth trying to gain more empirical information. Note that while the p"&amp;"aper primarily discusses Debate, I think that many of its arguments are applicable to any human-in-the-loop safety methods (and probably others too). Currently I think Ought is the safety group focusing most on collecting human data, but I look forward to"&amp;" seeing other researchers doing so.")</f>
        <v>This post, and its accompanying paper, seems very sensible to me. While I have some doubts about how informative human debate data will be about superhuman debaters, it certainly seems worth trying to gain more empirical information. Note that while the paper primarily discusses Debate, I think that many of its arguments are applicable to any human-in-the-loop safety methods (and probably others too). Currently I think Ought is the safety group focusing most on collecting human data, but I look forward to seeing other researchers doing so.</v>
      </c>
    </row>
    <row r="1127">
      <c r="A1127" t="str">
        <f>IFERROR(__xludf.DUMMYFUNCTION("""COMPUTED_VALUE"""),"Miscellaneous (Alignment)")</f>
        <v>Miscellaneous (Alignment)</v>
      </c>
      <c r="B1127" t="str">
        <f>IFERROR(__xludf.DUMMYFUNCTION("""COMPUTED_VALUE"""),"Highlight")</f>
        <v>Highlight</v>
      </c>
      <c r="C1127" s="3" t="str">
        <f>IFERROR(__xludf.DUMMYFUNCTION("""COMPUTED_VALUE"""),"How does Gradient Descent Interact with Goodhart?")</f>
        <v>How does Gradient Descent Interact with Goodhart?</v>
      </c>
      <c r="D1127" t="str">
        <f>IFERROR(__xludf.DUMMYFUNCTION("""COMPUTED_VALUE"""),"Scott Garrabrant")</f>
        <v>Scott Garrabrant</v>
      </c>
      <c r="E1127" t="str">
        <f>IFERROR(__xludf.DUMMYFUNCTION("""COMPUTED_VALUE"""),"Alignment Forum")</f>
        <v>Alignment Forum</v>
      </c>
      <c r="F1127">
        <f>IFERROR(__xludf.DUMMYFUNCTION("""COMPUTED_VALUE"""),2019.0)</f>
        <v>2019</v>
      </c>
      <c r="H1127" s="3" t="str">
        <f>IFERROR(__xludf.DUMMYFUNCTION("""COMPUTED_VALUE"""),"AN #44")</f>
        <v>AN #44</v>
      </c>
      <c r="I1127" t="str">
        <f>IFERROR(__xludf.DUMMYFUNCTION("""COMPUTED_VALUE"""),"Rohin")</f>
        <v>Rohin</v>
      </c>
      <c r="J1127" t="str">
        <f>IFERROR(__xludf.DUMMYFUNCTION("""COMPUTED_VALUE"""),"Scott often thinks about optimization using a simple proxy of ""sample N points and choose the one with the highest value"", where larger N corresponds to more powerful optimization. However, this seems to be a poor model for what gradient descent actuall"&amp;"y does, and it seems valuable to understand the difference (or to find out that there isn't any significant difference). A particularly interesting subquestion is whether [Goodhart's Law](https://www.alignmentforum.org/posts/EbFABnst8LsidYs5Y/goodhart-tax"&amp;"onomy) behaves differently for gradient descent vs. random search.")</f>
        <v>Scott often thinks about optimization using a simple proxy of "sample N points and choose the one with the highest value", where larger N corresponds to more powerful optimization. However, this seems to be a poor model for what gradient descent actually does, and it seems valuable to understand the difference (or to find out that there isn't any significant difference). A particularly interesting subquestion is whether [Goodhart's Law](https://www.alignmentforum.org/posts/EbFABnst8LsidYs5Y/goodhart-taxonomy) behaves differently for gradient descent vs. random search.</v>
      </c>
      <c r="K1127" t="str">
        <f>IFERROR(__xludf.DUMMYFUNCTION("""COMPUTED_VALUE"""),"I don't think that the two methods are very different, and I expect that if you can control for ""optimization power"", the two methods would be about equally susceptible to Goodhart's Law. (In any given experiment, one will be better than the other, for "&amp;"reasons that depend on the experiment, but averaged across experiments I don't expect to see a clear winner.) However, I do think that gradient descent is very powerful at optimization, and it's hard to imagine the astronomically large random search that "&amp;"would compare with it, and so in any practical application gradient descent will lead to more Goodharting (and more overfitting) than random search. (It will also perform better, since it won't underfit, as random search would.)
One of the answers to thi"&amp;"s question talks about some experimental evidence, where they find that they can get different results with a relatively minor change to the experimental procedure, which I think is weak evidence for this position.")</f>
        <v>I don't think that the two methods are very different, and I expect that if you can control for "optimization power", the two methods would be about equally susceptible to Goodhart's Law. (In any given experiment, one will be better than the other, for reasons that depend on the experiment, but averaged across experiments I don't expect to see a clear winner.) However, I do think that gradient descent is very powerful at optimization, and it's hard to imagine the astronomically large random search that would compare with it, and so in any practical application gradient descent will lead to more Goodharting (and more overfitting) than random search. (It will also perform better, since it won't underfit, as random search would.)
One of the answers to this question talks about some experimental evidence, where they find that they can get different results with a relatively minor change to the experimental procedure, which I think is weak evidence for this position.</v>
      </c>
    </row>
    <row r="1128">
      <c r="A1128" t="str">
        <f>IFERROR(__xludf.DUMMYFUNCTION("""COMPUTED_VALUE"""),"Miscellaneous (Alignment)")</f>
        <v>Miscellaneous (Alignment)</v>
      </c>
      <c r="B1128" t="str">
        <f>IFERROR(__xludf.DUMMYFUNCTION("""COMPUTED_VALUE"""),"Highlight")</f>
        <v>Highlight</v>
      </c>
      <c r="C1128" s="3" t="str">
        <f>IFERROR(__xludf.DUMMYFUNCTION("""COMPUTED_VALUE"""),"80K podcast with Katja Grace")</f>
        <v>80K podcast with Katja Grace</v>
      </c>
      <c r="D1128" t="str">
        <f>IFERROR(__xludf.DUMMYFUNCTION("""COMPUTED_VALUE"""),"Katja Grace and Rob Wiblin")</f>
        <v>Katja Grace and Rob Wiblin</v>
      </c>
      <c r="E1128" t="str">
        <f>IFERROR(__xludf.DUMMYFUNCTION("""COMPUTED_VALUE"""),"80,000 Hours")</f>
        <v>80,000 Hours</v>
      </c>
      <c r="F1128">
        <f>IFERROR(__xludf.DUMMYFUNCTION("""COMPUTED_VALUE"""),2018.0)</f>
        <v>2018</v>
      </c>
      <c r="H1128" s="3" t="str">
        <f>IFERROR(__xludf.DUMMYFUNCTION("""COMPUTED_VALUE"""),"AN #21")</f>
        <v>AN #21</v>
      </c>
      <c r="I1128" t="str">
        <f>IFERROR(__xludf.DUMMYFUNCTION("""COMPUTED_VALUE"""),"Rohin")</f>
        <v>Rohin</v>
      </c>
      <c r="J1128" t="str">
        <f>IFERROR(__xludf.DUMMYFUNCTION("""COMPUTED_VALUE"""),"Rob Wiblin interviewed Katja Grace of AI Impacts about her work predicting the future of AI. My main takeaway was that there are many important questions in this space that almost no one is trying to answer, and that we haven't made a good enough attempt "&amp;"yet to conclude that it's too hard to do, so we should put more time into it. If you haven't seen AI Impacts' work before, you can get some of the most interesting results (at a high level) from listening to this podcast. There's a ton of detail in the po"&amp;"dcast -- too much for me to summarize here.")</f>
        <v>Rob Wiblin interviewed Katja Grace of AI Impacts about her work predicting the future of AI. My main takeaway was that there are many important questions in this space that almost no one is trying to answer, and that we haven't made a good enough attempt yet to conclude that it's too hard to do, so we should put more time into it. If you haven't seen AI Impacts' work before, you can get some of the most interesting results (at a high level) from listening to this podcast. There's a ton of detail in the podcast -- too much for me to summarize here.</v>
      </c>
      <c r="K1128" t="str">
        <f>IFERROR(__xludf.DUMMYFUNCTION("""COMPUTED_VALUE"""),"I don't currently think very much about timelines, intelligence explosions, and other questions that AI Impacts thinks about, but it seems very plausible to me that these could be extremely important. (I do think about discontinuities in progress and am v"&amp;"ery glad I read the [AI Impacts post](https://aiimpacts.org/likelihood-of-discontinuous-progress-around-the-development-of-agi/) on the subject.) One point that the interview brings up is that there are very few (perhaps two?) full time equivalents workin"&amp;"g on predicting the future of AI, while there are many people working on technical AI safety, so the former is more neglected. I'm not sure I agree with this -- the number of full time equivalents doing technical AI alignment research seems quite small (o"&amp;"n the order of 50 people). However, I do see _many_ people who are trying to skill up so that they can do technical AI alignment research, and none who want to do better prediction, and that seems clearly wrong. I would guess that there are several reader"&amp;"s of this newsletter who want to do technical AI alignment research, but who would have more impact if they worked in an adjacent area, such as prediction as at AI Impacts, or policy and strategy work, or in better tools and communication. Even though I'm"&amp;" well-placed to do technical research, I still think that common knowledge of research is a big enough bottleneck that I spend a lot of time on this newsletter. It seems likely that there is someone else who would do a better job than me, but who is set o"&amp;"n technical safety research even though they wouldn't be as good. So I guess if you are still trying to figure out how to best help with AI alignment, or are about to start training up to do technical research, please do listen to this podcast and conside"&amp;"r that alternative route, and various others as well. The goal is not to figure out which question is the most important, so that you can try to solve it. You'll likely do better by considering the field as a whole, and asking which area you would be in i"&amp;"f someone optimally assigned people in the field to tasks.")</f>
        <v>I don't currently think very much about timelines, intelligence explosions, and other questions that AI Impacts thinks about, but it seems very plausible to me that these could be extremely important. (I do think about discontinuities in progress and am very glad I read the [AI Impacts post](https://aiimpacts.org/likelihood-of-discontinuous-progress-around-the-development-of-agi/) on the subject.) One point that the interview brings up is that there are very few (perhaps two?) full time equivalents working on predicting the future of AI, while there are many people working on technical AI safety, so the former is more neglected. I'm not sure I agree with this -- the number of full time equivalents doing technical AI alignment research seems quite small (on the order of 50 people). However, I do see _many_ people who are trying to skill up so that they can do technical AI alignment research, and none who want to do better prediction, and that seems clearly wrong. I would guess that there are several readers of this newsletter who want to do technical AI alignment research, but who would have more impact if they worked in an adjacent area, such as prediction as at AI Impacts, or policy and strategy work, or in better tools and communication. Even though I'm well-placed to do technical research, I still think that common knowledge of research is a big enough bottleneck that I spend a lot of time on this newsletter. It seems likely that there is someone else who would do a better job than me, but who is set on technical safety research even though they wouldn't be as good. So I guess if you are still trying to figure out how to best help with AI alignment, or are about to start training up to do technical research, please do listen to this podcast and consider that alternative route, and various others as well. The goal is not to figure out which question is the most important, so that you can try to solve it. You'll likely do better by considering the field as a whole, and asking which area you would be in if someone optimally assigned people in the field to tasks.</v>
      </c>
    </row>
    <row r="1129">
      <c r="A1129" t="str">
        <f>IFERROR(__xludf.DUMMYFUNCTION("""COMPUTED_VALUE"""),"Miscellaneous (Alignment)")</f>
        <v>Miscellaneous (Alignment)</v>
      </c>
      <c r="B1129" t="str">
        <f>IFERROR(__xludf.DUMMYFUNCTION("""COMPUTED_VALUE"""),"Highlight")</f>
        <v>Highlight</v>
      </c>
      <c r="C1129" s="3" t="str">
        <f>IFERROR(__xludf.DUMMYFUNCTION("""COMPUTED_VALUE"""),"The ""most important century"" series")</f>
        <v>The "most important century" series</v>
      </c>
      <c r="D1129" t="str">
        <f>IFERROR(__xludf.DUMMYFUNCTION("""COMPUTED_VALUE"""),"Holden Karnofsky")</f>
        <v>Holden Karnofsky</v>
      </c>
      <c r="E1129" t="str">
        <f>IFERROR(__xludf.DUMMYFUNCTION("""COMPUTED_VALUE"""),"Author's Website")</f>
        <v>Author's Website</v>
      </c>
      <c r="F1129">
        <f>IFERROR(__xludf.DUMMYFUNCTION("""COMPUTED_VALUE"""),2021.0)</f>
        <v>2021</v>
      </c>
      <c r="H1129" s="3" t="str">
        <f>IFERROR(__xludf.DUMMYFUNCTION("""COMPUTED_VALUE"""),"AN #166")</f>
        <v>AN #166</v>
      </c>
      <c r="I1129" t="str">
        <f>IFERROR(__xludf.DUMMYFUNCTION("""COMPUTED_VALUE"""),"Rohin")</f>
        <v>Rohin</v>
      </c>
      <c r="J1129" t="str">
        <f>IFERROR(__xludf.DUMMYFUNCTION("""COMPUTED_VALUE"""),"In some sense, it is really weird for us to claim that there is a non-trivial chance that in the near future, we might build [transformative AI](https://www.openphilanthropy.org/blog/some-background-our-views-regarding-advanced-artificial-intelligence) an"&amp;"d either (1) go extinct or (2) exceed a growth rate of (say) 100% per year. It feels like an extraordinary claim, and thus should require extraordinary evidence. One way of cashing this out: if the claim were true, this century would be the most important"&amp;" century, with the most opportunity for individuals to have an impact. Given the sheer number of centuries there are, this is an extraordinary claim; it should really have extraordinary evidence. This series argues that while the claim does seem extraordi"&amp;"nary, _all_ views seem extraordinary -- there isn’t some default baseline view that is “ordinary” to which we should be assigning most of our probability.
Specifically, consider three possibilities for the long-run future:
1. **Radical:** We will have a "&amp;"productivity explosion by 2100, which will enable us to become technologically mature. Think of a civilization that sends spacecraft throughout the galaxy, builds permanent settlements on other planets, harvests large fractions of the energy output from s"&amp;"tars, etc.
2. **Conservative:** We get to a technologically mature civilization, but it takes hundreds or thousands of years. Let’s say even 100,000 years to be ultra conservative.
3. **Skeptical:** We never become technologically mature for some reason. "&amp;"Perhaps we run into fundamental technological limits, or we choose not to expand into the galaxy, or we’re in a simulation, etc.
It’s pretty clear why the radical view is extraordinary. What about the other two?
The conservative view implies that we are "&amp;"currently in the most important 100,000-year period. Given that life is billions of years old, and would presumably continue for billions of years to come once we reach a stable galaxy-wide civilization, that would make this the most important 100,000 yea"&amp;"r period out of tens of thousands of such periods. Thus the conservative view is also extraordinary, for the same reason that the radical view is extraordinary (albeit it is perhaps only half as extraordinary as the radical view).
The skeptical view by i"&amp;"tself does not seem obviously extraordinary. However, while you could assign 70% probability to the skeptical view, it seems unreasonable to assign 99% probability to such a view -- that suggests some very strong or confident claims about what prevents us"&amp;" from colonizing the galaxy, which we probably shouldn’t have given our current knowledge. So, we need to have a non-trivial chunk of probability on the other views, which still opens us up to critique of having extraordinary claims.
Okay, so we’ve estab"&amp;"lished that we should at least be willing to say something as extreme as “there’s a non-trivial chance we’re in the most important 100,000-year period”. Can we tighten the argument, to talk about the most important _century_? In fact, we can, by looking a"&amp;"t the economic growth rate.
You are probably aware that the US economy grows around 2-3% per year (after adjusting for inflation), so a business-as-usual, non-crazy, default view might be to expect this to continue. You are probably also aware that expon"&amp;"ential growth can grow _very_ quickly. At the lower end of 2% per year, the economy would double every ~35 years. If this continued for 8200 years, **we'd need to be sustaining multiple economies as big as today's entire world economy _per atom in the gal"&amp;"axy_**. While this is not a priori impossible, it seems quite unlikely to happen. This suggests that we’re in one of fewer than 82 centuries that will have growth rates at 2% or larger, making it far less “extraordinary” to claim that we’re in the most im"&amp;"portant one, especially if you believe that growth rates are well correlated with change and ability to have impact.
The actual radical view that the author places non-trivial probability on is one we’ve seen before in this newsletter: it is one in which"&amp;" there is  automation of science and technology through advanced AI or whole brain emulations or other possibilities. This allows technology to substitute for human labor in the economy, which produces a positive feedback loop as the output of the economy"&amp;" is ploughed back into the economy creating superexponential growth and a “productivity explosion”, where the growth rate increases far _beyond_ 2%. The series summarizes and connects together &lt;@many@&gt;(@Modeling the Human Trajectory@), &lt;@past@&gt;(@Could Adv"&amp;"anced AI Drive Explosive Economic Growth?@), &lt;@Open@&gt;(@Draft report on AI timelines@), &lt;@Phil@&gt;(@How Much Computational Power It Takes to Match the Human Brain@) &lt;@analyses@&gt;(@Semi-informative priors over AI timelines@), which I won't be summarizing here "&amp;"(since we've summarized these analyses previously). While this is a more specific and “extraordinary” claim than even the claim that we live in the most important century, it seems like it should not be seen as so extraordinary given the arguments above.
"&amp;"
This series also argues for a few other points important to longtermism, which I’ll copy here:
1. **The long-run future is radically unfamiliar.** Enough advances in technology could lead to a long-lasting, galaxy-wide civilization that could be a radica"&amp;"l utopia, dystopia, or anything in between.
2. **The long-run future could come much faster than we think**, due to a possible AI-driven productivity explosion. (I briefly mentioned this above, but the full series devotes much more space and many more arg"&amp;"uments to this point.)
3. We, the people living in this century, have the chance to have a huge impact on huge numbers of people to come - if we can make sense of the situation enough to find helpful actions. But right now, **we aren't ready for this.**")</f>
        <v>In some sense, it is really weird for us to claim that there is a non-trivial chance that in the near future, we might build [transformative AI](https://www.openphilanthropy.org/blog/some-background-our-views-regarding-advanced-artificial-intelligence) and either (1) go extinct or (2) exceed a growth rate of (say) 100% per year. It feels like an extraordinary claim, and thus should require extraordinary evidence. One way of cashing this out: if the claim were true, this century would be the most important century, with the most opportunity for individuals to have an impact. Given the sheer number of centuries there are, this is an extraordinary claim; it should really have extraordinary evidence. This series argues that while the claim does seem extraordinary, _all_ views seem extraordinary -- there isn’t some default baseline view that is “ordinary” to which we should be assigning most of our probability.
Specifically, consider three possibilities for the long-run future:
1. **Radical:** We will have a productivity explosion by 2100, which will enable us to become technologically mature. Think of a civilization that sends spacecraft throughout the galaxy, builds permanent settlements on other planets, harvests large fractions of the energy output from stars, etc.
2. **Conservative:** We get to a technologically mature civilization, but it takes hundreds or thousands of years. Let’s say even 100,000 years to be ultra conservative.
3. **Skeptical:** We never become technologically mature for some reason. Perhaps we run into fundamental technological limits, or we choose not to expand into the galaxy, or we’re in a simulation, etc.
It’s pretty clear why the radical view is extraordinary. What about the other two?
The conservative view implies that we are currently in the most important 100,000-year period. Given that life is billions of years old, and would presumably continue for billions of years to come once we reach a stable galaxy-wide civilization, that would make this the most important 100,000 year period out of tens of thousands of such periods. Thus the conservative view is also extraordinary, for the same reason that the radical view is extraordinary (albeit it is perhaps only half as extraordinary as the radical view).
The skeptical view by itself does not seem obviously extraordinary. However, while you could assign 70% probability to the skeptical view, it seems unreasonable to assign 99% probability to such a view -- that suggests some very strong or confident claims about what prevents us from colonizing the galaxy, which we probably shouldn’t have given our current knowledge. So, we need to have a non-trivial chunk of probability on the other views, which still opens us up to critique of having extraordinary claims.
Okay, so we’ve established that we should at least be willing to say something as extreme as “there’s a non-trivial chance we’re in the most important 100,000-year period”. Can we tighten the argument, to talk about the most important _century_? In fact, we can, by looking at the economic growth rate.
You are probably aware that the US economy grows around 2-3% per year (after adjusting for inflation), so a business-as-usual, non-crazy, default view might be to expect this to continue. You are probably also aware that exponential growth can grow _very_ quickly. At the lower end of 2% per year, the economy would double every ~35 years. If this continued for 8200 years, **we'd need to be sustaining multiple economies as big as today's entire world economy _per atom in the galaxy_**. While this is not a priori impossible, it seems quite unlikely to happen. This suggests that we’re in one of fewer than 82 centuries that will have growth rates at 2% or larger, making it far less “extraordinary” to claim that we’re in the most important one, especially if you believe that growth rates are well correlated with change and ability to have impact.
The actual radical view that the author places non-trivial probability on is one we’ve seen before in this newsletter: it is one in which there is  automation of science and technology through advanced AI or whole brain emulations or other possibilities. This allows technology to substitute for human labor in the economy, which produces a positive feedback loop as the output of the economy is ploughed back into the economy creating superexponential growth and a “productivity explosion”, where the growth rate increases far _beyond_ 2%. The series summarizes and connects together &lt;@many@&gt;(@Modeling the Human Trajectory@), &lt;@past@&gt;(@Could Advanced AI Drive Explosive Economic Growth?@), &lt;@Open@&gt;(@Draft report on AI timelines@), &lt;@Phil@&gt;(@How Much Computational Power It Takes to Match the Human Brain@) &lt;@analyses@&gt;(@Semi-informative priors over AI timelines@), which I won't be summarizing here (since we've summarized these analyses previously). While this is a more specific and “extraordinary” claim than even the claim that we live in the most important century, it seems like it should not be seen as so extraordinary given the arguments above.
This series also argues for a few other points important to longtermism, which I’ll copy here:
1. **The long-run future is radically unfamiliar.** Enough advances in technology could lead to a long-lasting, galaxy-wide civilization that could be a radical utopia, dystopia, or anything in between.
2. **The long-run future could come much faster than we think**, due to a possible AI-driven productivity explosion. (I briefly mentioned this above, but the full series devotes much more space and many more arguments to this point.)
3. We, the people living in this century, have the chance to have a huge impact on huge numbers of people to come - if we can make sense of the situation enough to find helpful actions. But right now, **we aren't ready for this.**</v>
      </c>
      <c r="K1129" t="str">
        <f>IFERROR(__xludf.DUMMYFUNCTION("""COMPUTED_VALUE"""),"I especially liked this series for the argument that 2% economic growth very likely cannot last much longer, providing quite a strong argument for the importance of this century, without relying at all on controversial facts about AI. At least personally "&amp;"I was previously uneasy about how “grand” or “extraordinary” AGI claims tend to be, and whether I should be far more skeptical of them as a result. I feel significantly more comfortable with these claims after seeing this argument.
Note though that it do"&amp;"es not defuse all such uneasiness -- you can still look at how early we appear to be (given the billions of years of civilization that could remain in the future), and conclude that the simulation hypothesis is true, or that there is a Great Filter in our"&amp;" future that will drive us extinct with near-certainty. In such situations there would be no extraordinary impact to be had today by working on AI risk.")</f>
        <v>I especially liked this series for the argument that 2% economic growth very likely cannot last much longer, providing quite a strong argument for the importance of this century, without relying at all on controversial facts about AI. At least personally I was previously uneasy about how “grand” or “extraordinary” AGI claims tend to be, and whether I should be far more skeptical of them as a result. I feel significantly more comfortable with these claims after seeing this argument.
Note though that it does not defuse all such uneasiness -- you can still look at how early we appear to be (given the billions of years of civilization that could remain in the future), and conclude that the simulation hypothesis is true, or that there is a Great Filter in our future that will drive us extinct with near-certainty. In such situations there would be no extraordinary impact to be had today by working on AI risk.</v>
      </c>
      <c r="M1129" s="3" t="str">
        <f>IFERROR(__xludf.DUMMYFUNCTION("""COMPUTED_VALUE"""),"80,000 Hours podcast on the topic")</f>
        <v>80,000 Hours podcast on the topic</v>
      </c>
    </row>
    <row r="1130">
      <c r="A1130" t="str">
        <f>IFERROR(__xludf.DUMMYFUNCTION("""COMPUTED_VALUE"""),"Miscellaneous (Alignment)")</f>
        <v>Miscellaneous (Alignment)</v>
      </c>
      <c r="B1130" t="str">
        <f>IFERROR(__xludf.DUMMYFUNCTION("""COMPUTED_VALUE"""),"Highlight")</f>
        <v>Highlight</v>
      </c>
      <c r="C1130" s="3" t="str">
        <f>IFERROR(__xludf.DUMMYFUNCTION("""COMPUTED_VALUE"""),"Troubling Trends in ML Scholarship")</f>
        <v>Troubling Trends in ML Scholarship</v>
      </c>
      <c r="D1130" t="str">
        <f>IFERROR(__xludf.DUMMYFUNCTION("""COMPUTED_VALUE"""),"Zachary C. Lipton and Jacob Steinhardt")</f>
        <v>Zachary C. Lipton and Jacob Steinhardt</v>
      </c>
      <c r="E1130" t="str">
        <f>IFERROR(__xludf.DUMMYFUNCTION("""COMPUTED_VALUE"""),"ICML 2018: The Debates")</f>
        <v>ICML 2018: The Debates</v>
      </c>
      <c r="F1130">
        <f>IFERROR(__xludf.DUMMYFUNCTION("""COMPUTED_VALUE"""),2018.0)</f>
        <v>2018</v>
      </c>
      <c r="H1130" s="3" t="str">
        <f>IFERROR(__xludf.DUMMYFUNCTION("""COMPUTED_VALUE"""),"AN #15")</f>
        <v>AN #15</v>
      </c>
      <c r="I1130" t="str">
        <f>IFERROR(__xludf.DUMMYFUNCTION("""COMPUTED_VALUE"""),"Rohin")</f>
        <v>Rohin</v>
      </c>
      <c r="J1130" t="str">
        <f>IFERROR(__xludf.DUMMYFUNCTION("""COMPUTED_VALUE"""),"This is a position paper arguing that ML research would benefit from more rigor, as part of the ICML debates. It identifies four trends in ML papers. First, papers often don't make clear whether they are providing an (authoritative) explanation or a specu"&amp;"lation, in which case speculations can accidentally be cited as proven facts in other papers. Second, researchers often don't perform ablation studies, which makes it hard to figure out whether performance gains come from eg. a better algorithm or hyperpa"&amp;"rameter tuning. Third, papers often include math for the sake of conveying technical depth and impressiveness, not actual exposition, including eg. spurious theorems that are not particularly related to the main claims of the paper. Fourth, papers often m"&amp;"isuse language by using suggestive definitions (eg. ""curiosity"", ""fear""), overloading existing terminology, and suitcase words (words with combine many different meanings into one, leading to a very vague concept). The authors speculate on the causes "&amp;"(which I'm not summarizing) and have some suggestions for the community. For authors, they recommend asking what worked, and why, rather than just quantifying performance. For reviewers, they recommend asking ""Might I have accepted this paper if the auth"&amp;"ors had done a worse job?” For example, if the authors hadn't done the ablation study that showed that two things didn't work, and instead just showed a combination of methods that gave a performance improvement, would I have accepted the paper?")</f>
        <v>This is a position paper arguing that ML research would benefit from more rigor, as part of the ICML debates. It identifies four trends in ML papers. First, papers often don't make clear whether they are providing an (authoritative) explanation or a speculation, in which case speculations can accidentally be cited as proven facts in other papers. Second, researchers often don't perform ablation studies, which makes it hard to figure out whether performance gains come from eg. a better algorithm or hyperparameter tuning. Third, papers often include math for the sake of conveying technical depth and impressiveness, not actual exposition, including eg. spurious theorems that are not particularly related to the main claims of the paper. Fourth, papers often misuse language by using suggestive definitions (eg. "curiosity", "fear"), overloading existing terminology, and suitcase words (words with combine many different meanings into one, leading to a very vague concept). The authors speculate on the causes (which I'm not summarizing) and have some suggestions for the community. For authors, they recommend asking what worked, and why, rather than just quantifying performance. For reviewers, they recommend asking "Might I have accepted this paper if the authors had done a worse job?” For example, if the authors hadn't done the ablation study that showed that two things didn't work, and instead just showed a combination of methods that gave a performance improvement, would I have accepted the paper?</v>
      </c>
      <c r="K1130" t="str">
        <f>IFERROR(__xludf.DUMMYFUNCTION("""COMPUTED_VALUE"""),"I strongly agree with this paper. Mathiness in particular is really annoying; often when I spend the time to actually understand the math in a paper, I come away disappointed at how it is saying something trivial or unimportant, and at this point I typica"&amp;"lly ignore the theorems unless I can't understand what the paper is saying without them. It's also really helpful to have ablation studies -- in fact, for last week's Capture the Flag paper, I probably would have written off the learned reward shaping as "&amp;"unimportant if the ablation study wasn't there to show it was important, after which I dug deeper and figured out what I had misunderstood. And suggestive language has in the past convinced me to read a paper, and then be surprised when the paper ended, b"&amp;"ecause the actual content of the paper contained so much less than I expected. I'm a big fan of the recommendation to reviewers -- while it seems so obvious in hindsight, I've never actually asked myself that question when reviewing a paper.")</f>
        <v>I strongly agree with this paper. Mathiness in particular is really annoying; often when I spend the time to actually understand the math in a paper, I come away disappointed at how it is saying something trivial or unimportant, and at this point I typically ignore the theorems unless I can't understand what the paper is saying without them. It's also really helpful to have ablation studies -- in fact, for last week's Capture the Flag paper, I probably would have written off the learned reward shaping as unimportant if the ablation study wasn't there to show it was important, after which I dug deeper and figured out what I had misunderstood. And suggestive language has in the past convinced me to read a paper, and then be surprised when the paper ended, because the actual content of the paper contained so much less than I expected. I'm a big fan of the recommendation to reviewers -- while it seems so obvious in hindsight, I've never actually asked myself that question when reviewing a paper.</v>
      </c>
    </row>
    <row r="1131">
      <c r="A1131" t="str">
        <f>IFERROR(__xludf.DUMMYFUNCTION("""COMPUTED_VALUE"""),"Miscellaneous (Alignment)")</f>
        <v>Miscellaneous (Alignment)</v>
      </c>
      <c r="B1131" t="str">
        <f>IFERROR(__xludf.DUMMYFUNCTION("""COMPUTED_VALUE"""),"Highlight")</f>
        <v>Highlight</v>
      </c>
      <c r="C1131" t="str">
        <f>IFERROR(__xludf.DUMMYFUNCTION("""COMPUTED_VALUE"""),"Editorial policy for the Alignment Newsletter")</f>
        <v>Editorial policy for the Alignment Newsletter</v>
      </c>
      <c r="D1131" t="str">
        <f>IFERROR(__xludf.DUMMYFUNCTION("""COMPUTED_VALUE"""),"Rohin Shah")</f>
        <v>Rohin Shah</v>
      </c>
      <c r="E1131" t="str">
        <f>IFERROR(__xludf.DUMMYFUNCTION("""COMPUTED_VALUE"""),"Author's Website")</f>
        <v>Author's Website</v>
      </c>
      <c r="F1131">
        <f>IFERROR(__xludf.DUMMYFUNCTION("""COMPUTED_VALUE"""),2021.0)</f>
        <v>2021</v>
      </c>
      <c r="H1131" s="3" t="str">
        <f>IFERROR(__xludf.DUMMYFUNCTION("""COMPUTED_VALUE"""),"AN #149")</f>
        <v>AN #149</v>
      </c>
      <c r="I1131" t="str">
        <f>IFERROR(__xludf.DUMMYFUNCTION("""COMPUTED_VALUE"""),"Rohin")</f>
        <v>Rohin</v>
      </c>
      <c r="J1131" t="str">
        <f>IFERROR(__xludf.DUMMYFUNCTION("""COMPUTED_VALUE"""),"In the survey I ran about a month ago, a couple of people suggested that I should clarify my editorial policy, especially since it has drifted since the newsletter was created. Note that I don’t view what I’m writing here as a policy that I am committing "&amp;"to. This is more like a description of how I currently make editorial decisions in practice, and it may change in the future.
I generally try to only summarize “high quality” articles. Here, ""high quality"" means that the article presents some conceptua"&amp;"lly new thing not previously sent in the newsletter, and there is decent evidence convincing me that this new thing is true / useful / worth considering. (Yes, novelty is one of my criteria. I could imagine summarizing e.g. a replication of some result if"&amp;" I wasn’t that confident of the original result, but I usually wouldn’t.)
Throughout the history of the newsletter, when deciding whether or not to summarize an article, I have also looked for some plausible pathway by which the new knowledge might be us"&amp;"eful to an alignment researcher. Initially, there was a pretty small set of subfields that seemed particularly relevant (especially reward learning) and I tried to cover most high-quality work within those areas. (I cover progress in ML because it seems l"&amp;"ike a good model of ML / AGI development should be very useful for alignment research.)
However, over time as I learned more, I became more excited about a large variety of subfields. There’s basically no hope for me to keep up with all of the subfields,"&amp;" so now I rely a lot more on quick intuitive judgments about how exciting I expect a particular paper to be, and many high quality articles that are relevant to AI alignment never get summarized. I currently still try to cover almost every new high qualit"&amp;"y paper or post that _directly_ talks about AI alignment (as opposed to just being relevant).
Highlights are different. The main question I ask myself when deciding whether or not to highlight an article is: “Does it seem useful for _most_ technical alig"&amp;"nment researchers to read this?” Note that this is very different from an evaluation of how impactful or high quality the article is: a paper that talks about all the tips and tricks you need to get learning from human feedback to work in practice could b"&amp;"e very impactful and high quality, but probably still wouldn’t be highlighted because many technical researchers don’t work with systems that learn from human feedback, and so won’t read it. On the other hand, this editorial policy probably isn’t that imp"&amp;"actful, but it seems particularly useful for my readers to read (so that you know what you are and aren’t getting with this newsletter).
A summary is where I say things that the authors would agree with. Usually, I strip out things that the authors said "&amp;"that I think are wrong. The exception is when the thing I believe is wrong is a central point of the article, in which case I will put it in the summary even though I don’t believe it. Typically I will then mention the disagreement in the opinion (though "&amp;"this doesn’t always happen, e.g. if I’ve mentioned the disagreement in previous newsletters, or if it would be very involved to explain why I disagree). I often give authors a chance to comment on the summaries + opinions, and usually authors are happy ov"&amp;"erall but might have some fairly specific nitpicks.
An opinion is where I say things that I believe that the authors may or may not believe.")</f>
        <v>In the survey I ran about a month ago, a couple of people suggested that I should clarify my editorial policy, especially since it has drifted since the newsletter was created. Note that I don’t view what I’m writing here as a policy that I am committing to. This is more like a description of how I currently make editorial decisions in practice, and it may change in the future.
I generally try to only summarize “high quality” articles. Here, "high quality" means that the article presents some conceptually new thing not previously sent in the newsletter, and there is decent evidence convincing me that this new thing is true / useful / worth considering. (Yes, novelty is one of my criteria. I could imagine summarizing e.g. a replication of some result if I wasn’t that confident of the original result, but I usually wouldn’t.)
Throughout the history of the newsletter, when deciding whether or not to summarize an article, I have also looked for some plausible pathway by which the new knowledge might be useful to an alignment researcher. Initially, there was a pretty small set of subfields that seemed particularly relevant (especially reward learning) and I tried to cover most high-quality work within those areas. (I cover progress in ML because it seems like a good model of ML / AGI development should be very useful for alignment research.)
However, over time as I learned more, I became more excited about a large variety of subfields. There’s basically no hope for me to keep up with all of the subfields, so now I rely a lot more on quick intuitive judgments about how exciting I expect a particular paper to be, and many high quality articles that are relevant to AI alignment never get summarized. I currently still try to cover almost every new high quality paper or post that _directly_ talks about AI alignment (as opposed to just being relevant).
Highlights are different. The main question I ask myself when deciding whether or not to highlight an article is: “Does it seem useful for _most_ technical alignment researchers to read this?” Note that this is very different from an evaluation of how impactful or high quality the article is: a paper that talks about all the tips and tricks you need to get learning from human feedback to work in practice could be very impactful and high quality, but probably still wouldn’t be highlighted because many technical researchers don’t work with systems that learn from human feedback, and so won’t read it. On the other hand, this editorial policy probably isn’t that impactful, but it seems particularly useful for my readers to read (so that you know what you are and aren’t getting with this newsletter).
A summary is where I say things that the authors would agree with. Usually, I strip out things that the authors said that I think are wrong. The exception is when the thing I believe is wrong is a central point of the article, in which case I will put it in the summary even though I don’t believe it. Typically I will then mention the disagreement in the opinion (though this doesn’t always happen, e.g. if I’ve mentioned the disagreement in previous newsletters, or if it would be very involved to explain why I disagree). I often give authors a chance to comment on the summaries + opinions, and usually authors are happy overall but might have some fairly specific nitpicks.
An opinion is where I say things that I believe that the authors may or may not believe.</v>
      </c>
    </row>
    <row r="1132">
      <c r="A1132" t="str">
        <f>IFERROR(__xludf.DUMMYFUNCTION("""COMPUTED_VALUE"""),"Miscellaneous (Alignment)")</f>
        <v>Miscellaneous (Alignment)</v>
      </c>
      <c r="B1132" t="str">
        <f>IFERROR(__xludf.DUMMYFUNCTION("""COMPUTED_VALUE"""),"Highlight")</f>
        <v>Highlight</v>
      </c>
      <c r="C1132" s="3" t="str">
        <f>IFERROR(__xludf.DUMMYFUNCTION("""COMPUTED_VALUE"""),"Alignment Newsletter Three Year Retrospective")</f>
        <v>Alignment Newsletter Three Year Retrospective</v>
      </c>
      <c r="D1132" t="str">
        <f>IFERROR(__xludf.DUMMYFUNCTION("""COMPUTED_VALUE"""),"Rohin Shah")</f>
        <v>Rohin Shah</v>
      </c>
      <c r="E1132" t="str">
        <f>IFERROR(__xludf.DUMMYFUNCTION("""COMPUTED_VALUE"""),"Alignment Forum")</f>
        <v>Alignment Forum</v>
      </c>
      <c r="F1132">
        <f>IFERROR(__xludf.DUMMYFUNCTION("""COMPUTED_VALUE"""),2021.0)</f>
        <v>2021</v>
      </c>
      <c r="H1132" s="3" t="str">
        <f>IFERROR(__xludf.DUMMYFUNCTION("""COMPUTED_VALUE"""),"AN #145")</f>
        <v>AN #145</v>
      </c>
      <c r="I1132" t="str">
        <f>IFERROR(__xludf.DUMMYFUNCTION("""COMPUTED_VALUE"""),"Rohin")</f>
        <v>Rohin</v>
      </c>
      <c r="J1132" t="str">
        <f>IFERROR(__xludf.DUMMYFUNCTION("""COMPUTED_VALUE"""),"It’s (two days until) the third birthday of this newsletter! In this post, I reflect on the two years since the &lt;@previous retrospective@&gt;(@Alignment Newsletter One Year Retrospective@). There aren’t any major takeaways, so I won’t summarize all of it her"&amp;"e. Please do **take [this 2 minute survey](https://docs.google.com/forms/d/e/1FAIpQLScRyiBrZoR_AxcHUlbGbp62dZUx36UuF_zAxO_ky948d-MwSw/viewform?usp=sf_link)** though. I’ll also copy over the “Advice to readers” section from the post:
**Don’t treat [newsle"&amp;"tter entries] as an evaluation of people’s work.** As I mentioned above, I’m selecting articles based in part on how well they fit into my understanding of AI alignment. This is a poor method for evaluating other people’s work. Even if you defer to me com"&amp;"pletely and ignore everyone else’s views, it still would not be a good method, because often I am mistaken about how important the work is even on my own understanding of AI alignment. Almost always, my opinion about a paper I feel meh about will go up af"&amp;"ter talking to the authors about the work.
I also select articles based on how useful I think it would be for other AI alignment researchers to learn about the ideas presented. (This is especially true for the choice of what to highlight.) This can be ve"&amp;"ry different from how useful the ideas are to the world (which is what I’d want out of an evaluation): incremental progress on some known subproblem like learning from human feedback could be very important, but still not worth telling other AI alignment "&amp;"researchers about.
**Consider reading just the highlights section.** If you’re very busy, or you find yourself just not reading the newsletter each week because it’s too long, I recommend just reading the highlights section. I select pretty strongly for "&amp;"“does this seem good for researchers to know?” when choosing the highlight(s).
**If you’re busy, consider using the [spreadsheet database](https://docs.google.com/spreadsheets/d/1PwWbWZ6FPqAgZWOoOcXM8N_tUCuxpEyMbN1NYYC02aM/edit#gid=0) as your primary mod"&amp;"e of interaction.** Specifically, rather than reading the newsletter each week, you could instead keep the database open, and whenever you see a vaguely interesting new paper, you can check (via Ctrl+F) whether it has already been summarized, and if so yo"&amp;"u can read that summary. (Even I use the database in this way, though I usually know whether or not I’ve already summarized the paper before, rather than having to check.)
Also, there may be a nicer UI to interact with this database in the near future :)")</f>
        <v>It’s (two days until) the third birthday of this newsletter! In this post, I reflect on the two years since the &lt;@previous retrospective@&gt;(@Alignment Newsletter One Year Retrospective@). There aren’t any major takeaways, so I won’t summarize all of it here. Please do **take [this 2 minute survey](https://docs.google.com/forms/d/e/1FAIpQLScRyiBrZoR_AxcHUlbGbp62dZUx36UuF_zAxO_ky948d-MwSw/viewform?usp=sf_link)** though. I’ll also copy over the “Advice to readers” section from the post:
**Don’t treat [newsletter entries] as an evaluation of people’s work.** As I mentioned above, I’m selecting articles based in part on how well they fit into my understanding of AI alignment. This is a poor method for evaluating other people’s work. Even if you defer to me completely and ignore everyone else’s views, it still would not be a good method, because often I am mistaken about how important the work is even on my own understanding of AI alignment. Almost always, my opinion about a paper I feel meh about will go up after talking to the authors about the work.
I also select articles based on how useful I think it would be for other AI alignment researchers to learn about the ideas presented. (This is especially true for the choice of what to highlight.) This can be very different from how useful the ideas are to the world (which is what I’d want out of an evaluation): incremental progress on some known subproblem like learning from human feedback could be very important, but still not worth telling other AI alignment researchers about.
**Consider reading just the highlights section.** If you’re very busy, or you find yourself just not reading the newsletter each week because it’s too long, I recommend just reading the highlights section. I select pretty strongly for “does this seem good for researchers to know?” when choosing the highlight(s).
**If you’re busy, consider using the [spreadsheet database](https://docs.google.com/spreadsheets/d/1PwWbWZ6FPqAgZWOoOcXM8N_tUCuxpEyMbN1NYYC02aM/edit#gid=0) as your primary mode of interaction.** Specifically, rather than reading the newsletter each week, you could instead keep the database open, and whenever you see a vaguely interesting new paper, you can check (via Ctrl+F) whether it has already been summarized, and if so you can read that summary. (Even I use the database in this way, though I usually know whether or not I’ve already summarized the paper before, rather than having to check.)
Also, there may be a nicer UI to interact with this database in the near future :)</v>
      </c>
    </row>
    <row r="1133">
      <c r="A1133" t="str">
        <f>IFERROR(__xludf.DUMMYFUNCTION("""COMPUTED_VALUE"""),"Miscellaneous (Alignment)")</f>
        <v>Miscellaneous (Alignment)</v>
      </c>
      <c r="B1133" t="str">
        <f>IFERROR(__xludf.DUMMYFUNCTION("""COMPUTED_VALUE"""),"Highlight")</f>
        <v>Highlight</v>
      </c>
      <c r="C1133" s="3" t="str">
        <f>IFERROR(__xludf.DUMMYFUNCTION("""COMPUTED_VALUE"""),"Literature Review on Goal-Directedness")</f>
        <v>Literature Review on Goal-Directedness</v>
      </c>
      <c r="D1133" t="str">
        <f>IFERROR(__xludf.DUMMYFUNCTION("""COMPUTED_VALUE"""),"Adam Shimi, Michele Campolo, Joe Collman")</f>
        <v>Adam Shimi, Michele Campolo, Joe Collman</v>
      </c>
      <c r="E1133" t="str">
        <f>IFERROR(__xludf.DUMMYFUNCTION("""COMPUTED_VALUE"""),"Alignment Forum")</f>
        <v>Alignment Forum</v>
      </c>
      <c r="F1133">
        <f>IFERROR(__xludf.DUMMYFUNCTION("""COMPUTED_VALUE"""),2021.0)</f>
        <v>2021</v>
      </c>
      <c r="H1133" s="3" t="str">
        <f>IFERROR(__xludf.DUMMYFUNCTION("""COMPUTED_VALUE"""),"AN #135")</f>
        <v>AN #135</v>
      </c>
      <c r="I1133" t="str">
        <f>IFERROR(__xludf.DUMMYFUNCTION("""COMPUTED_VALUE"""),"Rohin")</f>
        <v>Rohin</v>
      </c>
      <c r="J1133" t="str">
        <f>IFERROR(__xludf.DUMMYFUNCTION("""COMPUTED_VALUE"""),"This post extracts five different concepts that have been identified in the literature as properties of goal-directed systems:
1. **Restricted space of goals:** The space of goals should not be too expansive, since otherwise goal-directedness can &lt;@becom"&amp;"e vacuous@&gt;(@Coherence arguments do not imply goal-directed behavior@) (e.g. if we allow arbitrary functions over world-histories with no additional assumptions).
2. **Explainability:** A system should be described as goal-directed when doing so improves "&amp;"our ability to _explain_ the system’s behavior and _predict_ what it will do.
3. **Generalization:** A goal-directed system should adapt its behavior in the face of changes to its environment, such that it continues to pursue its goal.
4. **Far-sighted:**"&amp;" A goal-directed system should consider the long-term consequences of its actions.
5. **Efficient:** The more goal-directed a system is, the more efficiently it should achieve its goal.
The concepts of goal-directedness, optimization, and agency seem to "&amp;"have significant overlap, but there are differences in the ways the terms are used.
The authors then compare multiple proposals on these criteria:
1. The _intentional stance_ says that we should model a system as goal-directed when it helps us better ex"&amp;"plain the system’s behavior, performing well on explainability and generalization. It could easily be extended to include far-sightedness as well. A more efficient system for some goal will be easier to explain via the intentional stance, so it does well "&amp;"on that criterion too. And not every possible function can be a goal, since many are very complicated and thus would not be better explanations of behavior. However, the biggest issue is that the intentional stance cannot be easily formalized.
2. One poss"&amp;"ible formalization of the intentional stance is to say that a system is goal-directed when we can better explain the system’s behavior as maximizing a specific utility function, relative to explaining it using an input-output mapping (see &lt;@Agents and Dev"&amp;"ices: A Relative Definition of Agency@&gt;). This also does well on all five criteria.
3. &lt;@AGI safety from first principles@&gt; proposes another set of criteria that have a lot of overlap with the five criteria above.
4. A [definition based off of Kolmogorov "&amp;"complexity](https://www.alignmentforum.org/posts/dPmmuaz9szk26BkmD/vanessa-kosoy-s-shortform?commentId=Tg7A7rSYQSZPASm9s) works well, though it doesn’t require far-sightedness.")</f>
        <v>This post extracts five different concepts that have been identified in the literature as properties of goal-directed systems:
1. **Restricted space of goals:** The space of goals should not be too expansive, since otherwise goal-directedness can &lt;@become vacuous@&gt;(@Coherence arguments do not imply goal-directed behavior@) (e.g. if we allow arbitrary functions over world-histories with no additional assumptions).
2. **Explainability:** A system should be described as goal-directed when doing so improves our ability to _explain_ the system’s behavior and _predict_ what it will do.
3. **Generalization:** A goal-directed system should adapt its behavior in the face of changes to its environment, such that it continues to pursue its goal.
4. **Far-sighted:** A goal-directed system should consider the long-term consequences of its actions.
5. **Efficient:** The more goal-directed a system is, the more efficiently it should achieve its goal.
The concepts of goal-directedness, optimization, and agency seem to have significant overlap, but there are differences in the ways the terms are used.
The authors then compare multiple proposals on these criteria:
1. The _intentional stance_ says that we should model a system as goal-directed when it helps us better explain the system’s behavior, performing well on explainability and generalization. It could easily be extended to include far-sightedness as well. A more efficient system for some goal will be easier to explain via the intentional stance, so it does well on that criterion too. And not every possible function can be a goal, since many are very complicated and thus would not be better explanations of behavior. However, the biggest issue is that the intentional stance cannot be easily formalized.
2. One possible formalization of the intentional stance is to say that a system is goal-directed when we can better explain the system’s behavior as maximizing a specific utility function, relative to explaining it using an input-output mapping (see &lt;@Agents and Devices: A Relative Definition of Agency@&gt;). This also does well on all five criteria.
3. &lt;@AGI safety from first principles@&gt; proposes another set of criteria that have a lot of overlap with the five criteria above.
4. A [definition based off of Kolmogorov complexity](https://www.alignmentforum.org/posts/dPmmuaz9szk26BkmD/vanessa-kosoy-s-shortform?commentId=Tg7A7rSYQSZPASm9s) works well, though it doesn’t require far-sightedness.</v>
      </c>
      <c r="K1133" t="str">
        <f>IFERROR(__xludf.DUMMYFUNCTION("""COMPUTED_VALUE"""),"The five criteria seem pretty good to me as a description of what people mean when they say that a system is goal-directed. It is less clear to me that all five criteria are important for making the case for AI risk (which is why I care about a definition"&amp;" of goal-directedness); in particular it doesn’t seem to me like the explainability property is important for such an argument (see also [this comment](https://www.alignmentforum.org/posts/EnN7cm3KaRrEAuWfa/comment-on-coherence-arguments-do-not-imply-goal"&amp;"-directed?commentId=CsRXodmiBfZ9wCZwr)).
Note that it can still be the case that as a research strategy it is useful to search for definitions that satisfy these five criteria; it is just that in evaluating which definition to use I would choose the one "&amp;"that makes the AI risk argument work best. (See also [Against the Backward Approach to Goal-Directedness](https://www.alignmentforum.org/posts/adKSWktLbxfihDANM/against-the-backward-approach-to-goal-directedness).)")</f>
        <v>The five criteria seem pretty good to me as a description of what people mean when they say that a system is goal-directed. It is less clear to me that all five criteria are important for making the case for AI risk (which is why I care about a definition of goal-directedness); in particular it doesn’t seem to me like the explainability property is important for such an argument (see also [this comment](https://www.alignmentforum.org/posts/EnN7cm3KaRrEAuWfa/comment-on-coherence-arguments-do-not-imply-goal-directed?commentId=CsRXodmiBfZ9wCZwr)).
Note that it can still be the case that as a research strategy it is useful to search for definitions that satisfy these five criteria; it is just that in evaluating which definition to use I would choose the one that makes the AI risk argument work best. (See also [Against the Backward Approach to Goal-Directedness](https://www.alignmentforum.org/posts/adKSWktLbxfihDANM/against-the-backward-approach-to-goal-directedness).)</v>
      </c>
    </row>
    <row r="1134">
      <c r="A1134" t="str">
        <f>IFERROR(__xludf.DUMMYFUNCTION("""COMPUTED_VALUE"""),"Miscellaneous (Alignment)")</f>
        <v>Miscellaneous (Alignment)</v>
      </c>
      <c r="B1134" t="str">
        <f>IFERROR(__xludf.DUMMYFUNCTION("""COMPUTED_VALUE"""),"Highlight")</f>
        <v>Highlight</v>
      </c>
      <c r="C1134" s="3" t="str">
        <f>IFERROR(__xludf.DUMMYFUNCTION("""COMPUTED_VALUE"""),"Announcing AXRP, the AI X-risk Research Podcast")</f>
        <v>Announcing AXRP, the AI X-risk Research Podcast</v>
      </c>
      <c r="D1134" t="str">
        <f>IFERROR(__xludf.DUMMYFUNCTION("""COMPUTED_VALUE"""),"Daniel Filan")</f>
        <v>Daniel Filan</v>
      </c>
      <c r="E1134" t="str">
        <f>IFERROR(__xludf.DUMMYFUNCTION("""COMPUTED_VALUE"""),"Alignment Forum")</f>
        <v>Alignment Forum</v>
      </c>
      <c r="F1134">
        <f>IFERROR(__xludf.DUMMYFUNCTION("""COMPUTED_VALUE"""),2020.0)</f>
        <v>2020</v>
      </c>
      <c r="H1134" s="3" t="str">
        <f>IFERROR(__xludf.DUMMYFUNCTION("""COMPUTED_VALUE"""),"AN #130")</f>
        <v>AN #130</v>
      </c>
      <c r="I1134" t="str">
        <f>IFERROR(__xludf.DUMMYFUNCTION("""COMPUTED_VALUE"""),"Rohin")</f>
        <v>Rohin</v>
      </c>
      <c r="J1134" t="str">
        <f>IFERROR(__xludf.DUMMYFUNCTION("""COMPUTED_VALUE"""),"Episodes of this new podcast will involve Daniel interviewing a researcher about a paper they’ve written, talking about the ideas in the paper and why they matter. Three episodes have already been released; I summarize them later in this newsletter.")</f>
        <v>Episodes of this new podcast will involve Daniel interviewing a researcher about a paper they’ve written, talking about the ideas in the paper and why they matter. Three episodes have already been released; I summarize them later in this newsletter.</v>
      </c>
    </row>
    <row r="1135">
      <c r="A1135" t="str">
        <f>IFERROR(__xludf.DUMMYFUNCTION("""COMPUTED_VALUE"""),"Miscellaneous (Alignment)")</f>
        <v>Miscellaneous (Alignment)</v>
      </c>
      <c r="B1135" t="str">
        <f>IFERROR(__xludf.DUMMYFUNCTION("""COMPUTED_VALUE"""),"Highlight")</f>
        <v>Highlight</v>
      </c>
      <c r="C1135" s="3" t="str">
        <f>IFERROR(__xludf.DUMMYFUNCTION("""COMPUTED_VALUE"""),"2020 AI Alignment Literature Review and Charity Comparison")</f>
        <v>2020 AI Alignment Literature Review and Charity Comparison</v>
      </c>
      <c r="D1135" t="str">
        <f>IFERROR(__xludf.DUMMYFUNCTION("""COMPUTED_VALUE"""),"Larks")</f>
        <v>Larks</v>
      </c>
      <c r="E1135" t="str">
        <f>IFERROR(__xludf.DUMMYFUNCTION("""COMPUTED_VALUE"""),"Alignment Forum")</f>
        <v>Alignment Forum</v>
      </c>
      <c r="F1135">
        <f>IFERROR(__xludf.DUMMYFUNCTION("""COMPUTED_VALUE"""),2020.0)</f>
        <v>2020</v>
      </c>
      <c r="H1135" s="3" t="str">
        <f>IFERROR(__xludf.DUMMYFUNCTION("""COMPUTED_VALUE"""),"AN #130")</f>
        <v>AN #130</v>
      </c>
      <c r="I1135" t="str">
        <f>IFERROR(__xludf.DUMMYFUNCTION("""COMPUTED_VALUE"""),"Rohin")</f>
        <v>Rohin</v>
      </c>
      <c r="J1135" t="str">
        <f>IFERROR(__xludf.DUMMYFUNCTION("""COMPUTED_VALUE"""),"&lt;@The tradition continues@&gt;(@2019 AI Alignment Literature Review and Charity Comparison@)! I'll say nearly the same thing as I did last year:
This mammoth post goes through the work done within AI alignment from December 2019 - November 2020, from the pe"&amp;"rspective of someone trying to decide which of several AI alignment organizations to donate to. As part of this endeavor, Larks summarizes a ton of papers that were published at various organizations, and compares them to their budget and room for more fu"&amp;"nding.")</f>
        <v>&lt;@The tradition continues@&gt;(@2019 AI Alignment Literature Review and Charity Comparison@)! I'll say nearly the same thing as I did last year:
This mammoth post goes through the work done within AI alignment from December 2019 - November 2020, from the perspective of someone trying to decide which of several AI alignment organizations to donate to. As part of this endeavor, Larks summarizes a ton of papers that were published at various organizations, and compares them to their budget and room for more funding.</v>
      </c>
      <c r="K1135" t="str">
        <f>IFERROR(__xludf.DUMMYFUNCTION("""COMPUTED_VALUE"""),"I look forward to this post every year. It continues to be a stark demonstration of how much work _doesn't_ get covered in this newsletter -- while I tend to focus on the technical alignment problem, with some focus on AI governance and AI capabilities, t"&amp;"his literature review spans many organizations working on existential risk, and as such has many papers that were never covered in this newsletter. Anyone who wants to donate to an organization working on AI alignment and/or x-risk should read this post.
"&amp;"
Last year I mentioned I might write an overview for the sake of building inside view models (rather than donation decisions), this went out [shortly afterward](https://www.alignmentforum.org/posts/dKxX76SCfCvceJXHv/ai-alignment-2018-19-review) ([AN #84]("&amp;"https://mailchi.mp/1af38085edc5/an-84-reviewing-ai-alignment-work-in-2018-19)). I don't expect to write a similar post this year, partly because I think last year's post is still quite good as an overview of the discussion that's been happening.")</f>
        <v>I look forward to this post every year. It continues to be a stark demonstration of how much work _doesn't_ get covered in this newsletter -- while I tend to focus on the technical alignment problem, with some focus on AI governance and AI capabilities, this literature review spans many organizations working on existential risk, and as such has many papers that were never covered in this newsletter. Anyone who wants to donate to an organization working on AI alignment and/or x-risk should read this post.
Last year I mentioned I might write an overview for the sake of building inside view models (rather than donation decisions), this went out [shortly afterward](https://www.alignmentforum.org/posts/dKxX76SCfCvceJXHv/ai-alignment-2018-19-review) ([AN #84](https://mailchi.mp/1af38085edc5/an-84-reviewing-ai-alignment-work-in-2018-19)). I don't expect to write a similar post this year, partly because I think last year's post is still quite good as an overview of the discussion that's been happening.</v>
      </c>
    </row>
    <row r="1136">
      <c r="A1136" t="str">
        <f>IFERROR(__xludf.DUMMYFUNCTION("""COMPUTED_VALUE"""),"Miscellaneous (Alignment)")</f>
        <v>Miscellaneous (Alignment)</v>
      </c>
      <c r="B1136" t="str">
        <f>IFERROR(__xludf.DUMMYFUNCTION("""COMPUTED_VALUE"""),"Highlight")</f>
        <v>Highlight</v>
      </c>
      <c r="C1136" s="3" t="str">
        <f>IFERROR(__xludf.DUMMYFUNCTION("""COMPUTED_VALUE"""),"TAI Safety Bibliographic Database")</f>
        <v>TAI Safety Bibliographic Database</v>
      </c>
      <c r="D1136" t="str">
        <f>IFERROR(__xludf.DUMMYFUNCTION("""COMPUTED_VALUE"""),"Jess Riedel, Angelica Deibel")</f>
        <v>Jess Riedel, Angelica Deibel</v>
      </c>
      <c r="E1136" t="str">
        <f>IFERROR(__xludf.DUMMYFUNCTION("""COMPUTED_VALUE"""),"Alignment Forum")</f>
        <v>Alignment Forum</v>
      </c>
      <c r="F1136">
        <f>IFERROR(__xludf.DUMMYFUNCTION("""COMPUTED_VALUE"""),2020.0)</f>
        <v>2020</v>
      </c>
      <c r="H1136" s="3" t="str">
        <f>IFERROR(__xludf.DUMMYFUNCTION("""COMPUTED_VALUE"""),"AN #130")</f>
        <v>AN #130</v>
      </c>
      <c r="I1136" t="str">
        <f>IFERROR(__xludf.DUMMYFUNCTION("""COMPUTED_VALUE"""),"Rohin")</f>
        <v>Rohin</v>
      </c>
      <c r="J1136" t="str">
        <f>IFERROR(__xludf.DUMMYFUNCTION("""COMPUTED_VALUE"""),"Related to the previous summary, we also have a database of a bunch of papers on transformative AI safety, that has attempted to have comprehensive coverage of papers motivated by safety at organizations with a significant safety focus within the years 20"&amp;"16-20, but also includes other stuff such as blog posts, content from earlier years, etc. There’s a bunch of analysis as well that I won’t go into.")</f>
        <v>Related to the previous summary, we also have a database of a bunch of papers on transformative AI safety, that has attempted to have comprehensive coverage of papers motivated by safety at organizations with a significant safety focus within the years 2016-20, but also includes other stuff such as blog posts, content from earlier years, etc. There’s a bunch of analysis as well that I won’t go into.</v>
      </c>
      <c r="K1136" t="str">
        <f>IFERROR(__xludf.DUMMYFUNCTION("""COMPUTED_VALUE"""),"I like this project and analysis -- it’s a different view on the landscape of technical AI safety than I usually get to see. I especially recommend reading it if you want to get a sense of the people and organizations comprising the technical AI safety fi"&amp;"eld; I’m not going into detail here because I mostly try to focus on the object level issues in this newsletter.")</f>
        <v>I like this project and analysis -- it’s a different view on the landscape of technical AI safety than I usually get to see. I especially recommend reading it if you want to get a sense of the people and organizations comprising the technical AI safety field; I’m not going into detail here because I mostly try to focus on the object level issues in this newsletter.</v>
      </c>
    </row>
    <row r="1137">
      <c r="A1137" t="str">
        <f>IFERROR(__xludf.DUMMYFUNCTION("""COMPUTED_VALUE"""),"Miscellaneous (Alignment)")</f>
        <v>Miscellaneous (Alignment)</v>
      </c>
      <c r="B1137" t="str">
        <f>IFERROR(__xludf.DUMMYFUNCTION("""COMPUTED_VALUE"""),"Highlight")</f>
        <v>Highlight</v>
      </c>
      <c r="C1137" s="3" t="str">
        <f>IFERROR(__xludf.DUMMYFUNCTION("""COMPUTED_VALUE"""),"AGI safety from first principles")</f>
        <v>AGI safety from first principles</v>
      </c>
      <c r="D1137" t="str">
        <f>IFERROR(__xludf.DUMMYFUNCTION("""COMPUTED_VALUE"""),"Richard Ngo")</f>
        <v>Richard Ngo</v>
      </c>
      <c r="E1137" t="str">
        <f>IFERROR(__xludf.DUMMYFUNCTION("""COMPUTED_VALUE"""),"Alignment Forum")</f>
        <v>Alignment Forum</v>
      </c>
      <c r="F1137">
        <f>IFERROR(__xludf.DUMMYFUNCTION("""COMPUTED_VALUE"""),2020.0)</f>
        <v>2020</v>
      </c>
      <c r="H1137" s="3" t="str">
        <f>IFERROR(__xludf.DUMMYFUNCTION("""COMPUTED_VALUE"""),"AN #122")</f>
        <v>AN #122</v>
      </c>
      <c r="I1137" t="str">
        <f>IFERROR(__xludf.DUMMYFUNCTION("""COMPUTED_VALUE"""),"Rohin")</f>
        <v>Rohin</v>
      </c>
      <c r="J1137" t="str">
        <f>IFERROR(__xludf.DUMMYFUNCTION("""COMPUTED_VALUE"""),"This sequence presents the author’s personal view on the current best arguments for AI risk, explained from first principles (that is, without taking any previous claims for granted). The argument is a specific instantiation of the _second species argumen"&amp;"t_ that sufficiently intelligent AI systems could become the most intelligent species, in which case humans could lose the ability to create a valuable and worthwhile future.
We should clarify what we mean by superintelligence, and how it might arise. Th"&amp;"e author considers intelligence as quantifying simply whether a system “could” perform a wide range of tasks, separately from whether it is motivated to actually perform those tasks. In this case, we could imagine two rough types of intelligence. The firs"&amp;"t type, epitomized by most current AI systems, trains an AI system to perform many different tasks, so that it is then able to perform all of those tasks; however, it cannot perform tasks it has not been trained on. The second type, epitomized by human in"&amp;"telligence and &lt;@GPT-3@&gt;(@Language Models are Few-Shot Learners@), trains AI systems in a task-agnostic way, such that they develop general cognitive skills that allow them to solve new tasks quickly, perhaps with a small amount of training data. This sec"&amp;"ond type seems particularly necessary for tasks where data is scarce, such as the task of being a CEO of a company. Note that these two types should be thought of as defining a spectrum, not a binary distinction, since the type of a particular system depe"&amp;"nds on how you define your space of “tasks”.
How might we get AI systems that are more intelligent than humans? Besides improved algorithms, compute and data, we will likely also see that _interactions_ between AI systems will be crucial to their capabil"&amp;"ities. For example, since AI systems are easily replicated, we could get a _collective_ superintelligence via a collection of replicated AI systems working together and learning from each other. In addition, the process of creation of AI systems will be f"&amp;"ar better understood than that of human evolution, and AI systems will be easier to directly modify, allowing for AI systems to recursively improve their own training process (complementing human researchers) much more effectively than humans can improve "&amp;"themselves or their children.
The second species argument relies on the argument that superintelligent AI systems will gain power over humans, which is usually justified by arguing that the AI system will be goal-directed. Making this argument more forma"&amp;"l is challenging: the EU maximizer framework &lt;@doesn’t work for this purpose@&gt;(@Coherent behaviour in the real world is an incoherent concept@) and applying the [intentional stance](https://en.wikipedia.org/wiki/Intentional_stance) only helps when you hav"&amp;"e some prior information about what goals the AI system might have, which begs the question.
The author decides to instead consider a more conceptual, less formal notion of agency, in which a system is more goal-directed the more its cognition has the fo"&amp;"llowing properties: (1) self-awareness, (2) planning, (3) judging actions or plans by their consequences, (4) being sensitive to consequences over large distances and long time horizons, (5) internal coherence, and (6) flexibility and adaptability. (Note "&amp;"that this can apply to a single unified model or a collective AI system.) It’s pretty hard to say whether current training regimes will lead to the development of these capabilities, but one argument for it is that many of these capabilities may end up be"&amp;"ing necessary prerequisites to training AI agents to do intellectual work.
Another potential framework is to identify a goal as some concept learned by the AI system, that then generalizes in such a way that the AI system pursues it over longer time hori"&amp;"zons. In this case, we need to predict what concepts an AI system will learn and how likely it is that they generalize in this way. Unfortunately, we don’t yet know how to do this.
What does alignment look like? The author uses &lt;@intent alignment@&gt;(@Clar"&amp;"ifying ""AI Alignment""@), that is, the AI system should be “trying to do what the human wants it to do”, in order to rule out the cases where the AI system causes bad outcomes through incompetence where it didn’t know what it was supposed to do. Rather t"&amp;"han focusing on the outer and inner alignment decomposition, the author prefers to take a holistic view in which the choice of reward function is just one (albeit quite important) tool in the overall project of choosing a training process that shapes the "&amp;"AI system towards safety (either by making it not agentic, or by shaping its motivations so that the agent is intent aligned).
Given that we’ll be trying to build aligned systems, why might we still get an existential catastrophe? First, a failure of ali"&amp;"gnment is still reasonably likely, since (1) good behavior is hard to identify, (2) human values are complex, (3) influence-seeking may be a useful subgoal during training, and thus incentivized, (4) it is hard to generate training data to disambiguate be"&amp;"tween different possible goals, (5) while interpretability could help it seems quite challenging. Then, given a failure of alignment, the AI systems could seize control via the mechanisms suggested in &lt;@What failure looks like@&gt; and [Superintelligence](ht"&amp;"tps://www.amazon.com/Superintelligence-Dangers-Strategies-Nick-Bostrom/dp/1501227742). How likely this is depends on factors like (1) takeoff speed, (2) how easily we can understand what AI systems are doing, (3) how constrained AI systems are at deployme"&amp;"nt, and (4) how well humanity can coordinate.")</f>
        <v>This sequence presents the author’s personal view on the current best arguments for AI risk, explained from first principles (that is, without taking any previous claims for granted). The argument is a specific instantiation of the _second species argument_ that sufficiently intelligent AI systems could become the most intelligent species, in which case humans could lose the ability to create a valuable and worthwhile future.
We should clarify what we mean by superintelligence, and how it might arise. The author considers intelligence as quantifying simply whether a system “could” perform a wide range of tasks, separately from whether it is motivated to actually perform those tasks. In this case, we could imagine two rough types of intelligence. The first type, epitomized by most current AI systems, trains an AI system to perform many different tasks, so that it is then able to perform all of those tasks; however, it cannot perform tasks it has not been trained on. The second type, epitomized by human intelligence and &lt;@GPT-3@&gt;(@Language Models are Few-Shot Learners@), trains AI systems in a task-agnostic way, such that they develop general cognitive skills that allow them to solve new tasks quickly, perhaps with a small amount of training data. This second type seems particularly necessary for tasks where data is scarce, such as the task of being a CEO of a company. Note that these two types should be thought of as defining a spectrum, not a binary distinction, since the type of a particular system depends on how you define your space of “tasks”.
How might we get AI systems that are more intelligent than humans? Besides improved algorithms, compute and data, we will likely also see that _interactions_ between AI systems will be crucial to their capabilities. For example, since AI systems are easily replicated, we could get a _collective_ superintelligence via a collection of replicated AI systems working together and learning from each other. In addition, the process of creation of AI systems will be far better understood than that of human evolution, and AI systems will be easier to directly modify, allowing for AI systems to recursively improve their own training process (complementing human researchers) much more effectively than humans can improve themselves or their children.
The second species argument relies on the argument that superintelligent AI systems will gain power over humans, which is usually justified by arguing that the AI system will be goal-directed. Making this argument more formal is challenging: the EU maximizer framework &lt;@doesn’t work for this purpose@&gt;(@Coherent behaviour in the real world is an incoherent concept@) and applying the [intentional stance](https://en.wikipedia.org/wiki/Intentional_stance) only helps when you have some prior information about what goals the AI system might have, which begs the question.
The author decides to instead consider a more conceptual, less formal notion of agency, in which a system is more goal-directed the more its cognition has the following properties: (1) self-awareness, (2) planning, (3) judging actions or plans by their consequences, (4) being sensitive to consequences over large distances and long time horizons, (5) internal coherence, and (6) flexibility and adaptability. (Note that this can apply to a single unified model or a collective AI system.) It’s pretty hard to say whether current training regimes will lead to the development of these capabilities, but one argument for it is that many of these capabilities may end up being necessary prerequisites to training AI agents to do intellectual work.
Another potential framework is to identify a goal as some concept learned by the AI system, that then generalizes in such a way that the AI system pursues it over longer time horizons. In this case, we need to predict what concepts an AI system will learn and how likely it is that they generalize in this way. Unfortunately, we don’t yet know how to do this.
What does alignment look like? The author uses &lt;@intent alignment@&gt;(@Clarifying "AI Alignment"@), that is, the AI system should be “trying to do what the human wants it to do”, in order to rule out the cases where the AI system causes bad outcomes through incompetence where it didn’t know what it was supposed to do. Rather than focusing on the outer and inner alignment decomposition, the author prefers to take a holistic view in which the choice of reward function is just one (albeit quite important) tool in the overall project of choosing a training process that shapes the AI system towards safety (either by making it not agentic, or by shaping its motivations so that the agent is intent aligned).
Given that we’ll be trying to build aligned systems, why might we still get an existential catastrophe? First, a failure of alignment is still reasonably likely, since (1) good behavior is hard to identify, (2) human values are complex, (3) influence-seeking may be a useful subgoal during training, and thus incentivized, (4) it is hard to generate training data to disambiguate between different possible goals, (5) while interpretability could help it seems quite challenging. Then, given a failure of alignment, the AI systems could seize control via the mechanisms suggested in &lt;@What failure looks like@&gt; and [Superintelligence](https://www.amazon.com/Superintelligence-Dangers-Strategies-Nick-Bostrom/dp/1501227742). How likely this is depends on factors like (1) takeoff speed, (2) how easily we can understand what AI systems are doing, (3) how constrained AI systems are at deployment, and (4) how well humanity can coordinate.</v>
      </c>
      <c r="K1137" t="str">
        <f>IFERROR(__xludf.DUMMYFUNCTION("""COMPUTED_VALUE"""),"I like this sequence: I think it’s a good “updated case” for AI risk that focuses on the situation in which intelligent AI systems arise through training of ML models. The points it makes are somewhat different from the ones I would make if I were writing"&amp;" such a case, but I think they are still sufficient to make the case that humanity has work to do if we are to ensure that AI systems we build are aligned.")</f>
        <v>I like this sequence: I think it’s a good “updated case” for AI risk that focuses on the situation in which intelligent AI systems arise through training of ML models. The points it makes are somewhat different from the ones I would make if I were writing such a case, but I think they are still sufficient to make the case that humanity has work to do if we are to ensure that AI systems we build are aligned.</v>
      </c>
    </row>
    <row r="1138">
      <c r="A1138" t="str">
        <f>IFERROR(__xludf.DUMMYFUNCTION("""COMPUTED_VALUE"""),"Miscellaneous (Alignment)")</f>
        <v>Miscellaneous (Alignment)</v>
      </c>
      <c r="B1138" t="str">
        <f>IFERROR(__xludf.DUMMYFUNCTION("""COMPUTED_VALUE"""),"Highlight")</f>
        <v>Highlight</v>
      </c>
      <c r="C1138" s="3" t="str">
        <f>IFERROR(__xludf.DUMMYFUNCTION("""COMPUTED_VALUE"""),"The Alignment Problem")</f>
        <v>The Alignment Problem</v>
      </c>
      <c r="D1138" t="str">
        <f>IFERROR(__xludf.DUMMYFUNCTION("""COMPUTED_VALUE"""),"Brian Christian")</f>
        <v>Brian Christian</v>
      </c>
      <c r="H1138" s="3" t="str">
        <f>IFERROR(__xludf.DUMMYFUNCTION("""COMPUTED_VALUE"""),"AN #120")</f>
        <v>AN #120</v>
      </c>
      <c r="I1138" t="str">
        <f>IFERROR(__xludf.DUMMYFUNCTION("""COMPUTED_VALUE"""),"Rohin")</f>
        <v>Rohin</v>
      </c>
      <c r="J1138" t="str">
        <f>IFERROR(__xludf.DUMMYFUNCTION("""COMPUTED_VALUE"""),"This book starts off with an explanation of machine learning and problems that we can currently see with it, including detailed stories and analysis of:
- The [gorilla misclassification incident](https://twitter.com/jackyalcine/status/615329515909156865)"&amp;"
- The [faulty reward in CoastRunners](https://openai.com/blog/faulty-reward-functions/)
- The [gender bias in language models](https://arxiv.org/abs/1607.06520)
- The [failure of facial recognition models on minorities](https://www.ted.com/talks/joy_buol"&amp;"amwini_how_i_m_fighting_bias_in_algorithms)
- The [COMPAS](https://www.propublica.org/article/machine-bias-risk-assessments-in-criminal-sentencing) [controversy](https://www.documentcloud.org/documents/2998391-ProPublica-Commentary-Final-070616.html) (lea"&amp;"ding up to [impossibility results in fairness](https://www.chrisstucchio.com/pubs/slides/crunchconf_2018/slides.pdf))
- The [neural net that thought asthma reduced the risk of pneumonia](https://www.microsoft.com/en-us/research/wp-content/uploads/2017/06/"&amp;"KDD2015FinalDraftIntelligibleModels4HealthCare_igt143e-caruanaA.pdf)
It then moves on to agency and reinforcement learning, covering from a more historical and academic perspective how we have arrived at such ideas as temporal difference learning, reward"&amp;" shaping, curriculum design, and curiosity, across the fields of machine learning, behavioral psychology, and neuroscience. While the connections aren't always explicit, a knowledgeable reader can connect the academic examples given in these chapters to t"&amp;"he ideas of &lt;@specification gaming@&gt;(@Specification gaming: the flip side of AI ingenuity@) and &lt;@mesa optimization@&gt;(@Risks from Learned Optimization in Advanced Machine Learning Systems@) that we talk about frequently in this newsletter. Chapter 5 espec"&amp;"ially highlights that agent design is not just a matter of specifying a reward: often, rewards will do ~nothing, and the main requirement to get a competent agent is to provide good _shaping rewards_ or a good _curriculum_. Just as in the previous part, B"&amp;"rian traces the intellectual history of these ideas, providing detailed stories of (for example):
- BF Skinner's experiments in [training pigeons](https://psycnet.apa.org/record/1961-01933-001)
- The invention of the [perceptron](https://psycnet.apa.org/"&amp;"record/1959-09865-001)
- The success of [TD-Gammon](https://www.aaai.org/Papers/Symposia/Fall/1993/FS-93-02/FS93-02-003.pdf), and later [AlphaGo Zero](https://deepmind.com/blog/article/alphago-zero-starting-scratch)
The final part, titled ""Normativity"""&amp;", delves much more deeply into the alignment problem. While the previous two parts are partially organized around AI capabilities -- how to get AI systems that optimize for _their_ objectives -- this last one tackles head on the problem that we want AI sy"&amp;"stems that optimize for _our_ (often-unknown) objectives, covering such topics as imitation learning, inverse reinforcement learning, learning from preferences, iterated amplification, impact regularization, calibrated uncertainty estimates, and moral unc"&amp;"ertainty.")</f>
        <v>This book starts off with an explanation of machine learning and problems that we can currently see with it, including detailed stories and analysis of:
- The [gorilla misclassification incident](https://twitter.com/jackyalcine/status/615329515909156865)
- The [faulty reward in CoastRunners](https://openai.com/blog/faulty-reward-functions/)
- The [gender bias in language models](https://arxiv.org/abs/1607.06520)
- The [failure of facial recognition models on minorities](https://www.ted.com/talks/joy_buolamwini_how_i_m_fighting_bias_in_algorithms)
- The [COMPAS](https://www.propublica.org/article/machine-bias-risk-assessments-in-criminal-sentencing) [controversy](https://www.documentcloud.org/documents/2998391-ProPublica-Commentary-Final-070616.html) (leading up to [impossibility results in fairness](https://www.chrisstucchio.com/pubs/slides/crunchconf_2018/slides.pdf))
- The [neural net that thought asthma reduced the risk of pneumonia](https://www.microsoft.com/en-us/research/wp-content/uploads/2017/06/KDD2015FinalDraftIntelligibleModels4HealthCare_igt143e-caruanaA.pdf)
It then moves on to agency and reinforcement learning, covering from a more historical and academic perspective how we have arrived at such ideas as temporal difference learning, reward shaping, curriculum design, and curiosity, across the fields of machine learning, behavioral psychology, and neuroscience. While the connections aren't always explicit, a knowledgeable reader can connect the academic examples given in these chapters to the ideas of &lt;@specification gaming@&gt;(@Specification gaming: the flip side of AI ingenuity@) and &lt;@mesa optimization@&gt;(@Risks from Learned Optimization in Advanced Machine Learning Systems@) that we talk about frequently in this newsletter. Chapter 5 especially highlights that agent design is not just a matter of specifying a reward: often, rewards will do ~nothing, and the main requirement to get a competent agent is to provide good _shaping rewards_ or a good _curriculum_. Just as in the previous part, Brian traces the intellectual history of these ideas, providing detailed stories of (for example):
- BF Skinner's experiments in [training pigeons](https://psycnet.apa.org/record/1961-01933-001)
- The invention of the [perceptron](https://psycnet.apa.org/record/1959-09865-001)
- The success of [TD-Gammon](https://www.aaai.org/Papers/Symposia/Fall/1993/FS-93-02/FS93-02-003.pdf), and later [AlphaGo Zero](https://deepmind.com/blog/article/alphago-zero-starting-scratch)
The final part, titled "Normativity", delves much more deeply into the alignment problem. While the previous two parts are partially organized around AI capabilities -- how to get AI systems that optimize for _their_ objectives -- this last one tackles head on the problem that we want AI systems that optimize for _our_ (often-unknown) objectives, covering such topics as imitation learning, inverse reinforcement learning, learning from preferences, iterated amplification, impact regularization, calibrated uncertainty estimates, and moral uncertainty.</v>
      </c>
      <c r="K1138" t="str">
        <f>IFERROR(__xludf.DUMMYFUNCTION("""COMPUTED_VALUE"""),"I really enjoyed this book, primarily because of the tracing of the intellectual history of various ideas. While I knew of most of these ideas, and sometimes also who initially came up with the ideas, it's much more engaging to read the detailed stories o"&amp;"f _how_ that person came to develop the idea; Brian's book delivers this again and again, functioning like a well-organized literature survey that is also fun to read because of its great storytelling. I struggled a fair amount in writing this summary, be"&amp;"cause I kept wanting to somehow communicate the writing style; in the end I decided not to do it and to instead give a few examples of passages from the book in [this post](https://www.alignmentforum.org/posts/gYfgWSxCpFdk2cZfE/the-alignment-problem-machi"&amp;"ne-learning-and-human-values).")</f>
        <v>I really enjoyed this book, primarily because of the tracing of the intellectual history of various ideas. While I knew of most of these ideas, and sometimes also who initially came up with the ideas, it's much more engaging to read the detailed stories of _how_ that person came to develop the idea; Brian's book delivers this again and again, functioning like a well-organized literature survey that is also fun to read because of its great storytelling. I struggled a fair amount in writing this summary, because I kept wanting to somehow communicate the writing style; in the end I decided not to do it and to instead give a few examples of passages from the book in [this post](https://www.alignmentforum.org/posts/gYfgWSxCpFdk2cZfE/the-alignment-problem-machine-learning-and-human-values).</v>
      </c>
    </row>
    <row r="1139">
      <c r="A1139" t="str">
        <f>IFERROR(__xludf.DUMMYFUNCTION("""COMPUTED_VALUE"""),"Miscellaneous (Alignment)")</f>
        <v>Miscellaneous (Alignment)</v>
      </c>
      <c r="B1139" t="str">
        <f>IFERROR(__xludf.DUMMYFUNCTION("""COMPUTED_VALUE"""),"Highlight")</f>
        <v>Highlight</v>
      </c>
      <c r="C1139" s="3" t="str">
        <f>IFERROR(__xludf.DUMMYFUNCTION("""COMPUTED_VALUE"""),"Engineering a Safer World")</f>
        <v>Engineering a Safer World</v>
      </c>
      <c r="D1139" t="str">
        <f>IFERROR(__xludf.DUMMYFUNCTION("""COMPUTED_VALUE"""),"Nancy G. Leveson")</f>
        <v>Nancy G. Leveson</v>
      </c>
      <c r="F1139">
        <f>IFERROR(__xludf.DUMMYFUNCTION("""COMPUTED_VALUE"""),2011.0)</f>
        <v>2011</v>
      </c>
      <c r="H1139" s="3" t="str">
        <f>IFERROR(__xludf.DUMMYFUNCTION("""COMPUTED_VALUE"""),"AN #112")</f>
        <v>AN #112</v>
      </c>
      <c r="I1139" t="str">
        <f>IFERROR(__xludf.DUMMYFUNCTION("""COMPUTED_VALUE"""),"Rohin")</f>
        <v>Rohin</v>
      </c>
      <c r="J1139" t="str">
        <f>IFERROR(__xludf.DUMMYFUNCTION("""COMPUTED_VALUE"""),"I recently read [Engineering a Safer World](https://static1.squarespace.com/static/53b78765e4b0949940758017/t/57d87eb6d2b8571af3501b26/1473898764674/Engineering_a_Safer_World+Nancy+Leveson.pdf) by Nancy G. Leveson, at [Joshua Achiam’s recommendation](http"&amp;"s://twitter.com/jachiam0/status/1285449712573665281), and really enjoyed it, so get ready for another book summary! I’m not very happy with the summary I have -- it feels less compelling than the book, partly because the book provides a ton of examples th"&amp;"at I don’t have the space to do -- but hopefully it is enough to get the key points across.
The main motivation of this book is to figure out how we can improve safety engineering. Its primary thesis is that the existing methods used in engineering are i"&amp;"nsufficient for the current challenges, and must be replaced by a method the author favors called STAMP. Note that the book is primarily concerned with mechanical systems that may also have computerized automation (think aerospace, chemical, and mechanica"&amp;"l engineering); the conclusions should not be expected to apply directly to AI.
**The standard model of safety engineering and its deficiencies**
Historically, safety engineering has been developed as a reaction to the high level of accidents we had in "&amp;"the past, and as a result focused on the easiest gains first. In particular, there were a lot of gains to be had simply by ensuring that _machines didn’t break_. _(Rohin’s note: I’m editorializing a bit here, the author doesn’t explicitly say this but I t"&amp;"hink she believes it.)_ This led to a focus on _reliability_: given a specification for how a machine should operate, we aim to decrease the probability that the machine fails to meet that specification. For example, the specification for a water tank wou"&amp;"ld be to contain the water up to a given pressure, and one way to improve the reliability of the tank would be to use a stronger material or make a thicker tank to make it less likely that the tank ruptures.
Under this model, an accident happens when a m"&amp;"achine fails to meet its specification. So, we can analyze the accident by looking at what went wrong, and tracing back the physical causes to the first point at which a specification was not met, giving us a _root cause_ that can show us what we need to "&amp;"fix in order to prevent similar accidents in the future. We can call this sort of analysis an _event chain_ analysis.
However, in the last few decades there have been quite a few changes that make this model worse than it once was. The pace of technologi"&amp;"cal change has risen, making it harder to learn from experience. The systems we build have become complex enough that there is a lot more _coupling_ or interaction effects between parts of the system that we could fail to account for.  Relatedly, the risk"&amp;"s we face are getting large enough that we aren’t willing to tolerate even a _single_ accident. Human operators (e.g. factory workers) are no longer able to rely on easily understood and predictable mechanical systems, instead having to work with computer"&amp;"ized automation which they cannot understand as well. At this point, event chain analysis and safety-via-reliability are no longer sufficient for safety engineering.
Consider for example the [Flight 965](https://en.wikipedia.org/wiki/American_Airlines_Fl"&amp;"ight_965) accident. In this case, the pilots got clearance to fly towards the Rozo waypoint in their descent, listed as (R) on their (paper) approach charts. One of the pilots pressed R in the flight management system (FMS), which brought up a list of way"&amp;"points that did _not_ include Rozo, and executed the first one (presumably believing that Rozo, being the closest waypoint, would show up first). As a result, the plane turned towards the selected waypoint, and crashed into a mountain.
The accident repor"&amp;"t for this incident placed the blame squarely on the pilots, firstly for not planning an appropriate path, and secondly for not having situational awareness of the terrain and that they needed to discontinue their approach. But most interestingly, the rep"&amp;"ort blames the pilots for not reverting to basic radio navigation when the FMS became confusing. The author argues that the design of the automation was also flawed in this case, as the FMS stopped displaying the intermediate fixes to the chosen route, an"&amp;"d the FMS’s navigational information used a different naming convention than the one in the approach charts. Surely this also contributed to the loss? In fact, in lawsuit appeals, the software manufacturer was held to be 17% liable.
However, the author a"&amp;"rgues that this is the exception, not the rule: typically event chain analysis proceeds until a human operator is found who did something unexpected, and then the blame can safely be placed on them. Operators are expected to “use common sense” to deviate "&amp;"from procedures when the procedures are unsafe, but when an accident happens, blame is placed on them for deviating from procedures. This is often very politically convenient, and is especially easy to justify thanks to hindsight bias, where we can identi"&amp;"fy exactly the right information and cues that the operator “should have” paid attention to, ignoring that in the moment there were probably many confusing cues and it was far from obvious which information to pay attention to. My favorite example has to "&amp;"be this quote from an accident report:
“Interviews with operations personnel did not produce a clear reason why the response to the [gas] alarm took 31 minutes. The only explanation was that there was not a sense of urgency since, in their experience, pr"&amp;"evious [gas] alarms were attributed to minor releases that did not require a unit evacuation.”
It is rare that I see such a clear example of a self-refuting paragraph. In the author’s words, “this statement is puzzling, because the statement itself provi"&amp;"des a clear explanation for the behavior, that is, the previous experience”. It definitely sounds like the investigators searched backwards through the causal chain, found a situation where a human deviated from protocol, and decided to assign blame there"&amp;".
This isn’t just a failure of the accident investigation -- the entire premise of some “root cause” in an event chain analysis implies that the investigators must end up choosing some particular point to label as The Root Cause, and such a decision is i"&amp;"nevitably going to be determined more by the particular analysts involved rather than by features of the accident.
**Towards a new approach**
How might we fix the deficiencies of standard safety engineering? The author identifies several major changes i"&amp;"n assumptions that are necessary for a new approach:
1. Blame is the enemy of safety. Safety engineering should focus on system behavior as a whole, where interventions can be made at many points on different levels, rather than seeking to identify a sin"&amp;"gle intervention point.
2. Reliability (having machines meet their specifications) is neither necessary nor sufficient for safety (not having bad outcomes). Increased reliability can lead to decreased safety: if we increase the reliability of the water t"&amp;"ank by making it using a stronger material, we may decrease the risk of rupture, but we may dramatically increase the harm when a rupture occurs since the water will be at a much higher pressure. This applies to software as well: highly reliable software "&amp;"need not be safe, as its specifications may not be correct.
3. Accidents involve the entire sociotechnical system, for which an event chain model is insufficient. Interventions on the sociological level (e.g. make it easy for low-level operators to repor"&amp;"t problems) should be considered part of the remit of safety engineering.
4. Major accidents are not caused by simultaneous occurrence of random chance events. Particularly egregious examples come from probabilistic risk analysis, where failures of diffe"&amp;"rent subsystems are often assumed to be independent, neglecting the possibility of a common cause, whether physical (e.g. multiple subsystems failing during a power outage) or sociological (e.g. multiple safety features being disabled as part of cost-cutt"&amp;"ing measures). In addition, systems tend to migrate towards higher risk over time, because environmental circumstances change, and operational practices diverge from the designed practices as they adapt to the new circumstances, or simply to be more effic"&amp;"ient.
5. Operator behavior is a product of the environment in which it occurs. To improve safety, we must change the environment rather than the human. For example, if an accident occurs and an operator didn’t notice a warning light that could have let t"&amp;"hem prevent it, the solution is not to tell the operators to “pay more attention” -- that approach is doomed to fail.
**A detour into systems theory**
The new model proposed by the author is based on systems theory, so let’s take a moment to describe it"&amp;". Consider possible systems that we may want to analyze:
First, there are some systems with _organized simplicity_, in which it is possible to decompose the system into several subsystems, analyze each of the subsystems independently, and then combine th"&amp;"e results relatively easily to reach overall conclusions. We might think of these as systems in which analytic reduction is a good problem-solving strategy. _Rohin’s note: Importantly, this is different from the philosophical question of whether there exi"&amp;"st phenomena that cannot be reduced to e.g. physics: that is a question about whether reduction is in principle possible, whereas this criterion is about whether such reduction is an effective strategy for a computationally bounded reasoner._ Most of phys"&amp;"ics would be considered to have organized simplicity.
Second, there are systems with _unorganized complexity_, where there is not enough underlying structure for analytic reduction into subsystems to be a useful tool. However, in such systems the behavio"&amp;"r of individual elements of the system is sufficiently random (or at least, well-modeled as random) that statistics can be applied to it, and then the law of large numbers allows us to understand the system as an aggregate. A central example would be stat"&amp;"istical mechanics, where we cannot say much about the motion of individual particles in a gas, but we can say quite a lot about the macroscopic behavior of the gas as a whole.
Systems theory deals with systems that have _organized complexity_. Such syste"&amp;"ms have enough organization and structure that we cannot apply statistics to it (or equivalently, the assumption of randomness is too incorrect), and are also sufficiently complex that analytic reduction is not a good technique (e.g. perhaps any potential"&amp;" decomposition into subsystems would be dominated by combinatorially many interaction effects between subsystems). Sociological systems are central examples of such systems: the individual components (humans) are very much not random, but neither are thei"&amp;"r interactions governed by simple laws as would be needed for analytic reduction. While systems theory cannot provide nearly the same level of precision as statistics or physics, it does provide useful concepts for thinking about such systems.
The first "&amp;"main concept in systems theory is that of _hierarchy and emergence_. The idea here is that systems with organized complexity can be decomposed into several hierarchical levels, with each level built “on top of” the previous one. For example, companies are"&amp;" built on top of teams which are built on top of individual employees. The behavior of components in a particular layer is described by some “language” that is well-suited for that layer. For example, we might talk about individual employees based on thei"&amp;"r job description, their career goals, their relationship with their manager, and so on, but we might talk about companies based on their overall direction and strategy, the desires of their customer base, the pressures from regulators, and so on.
_Emerg"&amp;"ence_ refers to the phenomenon that there can be properties of higher levels arising from lawful interactions at lower levels that nonetheless are meaningless in the language appropriate for the lower levels. For example, it is quite meaningful to say tha"&amp;"t the pressures on a company from government regulation caused them to (say) add captions to their videos, but if we look at the specific engineer who integrated the speech recognition software into the pipeline, we would presumably say “she integrated th"&amp;"e speech recognition into the pipeline because she had previously worked with the code” rather than “she integrated it because government regulations told her to do so”. As another example, safety is an emergent system property, while reliability is not.
"&amp;"
The second main concept is that of _control_. We are usually not satisfied with just understanding the behavior of systems; we also want to make changes to it (as in the case of making them safer). In systems theory, this is thought of as _control_, wher"&amp;"e we impose some sort of _constraint_ on possible system behavior at some level. For example, employee training is a potential control action that could aim to enforce the constraint that every employee knows what to do in an emergency. An effective contr"&amp;"oller requires a goal, a set of actions to take, a model of the system, and some way to sense the state of the system.
**STAMP: A new model underlying safety engineering**
The author then introduces a new model called Systems-Theoretic Accident Model an"&amp;"d Processes (STAMP), which aims to present a framework for understanding how accidents occur (which can allow us to prevent them and/or learn from them). It contains three main components:
_Safety constraints_: In systems theory, a constraint is the equi"&amp;"valent of a specification, so these are just the safety-relevant specifications. Note that such specifications can be found at all levels of the hierarchy.
_Hierarchical safety controllers_: We use _controllers_ to enforce safety constraints at any given"&amp;" level. A control algorithm may be implemented by a mechanical system, a computerized system, or humans, and can exist at any level of the hierarchy. A controller at level N will typically depend on constraints at level N - 1, and thus the design of this "&amp;"controller influences which safety constraints are placed at level N - 1.
_Process models_: An effective controller must have a model of the process it is controlling. Many accidents are the result of a mismatch between the actual process and the process"&amp;" model of the controller.
This framework can be applied towards several different tasks, and in all cases the steps are fairly similar: identify the safety constraints you want, design or identify the controllers enforcing those constraints, and then do "&amp;"some sort of generic reasoning with these components.
If an accident occurs, then at the highest level, either the control algorithm(s) failed to enforce the safety constraints, or the control actions were sent correctly but were not followed. In the lat"&amp;"ter case, the controllers at the lower level should then be analyzed to see why the control actions were not followed. Ultimately, this leads to an analysis on multiple levels, which can identify several things that went wrong rather than one Root Cause, "&amp;"that can all be fixed to improve safety in the future.
**Organizational safety**
So far we’ve covered roughly chapters 1-4 of the book. I’ll now jump straight to chapter 13, which seems particularly important and relevant, as it deals with how organizat"&amp;"ional structure and management should be designed to support safety.
One major point that the author makes is that safety _is_ cost-effective for _long-term_ performance as long as it is designed into the system from the start, rather than added on at th"&amp;"e last minute. Performance pressure on the other hand inevitably leads to cuts in safety.
In order to actually get safety designed into the system from the start, it is crucial that top management demonstrates a strong commitment to safety, as without th"&amp;"is employees will inevitably cut corners on safety as they will believe it is in their incentives to do so. Other important factors include a concrete corporate safety policy, as well as a strong corporate safety culture. It is important that safety is pa"&amp;"rt of the design process, rather than tacked on at the end. In the author’s words, _putting safety into the quality assurance organization is the worst place for it. [...] It sets up the expectation that safety is an after-the-fact or auditing activity on"&amp;"ly._
In addition, it is important that information can flow well. Going from the bottom to the top, it should be possible for low-level operators to report potential problems in a way that they are actually acted on and the relevant information reaches t"&amp;"op management.  From the top to the bottom, safety information and training should be easily available and accessible to employees when they need it.
It is also important to have controls to prevent the general tendency of systems to migrate towards high"&amp;"er risk, e.g. by relaxing safety requirements as time passes without any incidents. The next chapter describes SUBSAFE, the author’s example of a well-run safety program, in which the control is for everyone to periodically watch a video reminding them of"&amp;" the importance of their particular safety work (in particular, the video shows the loss of the USS Thresher, an event that caused SUBSAFE to be created).
Perhaps obviously, it is important for an organization to have a dedicated safety team. This is in "&amp;"contrast to making everyone responsible for safety. In the author’s words: _While, of course, everyone should try to behave safely and to achieve safety goals, someone has to be assigned responsibility for ensuring that the goals are achieved._
If you st"&amp;"art by designing for safety, it is cost-effective, not opposed to long-term money-maximizing. Once there is performance pressure, then you see cuts in safety. Also sometimes people fix symptoms instead of underlying causes, and then they just keep seeing "&amp;"symptoms forever and conclude they are inevitable.
**Miscellaneous notes**
The remaining chapters of the book apply STAMP in a bunch of different areas with many examples, including an entire chapter devoted to the STAMP treatment of a friendly fire acc"&amp;"ident. I also really liked the discussion of human factors in the book, but decided not to summarize it as this has already gotten quite long.
**Summary of the summary**
I’ll conclude with a quote from the book’s epilogue:
_What seems to distinguish th"&amp;"ose experiencing success is that they:_
_1. Take a systems approach to safety in both development and operations_
_2. Have instituted a learning culture where they have effective learning from events_
_3. Have established safety as a priority and understa"&amp;"nd that their long-term success depends on it_
**Relationship to AI safety**
A primary motivation for thinking about AI is that it would be very impactful for our society, and very impactful technologies need not have good impacts. “Society” clearly fal"&amp;"ls into the “organized complexity” class of systems, and so I expect that the ideas of safety constraints and hierarchical control algorithms will be useful ways to think about possible impacts of AI on society. For example, if we want to think about the "&amp;"possibility of AI systems differentially improving technical progress over “wisdom”, such that we get dangerous technologies before we’re ready for them, we may want to sketch out hierarchical “controllers” at the societal level that could solve this prob"&amp;"lem. Ideally these would eventually turn into constraints on the AI systems that we build, e.g. “AI systems should report potentially impactful new technologies to such-and-such committee”. I see the AI governance field as doing this sort of work using di"&amp;"fferent terminology.
Technical AI alignment (in the sense of &lt;@intent alignment@&gt;(@Clarifying ""AI Alignment""@)) does not seem to benefit as much from this sort of an approach. The main issue is that we are often considering a fairly unitary system (suc"&amp;"h as a neural net, or the mathematical model of expected utility maximization) to which the hierarchical assumption of systems theory does not really apply.
To be clear, I _do_ think that there in fact is some hierarchy. For example, in image classifiers"&amp;" where low levels involve edge detectors while high levels involve dog-face detectors. However, we do not have the language to talk about these hierarchies, nor the algorithms to control the intermediate layers. While &lt;@Circuits@&gt;(@Thread: Circuits@) is i"&amp;"llustrating this hierarchy for image classifiers, it does not give us a language that we can (currently) use to talk about advanced AI systems. As a result, we are reduced to focusing on the incentives we provide to the AI system, or speculating on the le"&amp;"vels of hierarchy that might be internal to advanced AI systems, neither of which seem particularly conducive to good work.
In the language of this book, I work on intent alignment because I expect that the ability to enforce the constraint “the AI syste"&amp;"m tries to do what its operator wants” will be a very useful building block for enforcing whatever societal safety constraints we eventually settle on, and it seems possible to make progress on it today. There are several arguments for risk that this igno"&amp;"res (see e.g. &lt;@here@&gt;(@The Main Sources of AI Risk?@) and &lt;@here@&gt;(@AI Research Considerations for Human Existential Safety@)); for some of these other risks, the argument is that we can handle those using similar mechanisms as we have before (e.g. gover"&amp;"nance, democracy, police, etc), _as long as_ we have handled intent alignment.")</f>
        <v>I recently read [Engineering a Safer World](https://static1.squarespace.com/static/53b78765e4b0949940758017/t/57d87eb6d2b8571af3501b26/1473898764674/Engineering_a_Safer_World+Nancy+Leveson.pdf) by Nancy G. Leveson, at [Joshua Achiam’s recommendation](https://twitter.com/jachiam0/status/1285449712573665281), and really enjoyed it, so get ready for another book summary! I’m not very happy with the summary I have -- it feels less compelling than the book, partly because the book provides a ton of examples that I don’t have the space to do -- but hopefully it is enough to get the key points across.
The main motivation of this book is to figure out how we can improve safety engineering. Its primary thesis is that the existing methods used in engineering are insufficient for the current challenges, and must be replaced by a method the author favors called STAMP. Note that the book is primarily concerned with mechanical systems that may also have computerized automation (think aerospace, chemical, and mechanical engineering); the conclusions should not be expected to apply directly to AI.
**The standard model of safety engineering and its deficiencies**
Historically, safety engineering has been developed as a reaction to the high level of accidents we had in the past, and as a result focused on the easiest gains first. In particular, there were a lot of gains to be had simply by ensuring that _machines didn’t break_. _(Rohin’s note: I’m editorializing a bit here, the author doesn’t explicitly say this but I think she believes it.)_ This led to a focus on _reliability_: given a specification for how a machine should operate, we aim to decrease the probability that the machine fails to meet that specification. For example, the specification for a water tank would be to contain the water up to a given pressure, and one way to improve the reliability of the tank would be to use a stronger material or make a thicker tank to make it less likely that the tank ruptures.
Under this model, an accident happens when a machine fails to meet its specification. So, we can analyze the accident by looking at what went wrong, and tracing back the physical causes to the first point at which a specification was not met, giving us a _root cause_ that can show us what we need to fix in order to prevent similar accidents in the future. We can call this sort of analysis an _event chain_ analysis.
However, in the last few decades there have been quite a few changes that make this model worse than it once was. The pace of technological change has risen, making it harder to learn from experience. The systems we build have become complex enough that there is a lot more _coupling_ or interaction effects between parts of the system that we could fail to account for.  Relatedly, the risks we face are getting large enough that we aren’t willing to tolerate even a _single_ accident. Human operators (e.g. factory workers) are no longer able to rely on easily understood and predictable mechanical systems, instead having to work with computerized automation which they cannot understand as well. At this point, event chain analysis and safety-via-reliability are no longer sufficient for safety engineering.
Consider for example the [Flight 965](https://en.wikipedia.org/wiki/American_Airlines_Flight_965) accident. In this case, the pilots got clearance to fly towards the Rozo waypoint in their descent, listed as (R) on their (paper) approach charts. One of the pilots pressed R in the flight management system (FMS), which brought up a list of waypoints that did _not_ include Rozo, and executed the first one (presumably believing that Rozo, being the closest waypoint, would show up first). As a result, the plane turned towards the selected waypoint, and crashed into a mountain.
The accident report for this incident placed the blame squarely on the pilots, firstly for not planning an appropriate path, and secondly for not having situational awareness of the terrain and that they needed to discontinue their approach. But most interestingly, the report blames the pilots for not reverting to basic radio navigation when the FMS became confusing. The author argues that the design of the automation was also flawed in this case, as the FMS stopped displaying the intermediate fixes to the chosen route, and the FMS’s navigational information used a different naming convention than the one in the approach charts. Surely this also contributed to the loss? In fact, in lawsuit appeals, the software manufacturer was held to be 17% liable.
However, the author argues that this is the exception, not the rule: typically event chain analysis proceeds until a human operator is found who did something unexpected, and then the blame can safely be placed on them. Operators are expected to “use common sense” to deviate from procedures when the procedures are unsafe, but when an accident happens, blame is placed on them for deviating from procedures. This is often very politically convenient, and is especially easy to justify thanks to hindsight bias, where we can identify exactly the right information and cues that the operator “should have” paid attention to, ignoring that in the moment there were probably many confusing cues and it was far from obvious which information to pay attention to. My favorite example has to be this quote from an accident report:
“Interviews with operations personnel did not produce a clear reason why the response to the [gas] alarm took 31 minutes. The only explanation was that there was not a sense of urgency since, in their experience, previous [gas] alarms were attributed to minor releases that did not require a unit evacuation.”
It is rare that I see such a clear example of a self-refuting paragraph. In the author’s words, “this statement is puzzling, because the statement itself provides a clear explanation for the behavior, that is, the previous experience”. It definitely sounds like the investigators searched backwards through the causal chain, found a situation where a human deviated from protocol, and decided to assign blame there.
This isn’t just a failure of the accident investigation -- the entire premise of some “root cause” in an event chain analysis implies that the investigators must end up choosing some particular point to label as The Root Cause, and such a decision is inevitably going to be determined more by the particular analysts involved rather than by features of the accident.
**Towards a new approach**
How might we fix the deficiencies of standard safety engineering? The author identifies several major changes in assumptions that are necessary for a new approach:
1. Blame is the enemy of safety. Safety engineering should focus on system behavior as a whole, where interventions can be made at many points on different levels, rather than seeking to identify a single intervention point.
2. Reliability (having machines meet their specifications) is neither necessary nor sufficient for safety (not having bad outcomes). Increased reliability can lead to decreased safety: if we increase the reliability of the water tank by making it using a stronger material, we may decrease the risk of rupture, but we may dramatically increase the harm when a rupture occurs since the water will be at a much higher pressure. This applies to software as well: highly reliable software need not be safe, as its specifications may not be correct.
3. Accidents involve the entire sociotechnical system, for which an event chain model is insufficient. Interventions on the sociological level (e.g. make it easy for low-level operators to report problems) should be considered part of the remit of safety engineering.
4. Major accidents are not caused by simultaneous occurrence of random chance events. Particularly egregious examples come from probabilistic risk analysis, where failures of different subsystems are often assumed to be independent, neglecting the possibility of a common cause, whether physical (e.g. multiple subsystems failing during a power outage) or sociological (e.g. multiple safety features being disabled as part of cost-cutting measures). In addition, systems tend to migrate towards higher risk over time, because environmental circumstances change, and operational practices diverge from the designed practices as they adapt to the new circumstances, or simply to be more efficient.
5. Operator behavior is a product of the environment in which it occurs. To improve safety, we must change the environment rather than the human. For example, if an accident occurs and an operator didn’t notice a warning light that could have let them prevent it, the solution is not to tell the operators to “pay more attention” -- that approach is doomed to fail.
**A detour into systems theory**
The new model proposed by the author is based on systems theory, so let’s take a moment to describe it. Consider possible systems that we may want to analyze:
First, there are some systems with _organized simplicity_, in which it is possible to decompose the system into several subsystems, analyze each of the subsystems independently, and then combine the results relatively easily to reach overall conclusions. We might think of these as systems in which analytic reduction is a good problem-solving strategy. _Rohin’s note: Importantly, this is different from the philosophical question of whether there exist phenomena that cannot be reduced to e.g. physics: that is a question about whether reduction is in principle possible, whereas this criterion is about whether such reduction is an effective strategy for a computationally bounded reasoner._ Most of physics would be considered to have organized simplicity.
Second, there are systems with _unorganized complexity_, where there is not enough underlying structure for analytic reduction into subsystems to be a useful tool. However, in such systems the behavior of individual elements of the system is sufficiently random (or at least, well-modeled as random) that statistics can be applied to it, and then the law of large numbers allows us to understand the system as an aggregate. A central example would be statistical mechanics, where we cannot say much about the motion of individual particles in a gas, but we can say quite a lot about the macroscopic behavior of the gas as a whole.
Systems theory deals with systems that have _organized complexity_. Such systems have enough organization and structure that we cannot apply statistics to it (or equivalently, the assumption of randomness is too incorrect), and are also sufficiently complex that analytic reduction is not a good technique (e.g. perhaps any potential decomposition into subsystems would be dominated by combinatorially many interaction effects between subsystems). Sociological systems are central examples of such systems: the individual components (humans) are very much not random, but neither are their interactions governed by simple laws as would be needed for analytic reduction. While systems theory cannot provide nearly the same level of precision as statistics or physics, it does provide useful concepts for thinking about such systems.
The first main concept in systems theory is that of _hierarchy and emergence_. The idea here is that systems with organized complexity can be decomposed into several hierarchical levels, with each level built “on top of” the previous one. For example, companies are built on top of teams which are built on top of individual employees. The behavior of components in a particular layer is described by some “language” that is well-suited for that layer. For example, we might talk about individual employees based on their job description, their career goals, their relationship with their manager, and so on, but we might talk about companies based on their overall direction and strategy, the desires of their customer base, the pressures from regulators, and so on.
_Emergence_ refers to the phenomenon that there can be properties of higher levels arising from lawful interactions at lower levels that nonetheless are meaningless in the language appropriate for the lower levels. For example, it is quite meaningful to say that the pressures on a company from government regulation caused them to (say) add captions to their videos, but if we look at the specific engineer who integrated the speech recognition software into the pipeline, we would presumably say “she integrated the speech recognition into the pipeline because she had previously worked with the code” rather than “she integrated it because government regulations told her to do so”. As another example, safety is an emergent system property, while reliability is not.
The second main concept is that of _control_. We are usually not satisfied with just understanding the behavior of systems; we also want to make changes to it (as in the case of making them safer). In systems theory, this is thought of as _control_, where we impose some sort of _constraint_ on possible system behavior at some level. For example, employee training is a potential control action that could aim to enforce the constraint that every employee knows what to do in an emergency. An effective controller requires a goal, a set of actions to take, a model of the system, and some way to sense the state of the system.
**STAMP: A new model underlying safety engineering**
The author then introduces a new model called Systems-Theoretic Accident Model and Processes (STAMP), which aims to present a framework for understanding how accidents occur (which can allow us to prevent them and/or learn from them). It contains three main components:
_Safety constraints_: In systems theory, a constraint is the equivalent of a specification, so these are just the safety-relevant specifications. Note that such specifications can be found at all levels of the hierarchy.
_Hierarchical safety controllers_: We use _controllers_ to enforce safety constraints at any given level. A control algorithm may be implemented by a mechanical system, a computerized system, or humans, and can exist at any level of the hierarchy. A controller at level N will typically depend on constraints at level N - 1, and thus the design of this controller influences which safety constraints are placed at level N - 1.
_Process models_: An effective controller must have a model of the process it is controlling. Many accidents are the result of a mismatch between the actual process and the process model of the controller.
This framework can be applied towards several different tasks, and in all cases the steps are fairly similar: identify the safety constraints you want, design or identify the controllers enforcing those constraints, and then do some sort of generic reasoning with these components.
If an accident occurs, then at the highest level, either the control algorithm(s) failed to enforce the safety constraints, or the control actions were sent correctly but were not followed. In the latter case, the controllers at the lower level should then be analyzed to see why the control actions were not followed. Ultimately, this leads to an analysis on multiple levels, which can identify several things that went wrong rather than one Root Cause, that can all be fixed to improve safety in the future.
**Organizational safety**
So far we’ve covered roughly chapters 1-4 of the book. I’ll now jump straight to chapter 13, which seems particularly important and relevant, as it deals with how organizational structure and management should be designed to support safety.
One major point that the author makes is that safety _is_ cost-effective for _long-term_ performance as long as it is designed into the system from the start, rather than added on at the last minute. Performance pressure on the other hand inevitably leads to cuts in safety.
In order to actually get safety designed into the system from the start, it is crucial that top management demonstrates a strong commitment to safety, as without this employees will inevitably cut corners on safety as they will believe it is in their incentives to do so. Other important factors include a concrete corporate safety policy, as well as a strong corporate safety culture. It is important that safety is part of the design process, rather than tacked on at the end. In the author’s words, _putting safety into the quality assurance organization is the worst place for it. [...] It sets up the expectation that safety is an after-the-fact or auditing activity only._
In addition, it is important that information can flow well. Going from the bottom to the top, it should be possible for low-level operators to report potential problems in a way that they are actually acted on and the relevant information reaches top management.  From the top to the bottom, safety information and training should be easily available and accessible to employees when they need it.
It is also important to have controls to prevent the general tendency of systems to migrate towards higher risk, e.g. by relaxing safety requirements as time passes without any incidents. The next chapter describes SUBSAFE, the author’s example of a well-run safety program, in which the control is for everyone to periodically watch a video reminding them of the importance of their particular safety work (in particular, the video shows the loss of the USS Thresher, an event that caused SUBSAFE to be created).
Perhaps obviously, it is important for an organization to have a dedicated safety team. This is in contrast to making everyone responsible for safety. In the author’s words: _While, of course, everyone should try to behave safely and to achieve safety goals, someone has to be assigned responsibility for ensuring that the goals are achieved._
If you start by designing for safety, it is cost-effective, not opposed to long-term money-maximizing. Once there is performance pressure, then you see cuts in safety. Also sometimes people fix symptoms instead of underlying causes, and then they just keep seeing symptoms forever and conclude they are inevitable.
**Miscellaneous notes**
The remaining chapters of the book apply STAMP in a bunch of different areas with many examples, including an entire chapter devoted to the STAMP treatment of a friendly fire accident. I also really liked the discussion of human factors in the book, but decided not to summarize it as this has already gotten quite long.
**Summary of the summary**
I’ll conclude with a quote from the book’s epilogue:
_What seems to distinguish those experiencing success is that they:_
_1. Take a systems approach to safety in both development and operations_
_2. Have instituted a learning culture where they have effective learning from events_
_3. Have established safety as a priority and understand that their long-term success depends on it_
**Relationship to AI safety**
A primary motivation for thinking about AI is that it would be very impactful for our society, and very impactful technologies need not have good impacts. “Society” clearly falls into the “organized complexity” class of systems, and so I expect that the ideas of safety constraints and hierarchical control algorithms will be useful ways to think about possible impacts of AI on society. For example, if we want to think about the possibility of AI systems differentially improving technical progress over “wisdom”, such that we get dangerous technologies before we’re ready for them, we may want to sketch out hierarchical “controllers” at the societal level that could solve this problem. Ideally these would eventually turn into constraints on the AI systems that we build, e.g. “AI systems should report potentially impactful new technologies to such-and-such committee”. I see the AI governance field as doing this sort of work using different terminology.
Technical AI alignment (in the sense of &lt;@intent alignment@&gt;(@Clarifying "AI Alignment"@)) does not seem to benefit as much from this sort of an approach. The main issue is that we are often considering a fairly unitary system (such as a neural net, or the mathematical model of expected utility maximization) to which the hierarchical assumption of systems theory does not really apply.
To be clear, I _do_ think that there in fact is some hierarchy. For example, in image classifiers where low levels involve edge detectors while high levels involve dog-face detectors. However, we do not have the language to talk about these hierarchies, nor the algorithms to control the intermediate layers. While &lt;@Circuits@&gt;(@Thread: Circuits@) is illustrating this hierarchy for image classifiers, it does not give us a language that we can (currently) use to talk about advanced AI systems. As a result, we are reduced to focusing on the incentives we provide to the AI system, or speculating on the levels of hierarchy that might be internal to advanced AI systems, neither of which seem particularly conducive to good work.
In the language of this book, I work on intent alignment because I expect that the ability to enforce the constraint “the AI system tries to do what its operator wants” will be a very useful building block for enforcing whatever societal safety constraints we eventually settle on, and it seems possible to make progress on it today. There are several arguments for risk that this ignores (see e.g. &lt;@here@&gt;(@The Main Sources of AI Risk?@) and &lt;@here@&gt;(@AI Research Considerations for Human Existential Safety@)); for some of these other risks, the argument is that we can handle those using similar mechanisms as we have before (e.g. governance, democracy, police, etc), _as long as_ we have handled intent alignment.</v>
      </c>
    </row>
    <row r="1140">
      <c r="A1140" t="str">
        <f>IFERROR(__xludf.DUMMYFUNCTION("""COMPUTED_VALUE"""),"Miscellaneous (Alignment)")</f>
        <v>Miscellaneous (Alignment)</v>
      </c>
      <c r="B1140" t="str">
        <f>IFERROR(__xludf.DUMMYFUNCTION("""COMPUTED_VALUE"""),"Highlight")</f>
        <v>Highlight</v>
      </c>
      <c r="C1140" s="3" t="str">
        <f>IFERROR(__xludf.DUMMYFUNCTION("""COMPUTED_VALUE"""),"A general model of safety-oriented AI development")</f>
        <v>A general model of safety-oriented AI development</v>
      </c>
      <c r="D1140" t="str">
        <f>IFERROR(__xludf.DUMMYFUNCTION("""COMPUTED_VALUE"""),"Wei Dai")</f>
        <v>Wei Dai</v>
      </c>
      <c r="E1140" t="str">
        <f>IFERROR(__xludf.DUMMYFUNCTION("""COMPUTED_VALUE"""),"LessWrong")</f>
        <v>LessWrong</v>
      </c>
      <c r="F1140">
        <f>IFERROR(__xludf.DUMMYFUNCTION("""COMPUTED_VALUE"""),2018.0)</f>
        <v>2018</v>
      </c>
      <c r="H1140" s="3" t="str">
        <f>IFERROR(__xludf.DUMMYFUNCTION("""COMPUTED_VALUE"""),"AN #11")</f>
        <v>AN #11</v>
      </c>
      <c r="I1140" t="str">
        <f>IFERROR(__xludf.DUMMYFUNCTION("""COMPUTED_VALUE"""),"Rohin")</f>
        <v>Rohin</v>
      </c>
      <c r="J1140" t="str">
        <f>IFERROR(__xludf.DUMMYFUNCTION("""COMPUTED_VALUE"""),"A general model for developing safe powerful AI systems is to have a team of humans and AIs, which continually develops and adds more AIs to the team, while inductively preserving alignment.")</f>
        <v>A general model for developing safe powerful AI systems is to have a team of humans and AIs, which continually develops and adds more AIs to the team, while inductively preserving alignment.</v>
      </c>
      <c r="K1140" t="str">
        <f>IFERROR(__xludf.DUMMYFUNCTION("""COMPUTED_VALUE"""),"I'm glad this was finally written down -- I've been calling this the ""induction hammer"" and have used it a lot in my own thinking. Thinking about this sort of a model, and in particular what kinds of properties we could best preserve inductively, has be"&amp;"en quite helpful for me.")</f>
        <v>I'm glad this was finally written down -- I've been calling this the "induction hammer" and have used it a lot in my own thinking. Thinking about this sort of a model, and in particular what kinds of properties we could best preserve inductively, has been quite helpful for me.</v>
      </c>
    </row>
    <row r="1141">
      <c r="A1141" t="str">
        <f>IFERROR(__xludf.DUMMYFUNCTION("""COMPUTED_VALUE"""),"Miscellaneous (Alignment)")</f>
        <v>Miscellaneous (Alignment)</v>
      </c>
      <c r="B1141" t="str">
        <f>IFERROR(__xludf.DUMMYFUNCTION("""COMPUTED_VALUE"""),"Highlight")</f>
        <v>Highlight</v>
      </c>
      <c r="C1141" s="3" t="str">
        <f>IFERROR(__xludf.DUMMYFUNCTION("""COMPUTED_VALUE"""),"The Basic AI Drives")</f>
        <v>The Basic AI Drives</v>
      </c>
      <c r="D1141" t="str">
        <f>IFERROR(__xludf.DUMMYFUNCTION("""COMPUTED_VALUE"""),"Stephen M. Omohundro")</f>
        <v>Stephen M. Omohundro</v>
      </c>
      <c r="E1141" t="str">
        <f>IFERROR(__xludf.DUMMYFUNCTION("""COMPUTED_VALUE"""),"Author's Website")</f>
        <v>Author's Website</v>
      </c>
      <c r="F1141">
        <f>IFERROR(__xludf.DUMMYFUNCTION("""COMPUTED_VALUE"""),2008.0)</f>
        <v>2008</v>
      </c>
      <c r="H1141" s="3" t="str">
        <f>IFERROR(__xludf.DUMMYFUNCTION("""COMPUTED_VALUE"""),"AN #107")</f>
        <v>AN #107</v>
      </c>
      <c r="I1141" t="str">
        <f>IFERROR(__xludf.DUMMYFUNCTION("""COMPUTED_VALUE"""),"Rohin")</f>
        <v>Rohin</v>
      </c>
      <c r="J1141" t="str">
        <f>IFERROR(__xludf.DUMMYFUNCTION("""COMPUTED_VALUE"""),"This paper from 2008 introduces convergent instrumental subgoals: the subgoals that an AI system will have “by default”, unless care is taken to avoid them. For this paper, an AI system is a system that “has goals which it tries to accomplish by acting in"&amp;" the world”, i.e. it assumes that the system is &lt;@goal-directed@&gt;(@Intuitions about goal-directed behavior@).
It starts by arguing that a sufficiently powerful goal-directed AI system will want to self-improve, as that could help it achieve its goals bet"&amp;"ter in the (presumably long) future. In particular, it will want to become “rational”, in the sense that it will want to maximize its _expected_ utility, where the utility function is determined by its goal. (The justification for this is the VNM theorem,"&amp;" and the various Dutch book arguments that support Bayesianism and expected utility maximization.)
However, not all modifications would be good for the AI system. In particular, it will very strongly want to preserve its utility function, as that determi"&amp;"nes what it will (try to) accomplish in the future, and any change in the utility function would be a disaster from the perspective of the current utility function. Similarly, it will want to protect itself from harm, that is, it has a survival incentive,"&amp;" because it can’t accomplish its goal if it’s dead.
The final instrumental subgoal is to acquire resources and use them efficiently in pursuit of its goal, because almost by definition resources are useful for a wide variety of goals, including (probably"&amp;") the AI system’s goal.")</f>
        <v>This paper from 2008 introduces convergent instrumental subgoals: the subgoals that an AI system will have “by default”, unless care is taken to avoid them. For this paper, an AI system is a system that “has goals which it tries to accomplish by acting in the world”, i.e. it assumes that the system is &lt;@goal-directed@&gt;(@Intuitions about goal-directed behavior@).
It starts by arguing that a sufficiently powerful goal-directed AI system will want to self-improve, as that could help it achieve its goals better in the (presumably long) future. In particular, it will want to become “rational”, in the sense that it will want to maximize its _expected_ utility, where the utility function is determined by its goal. (The justification for this is the VNM theorem, and the various Dutch book arguments that support Bayesianism and expected utility maximization.)
However, not all modifications would be good for the AI system. In particular, it will very strongly want to preserve its utility function, as that determines what it will (try to) accomplish in the future, and any change in the utility function would be a disaster from the perspective of the current utility function. Similarly, it will want to protect itself from harm, that is, it has a survival incentive, because it can’t accomplish its goal if it’s dead.
The final instrumental subgoal is to acquire resources and use them efficiently in pursuit of its goal, because almost by definition resources are useful for a wide variety of goals, including (probably) the AI system’s goal.</v>
      </c>
      <c r="K1141" t="str">
        <f>IFERROR(__xludf.DUMMYFUNCTION("""COMPUTED_VALUE"""),"I refer to convergent instrumental subgoals quite often in this newsletter, so it seemed like I should have a summary of it. I especially like this paper because it holds up pretty well 12 years later. Even though I’ve &lt;@critiqued@&gt;(@Conclusion to the seq"&amp;"uence on value learning@) the idea that powerful AI systems must be expected utility maximizers, I still find myself agreeing with this paper, because it _assumes_ a goal-directed agent and reasons from there, rather than trying to argue that powerful AI "&amp;"systems must be goal-directed. Given that assumption, I agree with the conclusions drawn here.")</f>
        <v>I refer to convergent instrumental subgoals quite often in this newsletter, so it seemed like I should have a summary of it. I especially like this paper because it holds up pretty well 12 years later. Even though I’ve &lt;@critiqued@&gt;(@Conclusion to the sequence on value learning@) the idea that powerful AI systems must be expected utility maximizers, I still find myself agreeing with this paper, because it _assumes_ a goal-directed agent and reasons from there, rather than trying to argue that powerful AI systems must be goal-directed. Given that assumption, I agree with the conclusions drawn here.</v>
      </c>
    </row>
    <row r="1142">
      <c r="A1142" t="str">
        <f>IFERROR(__xludf.DUMMYFUNCTION("""COMPUTED_VALUE"""),"Miscellaneous (Alignment)")</f>
        <v>Miscellaneous (Alignment)</v>
      </c>
      <c r="B1142" t="str">
        <f>IFERROR(__xludf.DUMMYFUNCTION("""COMPUTED_VALUE"""),"Highlight")</f>
        <v>Highlight</v>
      </c>
      <c r="C1142" s="3" t="str">
        <f>IFERROR(__xludf.DUMMYFUNCTION("""COMPUTED_VALUE"""),"Possible takeaways from the coronavirus pandemic for slow AI takeoff")</f>
        <v>Possible takeaways from the coronavirus pandemic for slow AI takeoff</v>
      </c>
      <c r="D1142" t="str">
        <f>IFERROR(__xludf.DUMMYFUNCTION("""COMPUTED_VALUE"""),"Victoria Krakovna")</f>
        <v>Victoria Krakovna</v>
      </c>
      <c r="E1142" t="str">
        <f>IFERROR(__xludf.DUMMYFUNCTION("""COMPUTED_VALUE"""),"Alignment Forum")</f>
        <v>Alignment Forum</v>
      </c>
      <c r="F1142">
        <f>IFERROR(__xludf.DUMMYFUNCTION("""COMPUTED_VALUE"""),2020.0)</f>
        <v>2020</v>
      </c>
      <c r="H1142" s="3" t="str">
        <f>IFERROR(__xludf.DUMMYFUNCTION("""COMPUTED_VALUE"""),"AN #104")</f>
        <v>AN #104</v>
      </c>
      <c r="I1142" t="str">
        <f>IFERROR(__xludf.DUMMYFUNCTION("""COMPUTED_VALUE"""),"Rohin")</f>
        <v>Rohin</v>
      </c>
      <c r="J1142" t="str">
        <f>IFERROR(__xludf.DUMMYFUNCTION("""COMPUTED_VALUE"""),"The COVID-19 pandemic is an example of a large risk that humanity faced. What lessons can we learn for AI alignment? This post argues that the pandemic is an example of the sort of situation we can expect in a slow takeoff scenario, since we had the oppor"&amp;"tunity to learn from experience, act on warning signs, and reach a timely consensus that there is a serious problem. However, while we could have learned from previous epidemics like SARS, we failed to generalize the lessons from SARS. Despite warning sig"&amp;"ns of a pandemic in February, many countries wasted a month when they could have been stocking up on PPE and testing capacity. We had no consensus that COVID-19 was a problem, with articles dismissing it as no worse than the flu as late as March.
All of "&amp;"these problems could also happen with slow takeoff: we may fail to generalize from narrow AI systems to more general AI systems; we might not act on warning signs; and we may not believe that powerful AI is on the horizon until it is too late. The conclus"&amp;"ion is “unless more competent institutions are in place by the time general AI arrives, it is not clear to me that slow takeoff would be much safer than fast takeoff”.")</f>
        <v>The COVID-19 pandemic is an example of a large risk that humanity faced. What lessons can we learn for AI alignment? This post argues that the pandemic is an example of the sort of situation we can expect in a slow takeoff scenario, since we had the opportunity to learn from experience, act on warning signs, and reach a timely consensus that there is a serious problem. However, while we could have learned from previous epidemics like SARS, we failed to generalize the lessons from SARS. Despite warning signs of a pandemic in February, many countries wasted a month when they could have been stocking up on PPE and testing capacity. We had no consensus that COVID-19 was a problem, with articles dismissing it as no worse than the flu as late as March.
All of these problems could also happen with slow takeoff: we may fail to generalize from narrow AI systems to more general AI systems; we might not act on warning signs; and we may not believe that powerful AI is on the horizon until it is too late. The conclusion is “unless more competent institutions are in place by the time general AI arrives, it is not clear to me that slow takeoff would be much safer than fast takeoff”.</v>
      </c>
      <c r="K1142" t="str">
        <f>IFERROR(__xludf.DUMMYFUNCTION("""COMPUTED_VALUE"""),"While I agree that the COVID response was worse than it could have been, I think there are several important disanalogies between the COVID-19 pandemic and a soft takeoff scenario, which I elaborate on in [this comment](https://www.alignmentforum.org/post"&amp;"s/wTKjRFeSjKLDSWyww/possible-takeaways-from-the-coronavirus-pandemic-for-slow-ai?commentId=pKNQ9oq72HFS2JrdH). First, with COVID there were many novel problems, which I don’t expect with AI. Second, I expect a longer time period over which decisions can b"&amp;"e made for AI alignment. Finally, with AI alignment, we have the option of preventing problems from ever arising, which is not really an option with pandemics. See also [this post](https://www.lesswrong.com/posts/EgdHK523ZM4zPiX5q/coronavirus-as-a-test-ru"&amp;"n-for-x-risks#Implications_for_X_risks).")</f>
        <v>While I agree that the COVID response was worse than it could have been, I think there are several important disanalogies between the COVID-19 pandemic and a soft takeoff scenario, which I elaborate on in [this comment](https://www.alignmentforum.org/posts/wTKjRFeSjKLDSWyww/possible-takeaways-from-the-coronavirus-pandemic-for-slow-ai?commentId=pKNQ9oq72HFS2JrdH). First, with COVID there were many novel problems, which I don’t expect with AI. Second, I expect a longer time period over which decisions can be made for AI alignment. Finally, with AI alignment, we have the option of preventing problems from ever arising, which is not really an option with pandemics. See also [this post](https://www.lesswrong.com/posts/EgdHK523ZM4zPiX5q/coronavirus-as-a-test-run-for-x-risks#Implications_for_X_risks).</v>
      </c>
    </row>
    <row r="1143">
      <c r="A1143" t="str">
        <f>IFERROR(__xludf.DUMMYFUNCTION("""COMPUTED_VALUE"""),"Miscellaneous (Alignment)")</f>
        <v>Miscellaneous (Alignment)</v>
      </c>
      <c r="B1143" t="str">
        <f>IFERROR(__xludf.DUMMYFUNCTION("""COMPUTED_VALUE"""),"Highlight")</f>
        <v>Highlight</v>
      </c>
      <c r="C1143" s="3" t="str">
        <f>IFERROR(__xludf.DUMMYFUNCTION("""COMPUTED_VALUE"""),"An overview of 11 proposals for building safe advanced AI")</f>
        <v>An overview of 11 proposals for building safe advanced AI</v>
      </c>
      <c r="D1143" t="str">
        <f>IFERROR(__xludf.DUMMYFUNCTION("""COMPUTED_VALUE"""),"Evan Hubinger")</f>
        <v>Evan Hubinger</v>
      </c>
      <c r="E1143" t="str">
        <f>IFERROR(__xludf.DUMMYFUNCTION("""COMPUTED_VALUE"""),"Alignment Forum")</f>
        <v>Alignment Forum</v>
      </c>
      <c r="F1143">
        <f>IFERROR(__xludf.DUMMYFUNCTION("""COMPUTED_VALUE"""),2020.0)</f>
        <v>2020</v>
      </c>
      <c r="H1143" s="3" t="str">
        <f>IFERROR(__xludf.DUMMYFUNCTION("""COMPUTED_VALUE"""),"AN #102")</f>
        <v>AN #102</v>
      </c>
      <c r="I1143" t="str">
        <f>IFERROR(__xludf.DUMMYFUNCTION("""COMPUTED_VALUE"""),"Rohin")</f>
        <v>Rohin</v>
      </c>
      <c r="J1143" t="str">
        <f>IFERROR(__xludf.DUMMYFUNCTION("""COMPUTED_VALUE"""),"This post describes eleven “full” AI alignment proposals (where the goal is to build a powerful, beneficial AI system using current techniques), and evaluates them on four axes:
1. **Outer alignment:** Would the optimal policy for the specified loss func"&amp;"tion be aligned with us? See also [this post](https://www.alignmentforum.org/posts/33EKjmAdKFn3pbKPJ/outer-alignment-and-imitative-amplification).
2. **Inner alignment:** Will the model that is _actually produced_ by the training process be aligned with u"&amp;"s?
3. **Training competitiveness:** Is this an efficient way to train a powerful AI system? More concretely, if one team had a “reasonable lead” over other teams, would they keep at least some of the lead if they used this algorithm?
4. **Performance comp"&amp;"etitiveness:** Will the trained model have good performance (relative to other models that could be trained)?
Seven of the eleven proposals are of the form “recursive outer alignment technique” plus “&lt;@technique for robustness@&gt;(@Worst-case guarantees (R"&amp;"evisited)@)”. The recursive outer alignment technique is either &lt;@debate@&gt;(@AI safety via debate@), &lt;@recursive reward modeling@&gt;(@Scalable agent alignment via reward modeling@), or some flavor of &lt;@amplification@&gt;(@Capability amplification@). The techniq"&amp;"ue for robustness is either transparency tools to “peer inside the model”, &lt;@relaxed adversarial training@&gt;(@Relaxed adversarial training for inner alignment@), or intermittent oversight by a competent supervisor. An additional two proposals are of the fo"&amp;"rm “non-recursive outer alignment technique” plus “technique for robustness” -- the non-recursive techniques are vanilla reinforcement learning in a multiagent environment, and narrow reward learning.
Another proposal is Microscope AI, in which we train "&amp;"AI systems to simply understand vast quantities of data, and then by peering into the AI system we can learn the insights that the AI system learned, leading to a lot of value. We wouldn’t have the AI system act in the world, thus eliminating a large swat"&amp;"h of potential bad outcomes. Finally, we have STEM AI, where we try to build an AI system that operates in a sandbox and is very good at science and engineering, but doesn’t know much about humans. Intuitively, such a system would be very unlikely to dece"&amp;"ive us (and probably would be incapable of doing so).
The post contains a lot of additional content that I didn’t do justice to in this summary. In particular, I’ve said nothing about the analysis of each of these proposals on the four axes listed above;"&amp;" the full post talks about all 44 combinations.")</f>
        <v>This post describes eleven “full” AI alignment proposals (where the goal is to build a powerful, beneficial AI system using current techniques), and evaluates them on four axes:
1. **Outer alignment:** Would the optimal policy for the specified loss function be aligned with us? See also [this post](https://www.alignmentforum.org/posts/33EKjmAdKFn3pbKPJ/outer-alignment-and-imitative-amplification).
2. **Inner alignment:** Will the model that is _actually produced_ by the training process be aligned with us?
3. **Training competitiveness:** Is this an efficient way to train a powerful AI system? More concretely, if one team had a “reasonable lead” over other teams, would they keep at least some of the lead if they used this algorithm?
4. **Performance competitiveness:** Will the trained model have good performance (relative to other models that could be trained)?
Seven of the eleven proposals are of the form “recursive outer alignment technique” plus “&lt;@technique for robustness@&gt;(@Worst-case guarantees (Revisited)@)”. The recursive outer alignment technique is either &lt;@debate@&gt;(@AI safety via debate@), &lt;@recursive reward modeling@&gt;(@Scalable agent alignment via reward modeling@), or some flavor of &lt;@amplification@&gt;(@Capability amplification@). The technique for robustness is either transparency tools to “peer inside the model”, &lt;@relaxed adversarial training@&gt;(@Relaxed adversarial training for inner alignment@), or intermittent oversight by a competent supervisor. An additional two proposals are of the form “non-recursive outer alignment technique” plus “technique for robustness” -- the non-recursive techniques are vanilla reinforcement learning in a multiagent environment, and narrow reward learning.
Another proposal is Microscope AI, in which we train AI systems to simply understand vast quantities of data, and then by peering into the AI system we can learn the insights that the AI system learned, leading to a lot of value. We wouldn’t have the AI system act in the world, thus eliminating a large swath of potential bad outcomes. Finally, we have STEM AI, where we try to build an AI system that operates in a sandbox and is very good at science and engineering, but doesn’t know much about humans. Intuitively, such a system would be very unlikely to deceive us (and probably would be incapable of doing so).
The post contains a lot of additional content that I didn’t do justice to in this summary. In particular, I’ve said nothing about the analysis of each of these proposals on the four axes listed above; the full post talks about all 44 combinations.</v>
      </c>
      <c r="K1143" t="str">
        <f>IFERROR(__xludf.DUMMYFUNCTION("""COMPUTED_VALUE"""),"I’m glad this post exists: while most of the specific proposals could be found by patching together content spread across other blog posts, there was a severe lack of a single article laying out a full picture for even one proposal, let alone all eleven i"&amp;"n this post.
I usually don’t think about outer alignment as what happens with optimal policies, as assumed in this post -- when you’re talking about loss functions _in the real world_ (as I think this post is trying to do), _optimal_ behavior can be weir"&amp;"d and unintuitive, in ways that may not actually matter. For example, arguably for any loss function, the optimal policy is to hack the loss function so that it always outputs zero (or perhaps negative infinity).")</f>
        <v>I’m glad this post exists: while most of the specific proposals could be found by patching together content spread across other blog posts, there was a severe lack of a single article laying out a full picture for even one proposal, let alone all eleven in this post.
I usually don’t think about outer alignment as what happens with optimal policies, as assumed in this post -- when you’re talking about loss functions _in the real world_ (as I think this post is trying to do), _optimal_ behavior can be weird and unintuitive, in ways that may not actually matter. For example, arguably for any loss function, the optimal policy is to hack the loss function so that it always outputs zero (or perhaps negative infinity).</v>
      </c>
    </row>
    <row r="1144">
      <c r="A1144" t="str">
        <f>IFERROR(__xludf.DUMMYFUNCTION("""COMPUTED_VALUE"""),"Miscellaneous (Alignment)")</f>
        <v>Miscellaneous (Alignment)</v>
      </c>
      <c r="B1144" t="str">
        <f>IFERROR(__xludf.DUMMYFUNCTION("""COMPUTED_VALUE"""),"")</f>
        <v/>
      </c>
      <c r="C1144" s="3" t="str">
        <f>IFERROR(__xludf.DUMMYFUNCTION("""COMPUTED_VALUE"""),"Takeaways from safety by default interviews")</f>
        <v>Takeaways from safety by default interviews</v>
      </c>
      <c r="D1144" t="str">
        <f>IFERROR(__xludf.DUMMYFUNCTION("""COMPUTED_VALUE"""),"Asya Bergal")</f>
        <v>Asya Bergal</v>
      </c>
      <c r="E1144" t="str">
        <f>IFERROR(__xludf.DUMMYFUNCTION("""COMPUTED_VALUE"""),"AI Impacts")</f>
        <v>AI Impacts</v>
      </c>
      <c r="F1144">
        <f>IFERROR(__xludf.DUMMYFUNCTION("""COMPUTED_VALUE"""),2020.0)</f>
        <v>2020</v>
      </c>
      <c r="H1144" s="3" t="str">
        <f>IFERROR(__xludf.DUMMYFUNCTION("""COMPUTED_VALUE"""),"AN #94")</f>
        <v>AN #94</v>
      </c>
      <c r="I1144" t="str">
        <f>IFERROR(__xludf.DUMMYFUNCTION("""COMPUTED_VALUE"""),"Rohin")</f>
        <v>Rohin</v>
      </c>
      <c r="J1144" t="str">
        <f>IFERROR(__xludf.DUMMYFUNCTION("""COMPUTED_VALUE"""),"This post lists three key takeaways from AI Impacts' conversations with ""optimistic"" researchers (summarized mainly in [AN #80](https://mailchi.mp/b3dc916ac7e2/an-80-why-ai-risk-might-be-solved-without-additional-intervention-from-longtermists) with one"&amp;" in [AN #63](https://mailchi.mp/533c646a4b21/an-63how-architecture-search-meta-learning-and-environment-design-could-lead-to-general-intelligence)). I'll just name the takeaways here, see the post for more details:
1. Relative optimism in AI often comes "&amp;"from the belief that AGI will be developed gradually, and problems will be fixed as they are found rather than neglected.
2. Many of the arguments I heard around relative optimism weren’t based on inside-view technical arguments.
3. There are lots of call"&amp;"s for individuals with views around AI risk to engage with each other and understand the reasoning behind fundamental disagreements.")</f>
        <v>This post lists three key takeaways from AI Impacts' conversations with "optimistic" researchers (summarized mainly in [AN #80](https://mailchi.mp/b3dc916ac7e2/an-80-why-ai-risk-might-be-solved-without-additional-intervention-from-longtermists) with one in [AN #63](https://mailchi.mp/533c646a4b21/an-63how-architecture-search-meta-learning-and-environment-design-could-lead-to-general-intelligence)). I'll just name the takeaways here, see the post for more details:
1. Relative optimism in AI often comes from the belief that AGI will be developed gradually, and problems will be fixed as they are found rather than neglected.
2. Many of the arguments I heard around relative optimism weren’t based on inside-view technical arguments.
3. There are lots of calls for individuals with views around AI risk to engage with each other and understand the reasoning behind fundamental disagreements.</v>
      </c>
      <c r="K1144" t="str">
        <f>IFERROR(__xludf.DUMMYFUNCTION("""COMPUTED_VALUE"""),"As one of the people interviewed, these seem like the right high-level takeaways to me.")</f>
        <v>As one of the people interviewed, these seem like the right high-level takeaways to me.</v>
      </c>
    </row>
    <row r="1145">
      <c r="A1145" t="str">
        <f>IFERROR(__xludf.DUMMYFUNCTION("""COMPUTED_VALUE"""),"Miscellaneous (Alignment)")</f>
        <v>Miscellaneous (Alignment)</v>
      </c>
      <c r="B1145" t="str">
        <f>IFERROR(__xludf.DUMMYFUNCTION("""COMPUTED_VALUE"""),"")</f>
        <v/>
      </c>
      <c r="C1145" s="3" t="str">
        <f>IFERROR(__xludf.DUMMYFUNCTION("""COMPUTED_VALUE"""),"My personal cruxes for working on AI safety")</f>
        <v>My personal cruxes for working on AI safety</v>
      </c>
      <c r="D1145" t="str">
        <f>IFERROR(__xludf.DUMMYFUNCTION("""COMPUTED_VALUE"""),"Buck Shlegeris")</f>
        <v>Buck Shlegeris</v>
      </c>
      <c r="E1145" t="str">
        <f>IFERROR(__xludf.DUMMYFUNCTION("""COMPUTED_VALUE"""),"EA Forum")</f>
        <v>EA Forum</v>
      </c>
      <c r="F1145">
        <f>IFERROR(__xludf.DUMMYFUNCTION("""COMPUTED_VALUE"""),2020.0)</f>
        <v>2020</v>
      </c>
      <c r="H1145" s="3" t="str">
        <f>IFERROR(__xludf.DUMMYFUNCTION("""COMPUTED_VALUE"""),"AN #88")</f>
        <v>AN #88</v>
      </c>
      <c r="I1145" t="str">
        <f>IFERROR(__xludf.DUMMYFUNCTION("""COMPUTED_VALUE"""),"Rohin")</f>
        <v>Rohin</v>
      </c>
      <c r="J1145" t="str">
        <f>IFERROR(__xludf.DUMMYFUNCTION("""COMPUTED_VALUE"""),"This post describes how Buck's cause prioritization within an [effective altruism](https://www.effectivealtruism.org/) framework leads him to work on AI risk. The case can be broken down into a conjunction of five cruxes. Specifically, the story for impac"&amp;"t is that 1) AGI would be a big deal if it were created, 2) has a decent chance of being created soon, before any other ""big deal"" technology is created, and 3) poses an alignment problem for which we can think ahead in order to solve, and it's potentia"&amp;"lly valuable to do so even given the fact that people might try to solve this later. His research 4) would be put into practice if it solved the problem and 5) makes progress on solving the problem.")</f>
        <v>This post describes how Buck's cause prioritization within an [effective altruism](https://www.effectivealtruism.org/) framework leads him to work on AI risk. The case can be broken down into a conjunction of five cruxes. Specifically, the story for impact is that 1) AGI would be a big deal if it were created, 2) has a decent chance of being created soon, before any other "big deal" technology is created, and 3) poses an alignment problem for which we can think ahead in order to solve, and it's potentially valuable to do so even given the fact that people might try to solve this later. His research 4) would be put into practice if it solved the problem and 5) makes progress on solving the problem.</v>
      </c>
      <c r="K1145" t="str">
        <f>IFERROR(__xludf.DUMMYFUNCTION("""COMPUTED_VALUE"""),"I enjoyed this post, and recommend reading it in full if you are interested in AI risk because of effective altruism. (I've kept the summary relatively short because not all of my readers care about effective altruism.) My personal cruxes and story of imp"&amp;"act are actually fairly different: in particular, while this post sees the impact of research as coming from solving the technical alignment problem, I care about other sources of impact as well. See [this comment](https://forum.effectivealtruism.org/post"&amp;"s/Ayu5im98u8FeMWoBZ/my-personal-cruxes-for-working-on-ai-safety#vWuF8NCs7JQWv9XM3) for details.")</f>
        <v>I enjoyed this post, and recommend reading it in full if you are interested in AI risk because of effective altruism. (I've kept the summary relatively short because not all of my readers care about effective altruism.) My personal cruxes and story of impact are actually fairly different: in particular, while this post sees the impact of research as coming from solving the technical alignment problem, I care about other sources of impact as well. See [this comment](https://forum.effectivealtruism.org/posts/Ayu5im98u8FeMWoBZ/my-personal-cruxes-for-working-on-ai-safety#vWuF8NCs7JQWv9XM3) for details.</v>
      </c>
    </row>
    <row r="1146">
      <c r="A1146" t="str">
        <f>IFERROR(__xludf.DUMMYFUNCTION("""COMPUTED_VALUE"""),"Miscellaneous (Alignment)")</f>
        <v>Miscellaneous (Alignment)</v>
      </c>
      <c r="B1146" t="str">
        <f>IFERROR(__xludf.DUMMYFUNCTION("""COMPUTED_VALUE"""),"")</f>
        <v/>
      </c>
      <c r="C1146" s="3" t="str">
        <f>IFERROR(__xludf.DUMMYFUNCTION("""COMPUTED_VALUE"""),"A list of good heuristics that the case for AI x-risk fails")</f>
        <v>A list of good heuristics that the case for AI x-risk fails</v>
      </c>
      <c r="D1146" t="str">
        <f>IFERROR(__xludf.DUMMYFUNCTION("""COMPUTED_VALUE"""),"David Krueger")</f>
        <v>David Krueger</v>
      </c>
      <c r="E1146" t="str">
        <f>IFERROR(__xludf.DUMMYFUNCTION("""COMPUTED_VALUE"""),"Alignment Forum")</f>
        <v>Alignment Forum</v>
      </c>
      <c r="F1146">
        <f>IFERROR(__xludf.DUMMYFUNCTION("""COMPUTED_VALUE"""),2019.0)</f>
        <v>2019</v>
      </c>
      <c r="H1146" s="3" t="str">
        <f>IFERROR(__xludf.DUMMYFUNCTION("""COMPUTED_VALUE"""),"AN #79")</f>
        <v>AN #79</v>
      </c>
      <c r="I1146" t="str">
        <f>IFERROR(__xludf.DUMMYFUNCTION("""COMPUTED_VALUE"""),"Flo")</f>
        <v>Flo</v>
      </c>
      <c r="J1146" t="str">
        <f>IFERROR(__xludf.DUMMYFUNCTION("""COMPUTED_VALUE"""),"Because human attention is limited and a lot of people try to convince us of the importance of their favourite cause, we cannot engage with everyone’s arguments in detail. Thus we have to rely on heuristics to filter out insensible arguments. Depending on"&amp;" the form of exposure, the case for AI risks can fail on many of these generally useful heuristics, eight of which are detailed in this post. Given this outside view perspective, it is unclear whether we should actually expect ML researchers to spend time"&amp;" evaluating the arguments for AI risk.")</f>
        <v>Because human attention is limited and a lot of people try to convince us of the importance of their favourite cause, we cannot engage with everyone’s arguments in detail. Thus we have to rely on heuristics to filter out insensible arguments. Depending on the form of exposure, the case for AI risks can fail on many of these generally useful heuristics, eight of which are detailed in this post. Given this outside view perspective, it is unclear whether we should actually expect ML researchers to spend time evaluating the arguments for AI risk.</v>
      </c>
      <c r="K1146" t="str">
        <f>IFERROR(__xludf.DUMMYFUNCTION("""COMPUTED_VALUE"""),"I can remember being critical of AI risk myself for similar reasons and think that it is important to be careful with the framing of pitches to avoid these heuristics from firing. This is not to say that we should avoid criticism of the idea of AI risk, b"&amp;"ut criticism is a lot more helpful if it comes from people who have actually engaged with the arguments.
**Rohin's opinion:** Even after knowing the arguments, I find six of the heuristics quite compelling: technology doomsayers have usually been wrong i"&amp;"n the past, there isn't a concrete threat model, it's not empirically testable, it's too extreme, it isn't well grounded in my experience with existing AI systems, and it's too far off to do useful work now. All six make me distinctly more skeptical of AI"&amp;" risk.")</f>
        <v>I can remember being critical of AI risk myself for similar reasons and think that it is important to be careful with the framing of pitches to avoid these heuristics from firing. This is not to say that we should avoid criticism of the idea of AI risk, but criticism is a lot more helpful if it comes from people who have actually engaged with the arguments.
**Rohin's opinion:** Even after knowing the arguments, I find six of the heuristics quite compelling: technology doomsayers have usually been wrong in the past, there isn't a concrete threat model, it's not empirically testable, it's too extreme, it isn't well grounded in my experience with existing AI systems, and it's too far off to do useful work now. All six make me distinctly more skeptical of AI risk.</v>
      </c>
    </row>
    <row r="1147">
      <c r="A1147" t="str">
        <f>IFERROR(__xludf.DUMMYFUNCTION("""COMPUTED_VALUE"""),"Miscellaneous (Alignment)")</f>
        <v>Miscellaneous (Alignment)</v>
      </c>
      <c r="B1147" t="str">
        <f>IFERROR(__xludf.DUMMYFUNCTION("""COMPUTED_VALUE"""),"")</f>
        <v/>
      </c>
      <c r="C1147" s="3" t="str">
        <f>IFERROR(__xludf.DUMMYFUNCTION("""COMPUTED_VALUE"""),"Chris Olah’s views on AGI safety")</f>
        <v>Chris Olah’s views on AGI safety</v>
      </c>
      <c r="D1147" t="str">
        <f>IFERROR(__xludf.DUMMYFUNCTION("""COMPUTED_VALUE"""),"Evan Hubinger")</f>
        <v>Evan Hubinger</v>
      </c>
      <c r="E1147" t="str">
        <f>IFERROR(__xludf.DUMMYFUNCTION("""COMPUTED_VALUE"""),"Alignment Forum")</f>
        <v>Alignment Forum</v>
      </c>
      <c r="F1147">
        <f>IFERROR(__xludf.DUMMYFUNCTION("""COMPUTED_VALUE"""),2019.0)</f>
        <v>2019</v>
      </c>
      <c r="H1147" s="3" t="str">
        <f>IFERROR(__xludf.DUMMYFUNCTION("""COMPUTED_VALUE"""),"AN #72")</f>
        <v>AN #72</v>
      </c>
      <c r="I1147" t="str">
        <f>IFERROR(__xludf.DUMMYFUNCTION("""COMPUTED_VALUE"""),"Matthew")</f>
        <v>Matthew</v>
      </c>
      <c r="J1147" t="str">
        <f>IFERROR(__xludf.DUMMYFUNCTION("""COMPUTED_VALUE"""),"This post is Evan's best attempt to summarize [Chris Olah](https://colah.github.io/about.html)'s views on how transparency is a vital component for building safe artificial intelligence, which he distinguishes into four separate approaches:
First, we can"&amp;" apply interpretability to audit our neural networks, or in other words, catch problematic reasoning in our models. Second, transparency can help safety by allowing researchers to deliberately structure their models in ways that systematically work, rathe"&amp;"r than using machine learning as a black box. Third, understanding transparency allows us to directly incentivize for transparency in model design and decisions -- similar to how we grade humans on their reasoning (not just the correct answer) by having t"&amp;"hem show their work. Fourth, transparency might allow us to reorient the field of AI towards microscope AI: AI that gives us new ways of understanding the world, enabling us to be more capable, without itself taking autonomous actions.
Chris expects that"&amp;" his main disagreement with others is whether good transparency is possible as models become more complex. He hypothesizes that as models become more advanced, they will counterintuitively become more interpretable, as they will begin using more crisp hum"&amp;"an-relatable abstractions. Finally, Chris recognizes that his view implies that we might have to re-align the ML community, but he remains optimistic because he believes there's a lot of low-hanging fruit, research into interpretability allows low-budget "&amp;"labs to remain competitive, and interpretability is aligned with the scientific virtue to understand our tools.")</f>
        <v>This post is Evan's best attempt to summarize [Chris Olah](https://colah.github.io/about.html)'s views on how transparency is a vital component for building safe artificial intelligence, which he distinguishes into four separate approaches:
First, we can apply interpretability to audit our neural networks, or in other words, catch problematic reasoning in our models. Second, transparency can help safety by allowing researchers to deliberately structure their models in ways that systematically work, rather than using machine learning as a black box. Third, understanding transparency allows us to directly incentivize for transparency in model design and decisions -- similar to how we grade humans on their reasoning (not just the correct answer) by having them show their work. Fourth, transparency might allow us to reorient the field of AI towards microscope AI: AI that gives us new ways of understanding the world, enabling us to be more capable, without itself taking autonomous actions.
Chris expects that his main disagreement with others is whether good transparency is possible as models become more complex. He hypothesizes that as models become more advanced, they will counterintuitively become more interpretable, as they will begin using more crisp human-relatable abstractions. Finally, Chris recognizes that his view implies that we might have to re-align the ML community, but he remains optimistic because he believes there's a lot of low-hanging fruit, research into interpretability allows low-budget labs to remain competitive, and interpretability is aligned with the scientific virtue to understand our tools.</v>
      </c>
      <c r="K1147" t="str">
        <f>IFERROR(__xludf.DUMMYFUNCTION("""COMPUTED_VALUE"""),"Developing transparency tools is currently my best guess for how we can avoid deception and catastrophic planning in our AI systems. I'm most excited about applying transparency techniques via the first and third routes, which primarily help us audit our "&amp;"models. I'm more pessimistic about the fourth approach because it predictably involves restructuring the incentives for machine learning as a field, which is quite difficult. My opinion might be different if we could somehow coordinate the development of "&amp;"these technologies.")</f>
        <v>Developing transparency tools is currently my best guess for how we can avoid deception and catastrophic planning in our AI systems. I'm most excited about applying transparency techniques via the first and third routes, which primarily help us audit our models. I'm more pessimistic about the fourth approach because it predictably involves restructuring the incentives for machine learning as a field, which is quite difficult. My opinion might be different if we could somehow coordinate the development of these technologies.</v>
      </c>
    </row>
    <row r="1148">
      <c r="A1148" t="str">
        <f>IFERROR(__xludf.DUMMYFUNCTION("""COMPUTED_VALUE"""),"Miscellaneous (Alignment)")</f>
        <v>Miscellaneous (Alignment)</v>
      </c>
      <c r="B1148" t="str">
        <f>IFERROR(__xludf.DUMMYFUNCTION("""COMPUTED_VALUE"""),"")</f>
        <v/>
      </c>
      <c r="C1148" s="3" t="str">
        <f>IFERROR(__xludf.DUMMYFUNCTION("""COMPUTED_VALUE"""),"Clarifying some key hypotheses in AI alignment")</f>
        <v>Clarifying some key hypotheses in AI alignment</v>
      </c>
      <c r="D1148" t="str">
        <f>IFERROR(__xludf.DUMMYFUNCTION("""COMPUTED_VALUE"""),"Ben Cottier, Rohin Shah")</f>
        <v>Ben Cottier, Rohin Shah</v>
      </c>
      <c r="E1148" t="str">
        <f>IFERROR(__xludf.DUMMYFUNCTION("""COMPUTED_VALUE"""),"Alignment Forum")</f>
        <v>Alignment Forum</v>
      </c>
      <c r="F1148">
        <f>IFERROR(__xludf.DUMMYFUNCTION("""COMPUTED_VALUE"""),2019.0)</f>
        <v>2019</v>
      </c>
      <c r="H1148" s="3" t="str">
        <f>IFERROR(__xludf.DUMMYFUNCTION("""COMPUTED_VALUE"""),"AN #62")</f>
        <v>AN #62</v>
      </c>
      <c r="I1148" t="str">
        <f>IFERROR(__xludf.DUMMYFUNCTION("""COMPUTED_VALUE"""),"Rohin")</f>
        <v>Rohin</v>
      </c>
      <c r="J1148" t="str">
        <f>IFERROR(__xludf.DUMMYFUNCTION("""COMPUTED_VALUE"""),"This post (that I contributed to) introduces a diagram that maps out important and controversial hypotheses for AI alignment. The goal is to help researchers identify and more productively discuss their disagreements.")</f>
        <v>This post (that I contributed to) introduces a diagram that maps out important and controversial hypotheses for AI alignment. The goal is to help researchers identify and more productively discuss their disagreements.</v>
      </c>
    </row>
    <row r="1149">
      <c r="A1149" t="str">
        <f>IFERROR(__xludf.DUMMYFUNCTION("""COMPUTED_VALUE"""),"Miscellaneous (Alignment)")</f>
        <v>Miscellaneous (Alignment)</v>
      </c>
      <c r="B1149" t="str">
        <f>IFERROR(__xludf.DUMMYFUNCTION("""COMPUTED_VALUE"""),"")</f>
        <v/>
      </c>
      <c r="C1149" s="3" t="str">
        <f>IFERROR(__xludf.DUMMYFUNCTION("""COMPUTED_VALUE"""),"When does rationality-as-search have nontrivial implications?")</f>
        <v>When does rationality-as-search have nontrivial implications?</v>
      </c>
      <c r="D1149" t="str">
        <f>IFERROR(__xludf.DUMMYFUNCTION("""COMPUTED_VALUE"""),"nostalgebraist")</f>
        <v>nostalgebraist</v>
      </c>
      <c r="E1149" t="str">
        <f>IFERROR(__xludf.DUMMYFUNCTION("""COMPUTED_VALUE"""),"Alignment Forum")</f>
        <v>Alignment Forum</v>
      </c>
      <c r="F1149">
        <f>IFERROR(__xludf.DUMMYFUNCTION("""COMPUTED_VALUE"""),2018.0)</f>
        <v>2018</v>
      </c>
      <c r="H1149" s="3" t="str">
        <f>IFERROR(__xludf.DUMMYFUNCTION("""COMPUTED_VALUE"""),"AN #32")</f>
        <v>AN #32</v>
      </c>
      <c r="I1149" t="str">
        <f>IFERROR(__xludf.DUMMYFUNCTION("""COMPUTED_VALUE"""),"Rohin")</f>
        <v>Rohin</v>
      </c>
      <c r="J1149" t="str">
        <f>IFERROR(__xludf.DUMMYFUNCTION("""COMPUTED_VALUE"""),"Many theories of idealized intelligence, such as Solomonoff induction, logical inductors and Bayesian reasoning, involve a large search over a space of strategies and using the best-performing one, or a weighted combination where the weights depend on pas"&amp;"t performance. However, the procedure that involves the large search is not itself part of the space of strategies -- for example, Solomonoff induction searches over the space of computable programs to achieve near-optimality at prediction tasks relative "&amp;"to any computable program, but is itself uncomputable. When we want to actually implement a strategy, we have to choose one of the options from our set, rather than the infeasible idealized version, and the idealized version doesn't help us do this. It wo"&amp;"uld be like saying that a chess expert is approximating the rule ""consult all possible chess players weighted by past performance"" -- it's true that these will look similar _behaviorally_, but they look very different _algorithmically_, which is what we"&amp;" actually care about for building systems.")</f>
        <v>Many theories of idealized intelligence, such as Solomonoff induction, logical inductors and Bayesian reasoning, involve a large search over a space of strategies and using the best-performing one, or a weighted combination where the weights depend on past performance. However, the procedure that involves the large search is not itself part of the space of strategies -- for example, Solomonoff induction searches over the space of computable programs to achieve near-optimality at prediction tasks relative to any computable program, but is itself uncomputable. When we want to actually implement a strategy, we have to choose one of the options from our set, rather than the infeasible idealized version, and the idealized version doesn't help us do this. It would be like saying that a chess expert is approximating the rule "consult all possible chess players weighted by past performance" -- it's true that these will look similar _behaviorally_, but they look very different _algorithmically_, which is what we actually care about for building systems.</v>
      </c>
      <c r="K1149" t="str">
        <f>IFERROR(__xludf.DUMMYFUNCTION("""COMPUTED_VALUE"""),"I do agree that in the framework outlined in this post (the ""ideal"" being just a search over ""feasible"" strategies) the ideal solution doesn't give you much insight, but I don't think this is fully true of eg. Bayes rule. I do think that understanding"&amp;" Bayes rule can help you [make better decisions](https://80000hours.org/podcast/episodes/spencer-greenberg-bayesian-updating/), because it gives you a quantitative framework of how to work with hypotheses and evidence, which even simple feasible strategie"&amp;"s can use. (Although I do think that logically-omniscient Bayes does not add much over regular Bayes rule from the perspective of suggesting a feasible strategy to use -- but in the world where logically-omniscient Bayes came first, it would have been hel"&amp;"pful to derive the heuristic.) In the framework of the post, this corresponds to the choice of ""weight"" assigned to each hypothesis, and this is useful because feasible strategies do still look like search (but instead of searching over all hypotheses, "&amp;"you search over a very restricted subset of them). So overall I think I agree with the general thrust of the post, but don't agree with the original strong claim that 'grappling with embeddedness properly will inevitably make theories of this general type"&amp;" irrelevant or useless, so that ""a theory like this, except for embedded agents"" is not a thing that we can reasonably want'.")</f>
        <v>I do agree that in the framework outlined in this post (the "ideal" being just a search over "feasible" strategies) the ideal solution doesn't give you much insight, but I don't think this is fully true of eg. Bayes rule. I do think that understanding Bayes rule can help you [make better decisions](https://80000hours.org/podcast/episodes/spencer-greenberg-bayesian-updating/), because it gives you a quantitative framework of how to work with hypotheses and evidence, which even simple feasible strategies can use. (Although I do think that logically-omniscient Bayes does not add much over regular Bayes rule from the perspective of suggesting a feasible strategy to use -- but in the world where logically-omniscient Bayes came first, it would have been helpful to derive the heuristic.) In the framework of the post, this corresponds to the choice of "weight" assigned to each hypothesis, and this is useful because feasible strategies do still look like search (but instead of searching over all hypotheses, you search over a very restricted subset of them). So overall I think I agree with the general thrust of the post, but don't agree with the original strong claim that 'grappling with embeddedness properly will inevitably make theories of this general type irrelevant or useless, so that "a theory like this, except for embedded agents" is not a thing that we can reasonably want'.</v>
      </c>
    </row>
    <row r="1150">
      <c r="A1150" t="str">
        <f>IFERROR(__xludf.DUMMYFUNCTION("""COMPUTED_VALUE"""),"Miscellaneous (Alignment)")</f>
        <v>Miscellaneous (Alignment)</v>
      </c>
      <c r="B1150" t="str">
        <f>IFERROR(__xludf.DUMMYFUNCTION("""COMPUTED_VALUE"""),"")</f>
        <v/>
      </c>
      <c r="C1150" s="3" t="str">
        <f>IFERROR(__xludf.DUMMYFUNCTION("""COMPUTED_VALUE"""),"Standard ML Oracles vs Counterfactual ones")</f>
        <v>Standard ML Oracles vs Counterfactual ones</v>
      </c>
      <c r="D1150" t="str">
        <f>IFERROR(__xludf.DUMMYFUNCTION("""COMPUTED_VALUE"""),"Stuart Armstrong")</f>
        <v>Stuart Armstrong</v>
      </c>
      <c r="E1150" t="str">
        <f>IFERROR(__xludf.DUMMYFUNCTION("""COMPUTED_VALUE"""),"Alignment Forum")</f>
        <v>Alignment Forum</v>
      </c>
      <c r="F1150">
        <f>IFERROR(__xludf.DUMMYFUNCTION("""COMPUTED_VALUE"""),2018.0)</f>
        <v>2018</v>
      </c>
      <c r="H1150" s="3" t="str">
        <f>IFERROR(__xludf.DUMMYFUNCTION("""COMPUTED_VALUE"""),"AN #28")</f>
        <v>AN #28</v>
      </c>
      <c r="I1150" t="str">
        <f>IFERROR(__xludf.DUMMYFUNCTION("""COMPUTED_VALUE"""),"Rohin")</f>
        <v>Rohin</v>
      </c>
      <c r="J1150" t="str">
        <f>IFERROR(__xludf.DUMMYFUNCTION("""COMPUTED_VALUE"""),"_(Note: This summary has more of my interpretation than usual.)_ Consider the setting where an AI system is predicting some variable y_t = f(x_t), but we will use the AI's output to make decisions that could affect the true value of y_t. Let's call the AI"&amp;"'s prediction z_t, and have y_t = g(x_t, z_t), where g captures how humans use z_t to affect the value of y_t. The traditional ML approach would be to find the function f that minimizes the distance between y and f(x) on past examples, but this does not t"&amp;"ypically account for y_t depending on z_t. We would expect that it would converge to outputting a fixed point of g (so that y_t = z_t = g(x_t, z_t)), since that would minimize its loss. This would generally perform well; while manipulative predictions z_t"&amp;" are possible, they are unlikely. The main issue is that since the system does not get to observe z_t (since that is what it is predicting), it cannot model the true causal formulation, and has to resort to complex hypotheses that approximate it. This can"&amp;" lead to overfitting that can't be simply solved by regularization or simplicity priors. Instead, we could use a counterfactual oracle, which reifies the prediction z_t and then outputs the z_t that minimizes the distance between z_t and y_t, which allows"&amp;" it to model the causal connection between y_t = g(x_t, z_t).")</f>
        <v>_(Note: This summary has more of my interpretation than usual.)_ Consider the setting where an AI system is predicting some variable y_t = f(x_t), but we will use the AI's output to make decisions that could affect the true value of y_t. Let's call the AI's prediction z_t, and have y_t = g(x_t, z_t), where g captures how humans use z_t to affect the value of y_t. The traditional ML approach would be to find the function f that minimizes the distance between y and f(x) on past examples, but this does not typically account for y_t depending on z_t. We would expect that it would converge to outputting a fixed point of g (so that y_t = z_t = g(x_t, z_t)), since that would minimize its loss. This would generally perform well; while manipulative predictions z_t are possible, they are unlikely. The main issue is that since the system does not get to observe z_t (since that is what it is predicting), it cannot model the true causal formulation, and has to resort to complex hypotheses that approximate it. This can lead to overfitting that can't be simply solved by regularization or simplicity priors. Instead, we could use a counterfactual oracle, which reifies the prediction z_t and then outputs the z_t that minimizes the distance between z_t and y_t, which allows it to model the causal connection between y_t = g(x_t, z_t).</v>
      </c>
      <c r="K1150" t="str">
        <f>IFERROR(__xludf.DUMMYFUNCTION("""COMPUTED_VALUE"""),"This is an interesting theoretical analysis, and I'm surprised that the traditional ML approach seems to do so well in a context it wasn't designed for. I'm not sure about the part where it would converge to a fixed point of the function g, I've written a"&amp;" rambly comment on the post trying to explain more.")</f>
        <v>This is an interesting theoretical analysis, and I'm surprised that the traditional ML approach seems to do so well in a context it wasn't designed for. I'm not sure about the part where it would converge to a fixed point of the function g, I've written a rambly comment on the post trying to explain more.</v>
      </c>
    </row>
    <row r="1151">
      <c r="A1151" t="str">
        <f>IFERROR(__xludf.DUMMYFUNCTION("""COMPUTED_VALUE"""),"Miscellaneous (Alignment)")</f>
        <v>Miscellaneous (Alignment)</v>
      </c>
      <c r="B1151" t="str">
        <f>IFERROR(__xludf.DUMMYFUNCTION("""COMPUTED_VALUE"""),"")</f>
        <v/>
      </c>
      <c r="C1151" s="3" t="str">
        <f>IFERROR(__xludf.DUMMYFUNCTION("""COMPUTED_VALUE"""),"Rohin Shah on the State of AGI Safety Research in 2021")</f>
        <v>Rohin Shah on the State of AGI Safety Research in 2021</v>
      </c>
      <c r="D1151" t="str">
        <f>IFERROR(__xludf.DUMMYFUNCTION("""COMPUTED_VALUE"""),"Lucas Perry and Rohin Shah")</f>
        <v>Lucas Perry and Rohin Shah</v>
      </c>
      <c r="E1151" t="str">
        <f>IFERROR(__xludf.DUMMYFUNCTION("""COMPUTED_VALUE"""),"FLI Website")</f>
        <v>FLI Website</v>
      </c>
      <c r="F1151">
        <f>IFERROR(__xludf.DUMMYFUNCTION("""COMPUTED_VALUE"""),2021.0)</f>
        <v>2021</v>
      </c>
      <c r="H1151" s="3" t="str">
        <f>IFERROR(__xludf.DUMMYFUNCTION("""COMPUTED_VALUE"""),"AN #169")</f>
        <v>AN #169</v>
      </c>
      <c r="I1151" t="str">
        <f>IFERROR(__xludf.DUMMYFUNCTION("""COMPUTED_VALUE"""),"Rohin")</f>
        <v>Rohin</v>
      </c>
      <c r="J1151" t="str">
        <f>IFERROR(__xludf.DUMMYFUNCTION("""COMPUTED_VALUE"""),"As in [previous](https://futureoflife.org/2019/04/11/an-overview-of-technical-ai-alignment-with-rohin-shah-part-1/) [years](https://futureoflife.org/2019/04/25/an-overview-of-technical-ai-alignment-with-rohin-shah-part-2/) ([AN #54](https://mailchi.mp/3e2"&amp;"f43012b07/an-54-boxing-a-finite-horizon-ai-system-to-keep-it-unambitious)), on this FLI podcast I talk about the state of the field. Relative to previous years, this podcast is a bit more introductory, and focuses a bit more on what I find interesting rat"&amp;"her than what the field as a whole would consider interesting.")</f>
        <v>As in [previous](https://futureoflife.org/2019/04/11/an-overview-of-technical-ai-alignment-with-rohin-shah-part-1/) [years](https://futureoflife.org/2019/04/25/an-overview-of-technical-ai-alignment-with-rohin-shah-part-2/) ([AN #54](https://mailchi.mp/3e2f43012b07/an-54-boxing-a-finite-horizon-ai-system-to-keep-it-unambitious)), on this FLI podcast I talk about the state of the field. Relative to previous years, this podcast is a bit more introductory, and focuses a bit more on what I find interesting rather than what the field as a whole would consider interesting.</v>
      </c>
      <c r="M1151" s="3" t="str">
        <f>IFERROR(__xludf.DUMMYFUNCTION("""COMPUTED_VALUE"""),"Transcript")</f>
        <v>Transcript</v>
      </c>
    </row>
    <row r="1152">
      <c r="A1152" t="str">
        <f>IFERROR(__xludf.DUMMYFUNCTION("""COMPUTED_VALUE"""),"Miscellaneous (Alignment)")</f>
        <v>Miscellaneous (Alignment)</v>
      </c>
      <c r="B1152" t="str">
        <f>IFERROR(__xludf.DUMMYFUNCTION("""COMPUTED_VALUE"""),"")</f>
        <v/>
      </c>
      <c r="C1152" s="3" t="str">
        <f>IFERROR(__xludf.DUMMYFUNCTION("""COMPUTED_VALUE"""),"Beyond fire alarms: freeing the groupstruck")</f>
        <v>Beyond fire alarms: freeing the groupstruck</v>
      </c>
      <c r="D1152" t="str">
        <f>IFERROR(__xludf.DUMMYFUNCTION("""COMPUTED_VALUE"""),"Katja Grace")</f>
        <v>Katja Grace</v>
      </c>
      <c r="E1152" t="str">
        <f>IFERROR(__xludf.DUMMYFUNCTION("""COMPUTED_VALUE"""),"AI Impacts")</f>
        <v>AI Impacts</v>
      </c>
      <c r="F1152">
        <f>IFERROR(__xludf.DUMMYFUNCTION("""COMPUTED_VALUE"""),2021.0)</f>
        <v>2021</v>
      </c>
      <c r="H1152" s="3" t="str">
        <f>IFERROR(__xludf.DUMMYFUNCTION("""COMPUTED_VALUE"""),"AN #166")</f>
        <v>AN #166</v>
      </c>
      <c r="I1152" t="str">
        <f>IFERROR(__xludf.DUMMYFUNCTION("""COMPUTED_VALUE"""),"Rohin")</f>
        <v>Rohin</v>
      </c>
      <c r="J1152" t="str">
        <f>IFERROR(__xludf.DUMMYFUNCTION("""COMPUTED_VALUE"""),"It has been claimed that [there’s no fire alarm for AGI](https://intelligence.org/2017/10/13/fire-alarm/), that is, there will be no specific moment or event at which AGI risk becomes sufficiently obvious and agreed upon, so that freaking out about AGI be"&amp;"comes socially acceptable rather than embarrassing. People often implicitly argue for waiting for an (unspecified) future event that tells us AGI is near, after which everyone will know that it’s okay to work on AGI alignment. This seems particularly bad "&amp;"if no such future event (i.e. fire alarm) exists.
This post argues that this is not in fact the implicit strategy that people typically use to evaluate and respond to risks. In particular, it is too discrete. Instead, people perform “the normal dance of "&amp;"accumulating evidence and escalating discussion and brave people calling the problem early and eating the potential embarrassment”. As a result, the existence of a “fire alarm” is not particularly important.
Note that the author does agree that there is "&amp;"some important bias at play here. The original fire alarm post is implicitly considering a _fear shame hypothesis_: people tend to be less cautious in public because they expect to be negatively judged for looking scared. The author ends up concluding tha"&amp;"t there is something broader going on and proposes a few possibilities, many of which still suggest that people will tend to be less cautious around risks when they are observed.
Some points made in the very detailed, 15,000-word article:
1. Literal fir"&amp;"e alarms don’t work by creating common knowledge, or by providing evidence of a fire. People frequently ignore fire alarms. In [one experiment](https://www.youtube.com/watch?v=MtX-10c3fT0), participants continued to fill out questionnaires while a fire al"&amp;"arm rang, often assuming that someone will lead them outside if it is important.
2. They probably instead work by a variety of mechanisms, some of which are related to the fear shame hypothesis. Sometimes they provide objective evidence that is easier to"&amp;" use as a justification for caution than a personal guess. Sometimes they act as an excuse for cautious or fearful people to leave, without the implication that those people are afraid. Sometimes they act as a source of authority for a course of action (l"&amp;"eaving the building).
3. Most of these mechanisms are amenable to partial or incremental effects, and in particular can happen with AGI risk. There are many people who have already boldly claimed that AGI risk is a problem. There exists person-independen"&amp;"t evidence; for example, surveys of AI researchers suggest a 5% chance of extinction.
4. For other risks, there does not seem to have been a single discrete moment at which it became acceptable to worry about them (i.e. no “fire alarm”). This includes ri"&amp;"sks where there has been a lot of caution, such as climate change, the ozone hole, recombinant DNA, COVID, and nuclear weapons.
5. We could think about _building_ fire alarms; many of the mechanisms above are social ones rather than empirical facts about"&amp;" the world. This could be one out of many strategies that we employ against the general bias towards incaution (the post suggests 16).")</f>
        <v>It has been claimed that [there’s no fire alarm for AGI](https://intelligence.org/2017/10/13/fire-alarm/), that is, there will be no specific moment or event at which AGI risk becomes sufficiently obvious and agreed upon, so that freaking out about AGI becomes socially acceptable rather than embarrassing. People often implicitly argue for waiting for an (unspecified) future event that tells us AGI is near, after which everyone will know that it’s okay to work on AGI alignment. This seems particularly bad if no such future event (i.e. fire alarm) exists.
This post argues that this is not in fact the implicit strategy that people typically use to evaluate and respond to risks. In particular, it is too discrete. Instead, people perform “the normal dance of accumulating evidence and escalating discussion and brave people calling the problem early and eating the potential embarrassment”. As a result, the existence of a “fire alarm” is not particularly important.
Note that the author does agree that there is some important bias at play here. The original fire alarm post is implicitly considering a _fear shame hypothesis_: people tend to be less cautious in public because they expect to be negatively judged for looking scared. The author ends up concluding that there is something broader going on and proposes a few possibilities, many of which still suggest that people will tend to be less cautious around risks when they are observed.
Some points made in the very detailed, 15,000-word article:
1. Literal fire alarms don’t work by creating common knowledge, or by providing evidence of a fire. People frequently ignore fire alarms. In [one experiment](https://www.youtube.com/watch?v=MtX-10c3fT0), participants continued to fill out questionnaires while a fire alarm rang, often assuming that someone will lead them outside if it is important.
2. They probably instead work by a variety of mechanisms, some of which are related to the fear shame hypothesis. Sometimes they provide objective evidence that is easier to use as a justification for caution than a personal guess. Sometimes they act as an excuse for cautious or fearful people to leave, without the implication that those people are afraid. Sometimes they act as a source of authority for a course of action (leaving the building).
3. Most of these mechanisms are amenable to partial or incremental effects, and in particular can happen with AGI risk. There are many people who have already boldly claimed that AGI risk is a problem. There exists person-independent evidence; for example, surveys of AI researchers suggest a 5% chance of extinction.
4. For other risks, there does not seem to have been a single discrete moment at which it became acceptable to worry about them (i.e. no “fire alarm”). This includes risks where there has been a lot of caution, such as climate change, the ozone hole, recombinant DNA, COVID, and nuclear weapons.
5. We could think about _building_ fire alarms; many of the mechanisms above are social ones rather than empirical facts about the world. This could be one out of many strategies that we employ against the general bias towards incaution (the post suggests 16).</v>
      </c>
      <c r="K1152" t="str">
        <f>IFERROR(__xludf.DUMMYFUNCTION("""COMPUTED_VALUE"""),"I enjoyed this article quite a lot; it is _really_ thorough. I do see a lot of my own work as pushing on some of these more incremental methods for increasing caution, though I think of it more as a combination of generating more or better evidence and co"&amp;"mmunicating arguments in a manner more suited to a particular audience. Perhaps I will think of new strategies that aim to reduce fear shame instead.")</f>
        <v>I enjoyed this article quite a lot; it is _really_ thorough. I do see a lot of my own work as pushing on some of these more incremental methods for increasing caution, though I think of it more as a combination of generating more or better evidence and communicating arguments in a manner more suited to a particular audience. Perhaps I will think of new strategies that aim to reduce fear shame instead.</v>
      </c>
    </row>
    <row r="1153">
      <c r="A1153" t="str">
        <f>IFERROR(__xludf.DUMMYFUNCTION("""COMPUTED_VALUE"""),"Miscellaneous (Alignment)")</f>
        <v>Miscellaneous (Alignment)</v>
      </c>
      <c r="B1153" t="str">
        <f>IFERROR(__xludf.DUMMYFUNCTION("""COMPUTED_VALUE"""),"")</f>
        <v/>
      </c>
      <c r="C1153" s="3" t="str">
        <f>IFERROR(__xludf.DUMMYFUNCTION("""COMPUTED_VALUE"""),"""Existential risk from AI"" survey results")</f>
        <v>"Existential risk from AI" survey results</v>
      </c>
      <c r="D1153" t="str">
        <f>IFERROR(__xludf.DUMMYFUNCTION("""COMPUTED_VALUE"""),"Rob Bensinger")</f>
        <v>Rob Bensinger</v>
      </c>
      <c r="E1153" t="str">
        <f>IFERROR(__xludf.DUMMYFUNCTION("""COMPUTED_VALUE"""),"Alignment Forum")</f>
        <v>Alignment Forum</v>
      </c>
      <c r="F1153">
        <f>IFERROR(__xludf.DUMMYFUNCTION("""COMPUTED_VALUE"""),2021.0)</f>
        <v>2021</v>
      </c>
      <c r="H1153" s="3" t="str">
        <f>IFERROR(__xludf.DUMMYFUNCTION("""COMPUTED_VALUE"""),"AN #152")</f>
        <v>AN #152</v>
      </c>
      <c r="I1153" t="str">
        <f>IFERROR(__xludf.DUMMYFUNCTION("""COMPUTED_VALUE"""),"Rohin")</f>
        <v>Rohin</v>
      </c>
      <c r="J1153" t="str">
        <f>IFERROR(__xludf.DUMMYFUNCTION("""COMPUTED_VALUE"""),"This post reports on the results of a survey sent to about 117 people working on long-term AI risk (of which 44 responded), asking about the magnitude of the risk from AI systems. I’d recommend reading the exact questions asked, since the results could be"&amp;" quite sensitive to the exact wording, and as an added bonus you can see the visualization of the responses. In addition, respondents expressed _a lot_ of uncertainty in their qualitative comments. And of course, there are all sorts of selection effects t"&amp;"hat make the results hard to interpret.
Keeping those caveats in mind, the headline numbers are that respondents assigned a median probability of 20% to x-risk caused due to a lack of enough technical research, and 30% to x-risk caused due to a failure o"&amp;"f AI systems to do what the people deploying them intended, with huge variation (for example, there are data points at both ~1% and ~99%).")</f>
        <v>This post reports on the results of a survey sent to about 117 people working on long-term AI risk (of which 44 responded), asking about the magnitude of the risk from AI systems. I’d recommend reading the exact questions asked, since the results could be quite sensitive to the exact wording, and as an added bonus you can see the visualization of the responses. In addition, respondents expressed _a lot_ of uncertainty in their qualitative comments. And of course, there are all sorts of selection effects that make the results hard to interpret.
Keeping those caveats in mind, the headline numbers are that respondents assigned a median probability of 20% to x-risk caused due to a lack of enough technical research, and 30% to x-risk caused due to a failure of AI systems to do what the people deploying them intended, with huge variation (for example, there are data points at both ~1% and ~99%).</v>
      </c>
      <c r="K1153" t="str">
        <f>IFERROR(__xludf.DUMMYFUNCTION("""COMPUTED_VALUE"""),"I know I already harped on this in the summary, but these numbers are ridiculously non-robust and involve tons of selection biases. You probably shouldn’t conclude much from them about how much risk from AI there really is. Don’t be the person who links t"&amp;"o this survey with the quote “experts predict 30% chance of doom from AI”.")</f>
        <v>I know I already harped on this in the summary, but these numbers are ridiculously non-robust and involve tons of selection biases. You probably shouldn’t conclude much from them about how much risk from AI there really is. Don’t be the person who links to this survey with the quote “experts predict 30% chance of doom from AI”.</v>
      </c>
    </row>
    <row r="1154">
      <c r="A1154" t="str">
        <f>IFERROR(__xludf.DUMMYFUNCTION("""COMPUTED_VALUE"""),"Miscellaneous (Alignment)")</f>
        <v>Miscellaneous (Alignment)</v>
      </c>
      <c r="B1154" t="str">
        <f>IFERROR(__xludf.DUMMYFUNCTION("""COMPUTED_VALUE"""),"")</f>
        <v/>
      </c>
      <c r="C1154" s="3" t="str">
        <f>IFERROR(__xludf.DUMMYFUNCTION("""COMPUTED_VALUE"""),"Testing The Natural Abstraction Hypothesis: Project Intro")</f>
        <v>Testing The Natural Abstraction Hypothesis: Project Intro</v>
      </c>
      <c r="D1154" t="str">
        <f>IFERROR(__xludf.DUMMYFUNCTION("""COMPUTED_VALUE"""),"John Wentworth")</f>
        <v>John Wentworth</v>
      </c>
      <c r="E1154" t="str">
        <f>IFERROR(__xludf.DUMMYFUNCTION("""COMPUTED_VALUE"""),"Alignment Forum")</f>
        <v>Alignment Forum</v>
      </c>
      <c r="F1154">
        <f>IFERROR(__xludf.DUMMYFUNCTION("""COMPUTED_VALUE"""),2021.0)</f>
        <v>2021</v>
      </c>
      <c r="H1154" s="3" t="str">
        <f>IFERROR(__xludf.DUMMYFUNCTION("""COMPUTED_VALUE"""),"AN #148")</f>
        <v>AN #148</v>
      </c>
      <c r="I1154" t="str">
        <f>IFERROR(__xludf.DUMMYFUNCTION("""COMPUTED_VALUE"""),"Rohin")</f>
        <v>Rohin</v>
      </c>
      <c r="J1154" t="str">
        <f>IFERROR(__xludf.DUMMYFUNCTION("""COMPUTED_VALUE"""),"We’ve previously seen some discussion about &lt;@abstraction@&gt;(@Public Static: What is Abstraction?@), and some [claims](https://www.lesswrong.com/posts/wopE4nT28ausKGKwt/classification-of-ai-alignment-research-deconfusion-good?commentId=cKNrWxfxRgENS2EKX) t"&amp;"hat there are “natural” abstractions, or that AI systems will &lt;@tend@&gt;(@Chris Olah’s views on AGI safety@) to &lt;@learn@&gt;(@Conversation with Rohin Shah@) increasingly human-like abstractions (at least up to a point). To make this more crisp, given a system,"&amp;" let’s consider the information (abstraction) of the system that is relevant for predicting parts of the world that are “far away”. Then, the **natural abstraction hypothesis** states that:
1. This information is much lower-dimensional than the system it"&amp;"self.
2. These low-dimensional summaries are exactly the high-level abstract objects/concepts typically used by humans.
3. These abstractions are “natural”, that is, a wide variety of cognitive architectures will learn to use approximately the same concep"&amp;"ts to reason about the world.
For example, to predict the effect of a gas in a larger system, you typically just need to know its temperature, pressure, and volume, rather than the exact positions and velocities of each molecule of the gas. The natural a"&amp;"bstraction hypothesis predicts that many cognitive architectures would all converge to using these concepts to reason about gases.
If the natural abstraction hypothesis were true, it could make AI alignment dramatically simpler, as our AI systems would l"&amp;"earn to use approximately the same concepts as us, which can help us both to “aim” our AI systems at the right goal, and to peer into our AI systems to figure out what exactly they are doing. So, this new project aims to test whether the natural abstracti"&amp;"on hypothesis is true.
The first two claims will likely be tested empirically. We can build low-level simulations of interesting systems, and then compute what summary is useful for predicting its effects on “far away” things. We can then ask how low-dim"&amp;"ensional that summary is (to test (1)), and whether it corresponds to human concepts (to test (2)).
A [followup post](https://www.alignmentforum.org/posts/f6oWbqxEwktfPrKJw/computing-natural-abstractions-linear-approximation) illustrates this in the case"&amp;" of a linear-Gaussian Bayesian network with randomly chosen graph structure. In this case, we take two regions of 110 nodes that are far apart from each other, and operationalize the relevant information between the two as the covariance matrix between th"&amp;"e two regions. It turns out that this covariance matrix has about 3-10 “dimensions” (depending on exactly how you count), supporting claim (1). (And in fact, if you now compare to another neighborhood, two of the three “dimensions” remain the same!) Unfor"&amp;"tunately, this doesn’t give much evidence about (2) since humans don’t have good concepts for parts of linear-Gaussian Bayesian networks with randomly chosen graph structure.
While (3) can also be tested empirically through simulation, we would hope that"&amp;" we can also prove theorems that state that nearly all cognitive architectures from some class of models would learn the same concepts in some appropriate types of environments.
To quote the author, “the holy grail of the project would be a system which "&amp;"provably learns all learnable abstractions in a fairly general class of environments, and represents those abstractions in a legible way. In other words: it would be a standardized tool for measuring abstractions. Stick it in some environment, and it find"&amp;"s the abstractions in that environment and presents a standard representation of them.”")</f>
        <v>We’ve previously seen some discussion about &lt;@abstraction@&gt;(@Public Static: What is Abstraction?@), and some [claims](https://www.lesswrong.com/posts/wopE4nT28ausKGKwt/classification-of-ai-alignment-research-deconfusion-good?commentId=cKNrWxfxRgENS2EKX) that there are “natural” abstractions, or that AI systems will &lt;@tend@&gt;(@Chris Olah’s views on AGI safety@) to &lt;@learn@&gt;(@Conversation with Rohin Shah@) increasingly human-like abstractions (at least up to a point). To make this more crisp, given a system, let’s consider the information (abstraction) of the system that is relevant for predicting parts of the world that are “far away”. Then, the **natural abstraction hypothesis** states that:
1. This information is much lower-dimensional than the system itself.
2. These low-dimensional summaries are exactly the high-level abstract objects/concepts typically used by humans.
3. These abstractions are “natural”, that is, a wide variety of cognitive architectures will learn to use approximately the same concepts to reason about the world.
For example, to predict the effect of a gas in a larger system, you typically just need to know its temperature, pressure, and volume, rather than the exact positions and velocities of each molecule of the gas. The natural abstraction hypothesis predicts that many cognitive architectures would all converge to using these concepts to reason about gases.
If the natural abstraction hypothesis were true, it could make AI alignment dramatically simpler, as our AI systems would learn to use approximately the same concepts as us, which can help us both to “aim” our AI systems at the right goal, and to peer into our AI systems to figure out what exactly they are doing. So, this new project aims to test whether the natural abstraction hypothesis is true.
The first two claims will likely be tested empirically. We can build low-level simulations of interesting systems, and then compute what summary is useful for predicting its effects on “far away” things. We can then ask how low-dimensional that summary is (to test (1)), and whether it corresponds to human concepts (to test (2)).
A [followup post](https://www.alignmentforum.org/posts/f6oWbqxEwktfPrKJw/computing-natural-abstractions-linear-approximation) illustrates this in the case of a linear-Gaussian Bayesian network with randomly chosen graph structure. In this case, we take two regions of 110 nodes that are far apart from each other, and operationalize the relevant information between the two as the covariance matrix between the two regions. It turns out that this covariance matrix has about 3-10 “dimensions” (depending on exactly how you count), supporting claim (1). (And in fact, if you now compare to another neighborhood, two of the three “dimensions” remain the same!) Unfortunately, this doesn’t give much evidence about (2) since humans don’t have good concepts for parts of linear-Gaussian Bayesian networks with randomly chosen graph structure.
While (3) can also be tested empirically through simulation, we would hope that we can also prove theorems that state that nearly all cognitive architectures from some class of models would learn the same concepts in some appropriate types of environments.
To quote the author, “the holy grail of the project would be a system which provably learns all learnable abstractions in a fairly general class of environments, and represents those abstractions in a legible way. In other words: it would be a standardized tool for measuring abstractions. Stick it in some environment, and it finds the abstractions in that environment and presents a standard representation of them.”</v>
      </c>
      <c r="K1154" t="str">
        <f>IFERROR(__xludf.DUMMYFUNCTION("""COMPUTED_VALUE"""),"The notion of “natural abstractions” seems quite important to me. There are at least some weak versions of the hypothesis that seem obviously true: for example, if you ask GPT-3 some new type of question it has never seen before, you can predict pretty co"&amp;"nfidently that it is still going to respond with real words rather than a string of random characters. This is effectively because you expect that GPT-3 has learned the “natural abstraction” of the words used in English and that it uses this natural abstr"&amp;"action to drive its output (leaving aside the cases where it must produce output in some other language).
The version of the natural abstraction hypothesis investigated here seems a lot stronger and I’m excited to see how the project turns out. I expect "&amp;"the author will post several short updates over time; I probably won’t cover each of these individually and so if you want to follow it in real time I recommend following it on the Alignment Forum.")</f>
        <v>The notion of “natural abstractions” seems quite important to me. There are at least some weak versions of the hypothesis that seem obviously true: for example, if you ask GPT-3 some new type of question it has never seen before, you can predict pretty confidently that it is still going to respond with real words rather than a string of random characters. This is effectively because you expect that GPT-3 has learned the “natural abstraction” of the words used in English and that it uses this natural abstraction to drive its output (leaving aside the cases where it must produce output in some other language).
The version of the natural abstraction hypothesis investigated here seems a lot stronger and I’m excited to see how the project turns out. I expect the author will post several short updates over time; I probably won’t cover each of these individually and so if you want to follow it in real time I recommend following it on the Alignment Forum.</v>
      </c>
      <c r="M1154" t="str">
        <f>IFERROR(__xludf.DUMMYFUNCTION("""COMPUTED_VALUE"""),"Section 1.3 of [this version of the paper](https://mltheory.org/dg_short.pdf)")</f>
        <v>Section 1.3 of [this version of the paper](https://mltheory.org/dg_short.pdf)</v>
      </c>
    </row>
    <row r="1155">
      <c r="A1155" t="str">
        <f>IFERROR(__xludf.DUMMYFUNCTION("""COMPUTED_VALUE"""),"Miscellaneous (Alignment)")</f>
        <v>Miscellaneous (Alignment)</v>
      </c>
      <c r="B1155" t="str">
        <f>IFERROR(__xludf.DUMMYFUNCTION("""COMPUTED_VALUE"""),"")</f>
        <v/>
      </c>
      <c r="C1155" s="3" t="str">
        <f>IFERROR(__xludf.DUMMYFUNCTION("""COMPUTED_VALUE"""),"My research methodology")</f>
        <v>My research methodology</v>
      </c>
      <c r="D1155" t="str">
        <f>IFERROR(__xludf.DUMMYFUNCTION("""COMPUTED_VALUE"""),"Paul Christiano")</f>
        <v>Paul Christiano</v>
      </c>
      <c r="E1155" t="str">
        <f>IFERROR(__xludf.DUMMYFUNCTION("""COMPUTED_VALUE"""),"AI Alignment")</f>
        <v>AI Alignment</v>
      </c>
      <c r="F1155">
        <f>IFERROR(__xludf.DUMMYFUNCTION("""COMPUTED_VALUE"""),2021.0)</f>
        <v>2021</v>
      </c>
      <c r="H1155" s="3" t="str">
        <f>IFERROR(__xludf.DUMMYFUNCTION("""COMPUTED_VALUE"""),"AN #145")</f>
        <v>AN #145</v>
      </c>
      <c r="I1155" t="str">
        <f>IFERROR(__xludf.DUMMYFUNCTION("""COMPUTED_VALUE"""),"Rohin")</f>
        <v>Rohin</v>
      </c>
      <c r="J1155" t="str">
        <f>IFERROR(__xludf.DUMMYFUNCTION("""COMPUTED_VALUE"""),"This post outlines a simple methodology for making progress on AI alignment. The core idea is to alternate between two steps:
1. Come up with some alignment algorithm that solves the issues identified so far
2. Try to find some plausible situation in whi"&amp;"ch either a) the resulting AI system is misaligned or b) the AI system is not competitive.
This is all done conceptually, so step 2 can involve fairly exotic scenarios that probably won't happen. Given such a scenario, we need to argue why no failure in "&amp;"the same class as that scenario will happen, or we need to go back to step 1 and come up with a new algorithm.
This methodology could play out as follows:
Step 1: RL with a handcoded reward function.
Step 2: This is vulnerable to &lt;@specification gaming@&gt;"&amp;"(@Specification gaming examples in AI@).
Step 1: RL from human preferences over behavior, or other forms of human feedback.
Step 2: The system might still pursue actions that are bad that humans can't recognize as bad. For example, it might write a well r"&amp;"esearched report on whether fetuses are moral patients, which intuitively seems good (assuming the research is good). However, this would be quite bad if the AI wrote the report because it calculated that it would increase partisanship leading to civil wa"&amp;"r.
Step 1: Use iterated amplification to construct a feedback signal that is ""smarter"" than the AI system it is training.
Step 2: The system might pick up on &lt;@inaccessible information@&gt;(@Inaccessible information@) that the amplified overseer cannot fin"&amp;"d. For example, it might be able to learn a language just by staring at a large pile of data in that language, and then seek power whenever working in that language, and the amplified overseer may not be able to detect this.
Step 1: Use &lt;@imitative genera"&amp;"lization@&gt;(@Imitative Generalisation (AKA 'Learning the Prior')@) so that the human overseer can leverage facts that can be learned by induction / pattern matching, which neural nets are great at.
Step 2: Since imitative generalization ends up learning a "&amp;"description of facts for some dataset, it may learn low-level facts useful for prediction on the dataset, while not including the high-level facts that tell us how the low-level facts connect to things we care about. 
The post also talks about various po"&amp;"ssible objections you might have, which I’m not going to summarize here.")</f>
        <v>This post outlines a simple methodology for making progress on AI alignment. The core idea is to alternate between two steps:
1. Come up with some alignment algorithm that solves the issues identified so far
2. Try to find some plausible situation in which either a) the resulting AI system is misaligned or b) the AI system is not competitive.
This is all done conceptually, so step 2 can involve fairly exotic scenarios that probably won't happen. Given such a scenario, we need to argue why no failure in the same class as that scenario will happen, or we need to go back to step 1 and come up with a new algorithm.
This methodology could play out as follows:
Step 1: RL with a handcoded reward function.
Step 2: This is vulnerable to &lt;@specification gaming@&gt;(@Specification gaming examples in AI@).
Step 1: RL from human preferences over behavior, or other forms of human feedback.
Step 2: The system might still pursue actions that are bad that humans can't recognize as bad. For example, it might write a well researched report on whether fetuses are moral patients, which intuitively seems good (assuming the research is good). However, this would be quite bad if the AI wrote the report because it calculated that it would increase partisanship leading to civil war.
Step 1: Use iterated amplification to construct a feedback signal that is "smarter" than the AI system it is training.
Step 2: The system might pick up on &lt;@inaccessible information@&gt;(@Inaccessible information@) that the amplified overseer cannot find. For example, it might be able to learn a language just by staring at a large pile of data in that language, and then seek power whenever working in that language, and the amplified overseer may not be able to detect this.
Step 1: Use &lt;@imitative generalization@&gt;(@Imitative Generalisation (AKA 'Learning the Prior')@) so that the human overseer can leverage facts that can be learned by induction / pattern matching, which neural nets are great at.
Step 2: Since imitative generalization ends up learning a description of facts for some dataset, it may learn low-level facts useful for prediction on the dataset, while not including the high-level facts that tell us how the low-level facts connect to things we care about. 
The post also talks about various possible objections you might have, which I’m not going to summarize here.</v>
      </c>
      <c r="K1155" t="str">
        <f>IFERROR(__xludf.DUMMYFUNCTION("""COMPUTED_VALUE"""),"I'm really like having a candidate algorithm in mind when reasoning about alignment. It is a lot more concrete, which makes it easier to make progress and not get lost, relative to generic reasoning from just the assumption that the AI system is superinte"&amp;"lligent.
I'm less clear on how exactly you move between the two steps -- from my perspective, there is a core reason for worry, which is something like ""you can't fully control what patterns of thought your algorithms learn, and how they'll behave in ne"&amp;"w circumstances"", and it feels like you could always apply that as your step 2. Our algorithms are instead meant to chip away at the problem, by continually increasing our control over these patterns of thought. It seems like the author has a better-defi"&amp;"ned sense of what does and doesn't count as a valid step 2, and that makes this methodology more fruitful for him than it would be for me. More discussion [here](https://www.alignmentforum.org/posts/EF5M6CmKRd6qZk27Z/my-research-methodology?commentId=8Hq4"&amp;"GJtnPzpoALNtk).")</f>
        <v>I'm really like having a candidate algorithm in mind when reasoning about alignment. It is a lot more concrete, which makes it easier to make progress and not get lost, relative to generic reasoning from just the assumption that the AI system is superintelligent.
I'm less clear on how exactly you move between the two steps -- from my perspective, there is a core reason for worry, which is something like "you can't fully control what patterns of thought your algorithms learn, and how they'll behave in new circumstances", and it feels like you could always apply that as your step 2. Our algorithms are instead meant to chip away at the problem, by continually increasing our control over these patterns of thought. It seems like the author has a better-defined sense of what does and doesn't count as a valid step 2, and that makes this methodology more fruitful for him than it would be for me. More discussion [here](https://www.alignmentforum.org/posts/EF5M6CmKRd6qZk27Z/my-research-methodology?commentId=8Hq4GJtnPzpoALNtk).</v>
      </c>
    </row>
    <row r="1156">
      <c r="A1156" t="str">
        <f>IFERROR(__xludf.DUMMYFUNCTION("""COMPUTED_VALUE"""),"Miscellaneous (Alignment)")</f>
        <v>Miscellaneous (Alignment)</v>
      </c>
      <c r="B1156" t="str">
        <f>IFERROR(__xludf.DUMMYFUNCTION("""COMPUTED_VALUE"""),"")</f>
        <v/>
      </c>
      <c r="C1156" s="3" t="str">
        <f>IFERROR(__xludf.DUMMYFUNCTION("""COMPUTED_VALUE"""),"On the alignment problem")</f>
        <v>On the alignment problem</v>
      </c>
      <c r="D1156" t="str">
        <f>IFERROR(__xludf.DUMMYFUNCTION("""COMPUTED_VALUE"""),"Rob Wiblin and Brian Christian")</f>
        <v>Rob Wiblin and Brian Christian</v>
      </c>
      <c r="E1156" t="str">
        <f>IFERROR(__xludf.DUMMYFUNCTION("""COMPUTED_VALUE"""),"80,000 Hours Website")</f>
        <v>80,000 Hours Website</v>
      </c>
      <c r="F1156">
        <f>IFERROR(__xludf.DUMMYFUNCTION("""COMPUTED_VALUE"""),2021.0)</f>
        <v>2021</v>
      </c>
      <c r="H1156" s="3" t="str">
        <f>IFERROR(__xludf.DUMMYFUNCTION("""COMPUTED_VALUE"""),"AN #141")</f>
        <v>AN #141</v>
      </c>
      <c r="I1156" t="str">
        <f>IFERROR(__xludf.DUMMYFUNCTION("""COMPUTED_VALUE"""),"Rohin")</f>
        <v>Rohin</v>
      </c>
      <c r="J1156" t="str">
        <f>IFERROR(__xludf.DUMMYFUNCTION("""COMPUTED_VALUE"""),"This 80,000 Hours podcast goes over many of the examples from Brian’s book, &lt;@The Alignment Problem@&gt;. I recommend listening to it if you aren’t going to read the book itself; the examples and stories are fascinating. (Though note I only skimmed through t"&amp;"he podcast.)")</f>
        <v>This 80,000 Hours podcast goes over many of the examples from Brian’s book, &lt;@The Alignment Problem@&gt;. I recommend listening to it if you aren’t going to read the book itself; the examples and stories are fascinating. (Though note I only skimmed through the podcast.)</v>
      </c>
    </row>
    <row r="1157">
      <c r="A1157" t="str">
        <f>IFERROR(__xludf.DUMMYFUNCTION("""COMPUTED_VALUE"""),"Miscellaneous (Alignment)")</f>
        <v>Miscellaneous (Alignment)</v>
      </c>
      <c r="B1157" t="str">
        <f>IFERROR(__xludf.DUMMYFUNCTION("""COMPUTED_VALUE"""),"")</f>
        <v/>
      </c>
      <c r="C1157" s="3" t="str">
        <f>IFERROR(__xludf.DUMMYFUNCTION("""COMPUTED_VALUE"""),"Non-Obstruction: A Simple Concept Motivating Corrigibility")</f>
        <v>Non-Obstruction: A Simple Concept Motivating Corrigibility</v>
      </c>
      <c r="D1157" t="str">
        <f>IFERROR(__xludf.DUMMYFUNCTION("""COMPUTED_VALUE"""),"Alex Turner")</f>
        <v>Alex Turner</v>
      </c>
      <c r="E1157" t="str">
        <f>IFERROR(__xludf.DUMMYFUNCTION("""COMPUTED_VALUE"""),"Alignment Forum")</f>
        <v>Alignment Forum</v>
      </c>
      <c r="F1157">
        <f>IFERROR(__xludf.DUMMYFUNCTION("""COMPUTED_VALUE"""),2020.0)</f>
        <v>2020</v>
      </c>
      <c r="H1157" s="3" t="str">
        <f>IFERROR(__xludf.DUMMYFUNCTION("""COMPUTED_VALUE"""),"AN #131")</f>
        <v>AN #131</v>
      </c>
      <c r="I1157" t="str">
        <f>IFERROR(__xludf.DUMMYFUNCTION("""COMPUTED_VALUE"""),"Rohin")</f>
        <v>Rohin</v>
      </c>
      <c r="J1157" t="str">
        <f>IFERROR(__xludf.DUMMYFUNCTION("""COMPUTED_VALUE"""),"The &lt;@Reframing Impact sequence@&gt;(@Reframing Impact - Part 1@) suggests that it is useful to think about how well we could pursue a _range_ of possible goals; this is called the _attainable utility (AU) landscape_. We might think of a superintelligent AI "&amp;"maximizing utility function U as causing this landscape to become “spiky” -- the value for U will go up, but the value for all other goals will go down. If we get this sort of spikiness for an incorrect U, then the true objective will have a very low valu"&amp;"e.
Thus, a natural objective for AI alignment research is to reduce spikiness. Specifically, we can aim for _non-obstruction_: turning the AI on does not decrease the attainable utility for _any_ goal in our range of possible goals. Mild optimization (su"&amp;"ch as [quantilization](https://intelligence.org/files/QuantilizersSaferAlternative.pdf) ([AN #48](https://mailchi.mp/3091c6e9405c/alignment-newsletter-48))) reduces spikiness by reducing the amount of optimization that an AI performs. Impact regularizatio"&amp;"n aims to find an objective that, when maximized, does not lead to too much spikiness.
One particular strategy for non-obstruction would be to build an AI system that does not manipulate us, and allows us to correct it (i.e. modify its policy). Then, no "&amp;"matter what our goal is, if the AI system starts to do things we don’t like, we would be able to correct it. As a result, such an AI system would be highly non-obstructive. This property where we can correct the AI system is [corrigibility](https://intell"&amp;"igence.org/2014/10/18/new-report-corrigibility/). Thus, corrigibility can be thought of as a particular strategy for achieving non-obstruction.
It should be noted that all of the discussion so far is based on _actual outcomes in the world_, rather than w"&amp;"hat the agent was trying to do. That is, all of the concepts so far are based on _impact_ rather than _intent_.")</f>
        <v>The &lt;@Reframing Impact sequence@&gt;(@Reframing Impact - Part 1@) suggests that it is useful to think about how well we could pursue a _range_ of possible goals; this is called the _attainable utility (AU) landscape_. We might think of a superintelligent AI maximizing utility function U as causing this landscape to become “spiky” -- the value for U will go up, but the value for all other goals will go down. If we get this sort of spikiness for an incorrect U, then the true objective will have a very low value.
Thus, a natural objective for AI alignment research is to reduce spikiness. Specifically, we can aim for _non-obstruction_: turning the AI on does not decrease the attainable utility for _any_ goal in our range of possible goals. Mild optimization (such as [quantilization](https://intelligence.org/files/QuantilizersSaferAlternative.pdf) ([AN #48](https://mailchi.mp/3091c6e9405c/alignment-newsletter-48))) reduces spikiness by reducing the amount of optimization that an AI performs. Impact regularization aims to find an objective that, when maximized, does not lead to too much spikiness.
One particular strategy for non-obstruction would be to build an AI system that does not manipulate us, and allows us to correct it (i.e. modify its policy). Then, no matter what our goal is, if the AI system starts to do things we don’t like, we would be able to correct it. As a result, such an AI system would be highly non-obstructive. This property where we can correct the AI system is [corrigibility](https://intelligence.org/2014/10/18/new-report-corrigibility/). Thus, corrigibility can be thought of as a particular strategy for achieving non-obstruction.
It should be noted that all of the discussion so far is based on _actual outcomes in the world_, rather than what the agent was trying to do. That is, all of the concepts so far are based on _impact_ rather than _intent_.</v>
      </c>
      <c r="K1157" t="str">
        <f>IFERROR(__xludf.DUMMYFUNCTION("""COMPUTED_VALUE"""),"Note that the explanation of corrigibility given here is in accord with the usage in [this MIRI paper](https://intelligence.org/2014/10/18/new-report-corrigibility/), but not to the usage in the &lt;@iterated amplification sequence@&gt;(@Corrigibility@), where "&amp;"it refers to a broader concept. The broader concept might roughly be defined as “an AI is corrigible when it leaves its user ‘in control’”; see the linked post for examples of what ‘in control’ involves. (Here also you can have both an impact- and intent-"&amp;"based version of the definition.)
On the model that AI risk is caused by utility maximizers pursuing the wrong reward function, I agree that non-obstruction is a useful goal to aim for, and the resulting approaches (mild optimization, low impact, corrigi"&amp;"bility as defined here) make sense to pursue. I &lt;@do not like this model much@&gt;(@Conclusion to the sequence on value learning@), but that’s (probably?) a minority view.")</f>
        <v>Note that the explanation of corrigibility given here is in accord with the usage in [this MIRI paper](https://intelligence.org/2014/10/18/new-report-corrigibility/), but not to the usage in the &lt;@iterated amplification sequence@&gt;(@Corrigibility@), where it refers to a broader concept. The broader concept might roughly be defined as “an AI is corrigible when it leaves its user ‘in control’”; see the linked post for examples of what ‘in control’ involves. (Here also you can have both an impact- and intent-based version of the definition.)
On the model that AI risk is caused by utility maximizers pursuing the wrong reward function, I agree that non-obstruction is a useful goal to aim for, and the resulting approaches (mild optimization, low impact, corrigibility as defined here) make sense to pursue. I &lt;@do not like this model much@&gt;(@Conclusion to the sequence on value learning@), but that’s (probably?) a minority view.</v>
      </c>
    </row>
    <row r="1158">
      <c r="A1158" t="str">
        <f>IFERROR(__xludf.DUMMYFUNCTION("""COMPUTED_VALUE"""),"Miscellaneous (Alignment)")</f>
        <v>Miscellaneous (Alignment)</v>
      </c>
      <c r="B1158" t="str">
        <f>IFERROR(__xludf.DUMMYFUNCTION("""COMPUTED_VALUE"""),"")</f>
        <v/>
      </c>
      <c r="C1158" s="3" t="str">
        <f>IFERROR(__xludf.DUMMYFUNCTION("""COMPUTED_VALUE"""),"Measurement in AI Policy: Opportunities and Challenges")</f>
        <v>Measurement in AI Policy: Opportunities and Challenges</v>
      </c>
      <c r="D1158" t="str">
        <f>IFERROR(__xludf.DUMMYFUNCTION("""COMPUTED_VALUE"""),"Saurabh Mishra, Jack Clark, C. Raymond Perrault")</f>
        <v>Saurabh Mishra, Jack Clark, C. Raymond Perrault</v>
      </c>
      <c r="E1158" t="str">
        <f>IFERROR(__xludf.DUMMYFUNCTION("""COMPUTED_VALUE"""),"arXiv")</f>
        <v>arXiv</v>
      </c>
      <c r="F1158">
        <f>IFERROR(__xludf.DUMMYFUNCTION("""COMPUTED_VALUE"""),2020.0)</f>
        <v>2020</v>
      </c>
      <c r="H1158" s="3" t="str">
        <f>IFERROR(__xludf.DUMMYFUNCTION("""COMPUTED_VALUE"""),"AN #122")</f>
        <v>AN #122</v>
      </c>
      <c r="I1158" t="str">
        <f>IFERROR(__xludf.DUMMYFUNCTION("""COMPUTED_VALUE"""),"Flo")</f>
        <v>Flo</v>
      </c>
      <c r="J1158" t="str">
        <f>IFERROR(__xludf.DUMMYFUNCTION("""COMPUTED_VALUE"""),"This paper is itself a summary of a 2019 Stanford workshop on the measurement of AI systems and contains summaries of all of the 33 talks given at the workshop. The workshop featured three in-depth breakout sessions, one on R&amp;D and performance, one on eco"&amp;"nomic impact and policy, and one on AI for sustainable development and human rights. Based on the discussions,  the authors identify six central problems in measuring AI progress and the impacts of AI systems:
First, the exact definition of AI is hard to"&amp;" get down given the ongoing evolution of the field. The lack of clear definitions makes it tricky to combine results on different aspects like investments into ""AI"" and the effects of ""AI"" on productivity both with each other and across different coun"&amp;"tries or sectors.
Second, measuring progress in AI is hard for a variety of reasons: We don't just care about narrow benchmark performance but about many factors like robustness, transferability and compute-efficiency, and it is not clear how the tradeof"&amp;"f between performance and these factors should look like. Apart from that, progress on popular benchmarks might be faster than overall progress as methods overfit to the benchmark, and the rise and fall of benchmark popularity make it hard to track progre"&amp;"ss over longer time intervals. Still, focusing on specific benchmarks and subdomains seems like an important first step. 
Third, bibliometric data is an important tool for better understanding the role of different actors in a scientific field. More prec"&amp;"ise definitions of AI could help with getting better bibliometric data and such data could shine some light on aspects like the lifecycle of AI techniques and the demographics of AI researchers.
Fourth, we would like to measure the impact of AI on the ec"&amp;"onomy, especially on inequality and the labour market. This requires a better understanding of the relationship between inputs like skilled workers and data, and outputs, which is difficult to obtain because many of the involved factors are quite intangib"&amp;"le and effects on outputs can be quite delayed. Short-term indicators that are strong predictors of longer-term effects would be very useful in this context. Lastly, even figuring out which businesses are deploying AI can be hard, especially if the applic"&amp;"ations are inward-focused.
The fifth problem is concerned with the measurement of societal impacts of AI with a special focus on developing countries: While a large number of metrics for impacts of AI systems on human rights and the UN's sustainable deve"&amp;"lopment goals have been proposed, there is little data on the deployment of AI systems for social good and in developing countries, so far. 
Sixth, there is a need for better assessment of risks posed by and other negative impacts of AI systems, both bef"&amp;"ore and after deployment. To that extent, a better understanding of risks posed by general classes of applications like autonomous weapons, surveillance and fake videos would be helpful. One barrier here is that many of the riskier applications are in the"&amp;" domain of governmental action such that detailed information is often classified.")</f>
        <v>This paper is itself a summary of a 2019 Stanford workshop on the measurement of AI systems and contains summaries of all of the 33 talks given at the workshop. The workshop featured three in-depth breakout sessions, one on R&amp;D and performance, one on economic impact and policy, and one on AI for sustainable development and human rights. Based on the discussions,  the authors identify six central problems in measuring AI progress and the impacts of AI systems:
First, the exact definition of AI is hard to get down given the ongoing evolution of the field. The lack of clear definitions makes it tricky to combine results on different aspects like investments into "AI" and the effects of "AI" on productivity both with each other and across different countries or sectors.
Second, measuring progress in AI is hard for a variety of reasons: We don't just care about narrow benchmark performance but about many factors like robustness, transferability and compute-efficiency, and it is not clear how the tradeoff between performance and these factors should look like. Apart from that, progress on popular benchmarks might be faster than overall progress as methods overfit to the benchmark, and the rise and fall of benchmark popularity make it hard to track progress over longer time intervals. Still, focusing on specific benchmarks and subdomains seems like an important first step. 
Third, bibliometric data is an important tool for better understanding the role of different actors in a scientific field. More precise definitions of AI could help with getting better bibliometric data and such data could shine some light on aspects like the lifecycle of AI techniques and the demographics of AI researchers.
Fourth, we would like to measure the impact of AI on the economy, especially on inequality and the labour market. This requires a better understanding of the relationship between inputs like skilled workers and data, and outputs, which is difficult to obtain because many of the involved factors are quite intangible and effects on outputs can be quite delayed. Short-term indicators that are strong predictors of longer-term effects would be very useful in this context. Lastly, even figuring out which businesses are deploying AI can be hard, especially if the applications are inward-focused.
The fifth problem is concerned with the measurement of societal impacts of AI with a special focus on developing countries: While a large number of metrics for impacts of AI systems on human rights and the UN's sustainable development goals have been proposed, there is little data on the deployment of AI systems for social good and in developing countries, so far. 
Sixth, there is a need for better assessment of risks posed by and other negative impacts of AI systems, both before and after deployment. To that extent, a better understanding of risks posed by general classes of applications like autonomous weapons, surveillance and fake videos would be helpful. One barrier here is that many of the riskier applications are in the domain of governmental action such that detailed information is often classified.</v>
      </c>
      <c r="K1158" t="str">
        <f>IFERROR(__xludf.DUMMYFUNCTION("""COMPUTED_VALUE"""),"If we cannot even measure AI progress and the impacts of AI systems right now, how are we supposed to accurately forecast them? As better forecasts are crucial for prioritizing the right problems and solutions, I am glad that the measurement of AI progres"&amp;"s and impacts is getting broader attention. While the focus on developing countries might be less important from the perspective of AI existential safety, increased attention on measuring AI from a diverse set of communities is likely very useful for brin"&amp;"ging the topic to the mainstream.")</f>
        <v>If we cannot even measure AI progress and the impacts of AI systems right now, how are we supposed to accurately forecast them? As better forecasts are crucial for prioritizing the right problems and solutions, I am glad that the measurement of AI progress and impacts is getting broader attention. While the focus on developing countries might be less important from the perspective of AI existential safety, increased attention on measuring AI from a diverse set of communities is likely very useful for bringing the topic to the mainstream.</v>
      </c>
    </row>
    <row r="1159">
      <c r="A1159" t="str">
        <f>IFERROR(__xludf.DUMMYFUNCTION("""COMPUTED_VALUE"""),"Miscellaneous (Alignment)")</f>
        <v>Miscellaneous (Alignment)</v>
      </c>
      <c r="B1159" t="str">
        <f>IFERROR(__xludf.DUMMYFUNCTION("""COMPUTED_VALUE"""),"")</f>
        <v/>
      </c>
      <c r="C1159" s="3" t="str">
        <f>IFERROR(__xludf.DUMMYFUNCTION("""COMPUTED_VALUE"""),"Alignment By Default")</f>
        <v>Alignment By Default</v>
      </c>
      <c r="D1159" t="str">
        <f>IFERROR(__xludf.DUMMYFUNCTION("""COMPUTED_VALUE"""),"John Wentworth")</f>
        <v>John Wentworth</v>
      </c>
      <c r="E1159" t="str">
        <f>IFERROR(__xludf.DUMMYFUNCTION("""COMPUTED_VALUE"""),"Alignment Forum")</f>
        <v>Alignment Forum</v>
      </c>
      <c r="F1159">
        <f>IFERROR(__xludf.DUMMYFUNCTION("""COMPUTED_VALUE"""),2020.0)</f>
        <v>2020</v>
      </c>
      <c r="H1159" t="str">
        <f>IFERROR(__xludf.DUMMYFUNCTION("""COMPUTED_VALUE"""),"AN #113")</f>
        <v>AN #113</v>
      </c>
      <c r="I1159" t="str">
        <f>IFERROR(__xludf.DUMMYFUNCTION("""COMPUTED_VALUE"""),"Rohin")</f>
        <v>Rohin</v>
      </c>
      <c r="J1159" t="str">
        <f>IFERROR(__xludf.DUMMYFUNCTION("""COMPUTED_VALUE"""),"I liked the author’s summary, so I’ve reproduced it with minor stylistic changes:
A low-level model of some humans has everything there is to know about human values embedded within it, in exactly the same way that human values are embedded in physical h"&amp;"umans. The embedding, however, is nontrivial. Thus, predictive power alone is not sufficient to define human values. The missing part is the embedding of values within the model.
However, this also applies if we replace the phrase “human values” with “tr"&amp;"ees”. Yet we have a whole class of neural networks in which a simple embedding lights up in response to trees. This is because trees are a natural abstraction, and we should expect to see real systems trained for predictive power use natural abstractions "&amp;"internally.
Human values are a little different from trees: they’re a property of an abstract object (humans) rather than an abstract object themselves. Nonetheless, the author still expects that a broad class of systems trained for predictive power will"&amp;" end up with simple embeddings of human values (~70% chance).
Since an unsupervised learner has a simple embedding of human values, a supervised/reinforcement learner can easily score well on values-proxy-tasks by directly using that model of human value"&amp;"s. In other words, the system uses an actual model of human values as a proxy for our proxy of human values (~10-20% chance). This is what is meant by _alignment by default_.
When this works, it’s basically a best-case scenario, so we can safely use the "&amp;"system to design a successor without worrying about amplification of alignment errors (among other things).")</f>
        <v>I liked the author’s summary, so I’ve reproduced it with minor stylistic changes:
A low-level model of some humans has everything there is to know about human values embedded within it, in exactly the same way that human values are embedded in physical humans. The embedding, however, is nontrivial. Thus, predictive power alone is not sufficient to define human values. The missing part is the embedding of values within the model.
However, this also applies if we replace the phrase “human values” with “trees”. Yet we have a whole class of neural networks in which a simple embedding lights up in response to trees. This is because trees are a natural abstraction, and we should expect to see real systems trained for predictive power use natural abstractions internally.
Human values are a little different from trees: they’re a property of an abstract object (humans) rather than an abstract object themselves. Nonetheless, the author still expects that a broad class of systems trained for predictive power will end up with simple embeddings of human values (~70% chance).
Since an unsupervised learner has a simple embedding of human values, a supervised/reinforcement learner can easily score well on values-proxy-tasks by directly using that model of human values. In other words, the system uses an actual model of human values as a proxy for our proxy of human values (~10-20% chance). This is what is meant by _alignment by default_.
When this works, it’s basically a best-case scenario, so we can safely use the system to design a successor without worrying about amplification of alignment errors (among other things).</v>
      </c>
      <c r="K1159" t="str">
        <f>IFERROR(__xludf.DUMMYFUNCTION("""COMPUTED_VALUE"""),"I broadly agree with the perspective in this post: in particular, I think we really should have more optimism because of the tendency of neural nets to learn “natural abstractions”. There is structure and regularity in the world and neural nets often capt"&amp;"ure it (despite being able to memorize random noise); if we train neural nets on a bunch of human-relevant data it really should learn a lot about humans, including what we care about.
However, I am less optimistic than the author about the specific path"&amp;" presented here (and he only assigns 10% chance to it). In particular, while I do think human values are a “real” thing that a neural net will pick up on, I don’t think that they are well-defined enough to align an AI system arbitrarily far into the futur"&amp;"e: our values do not say what to do in all possible situations; to see this we need only to look at the vast disagreements among moral philosophers (who often focus on esoteric situations). If an AI system were to internalize and optimize our current syst"&amp;"em of values, as the world changed the AI system would probably become less and less aligned with humans. We could instead talk about an AI system that has internalized both current human values and the process by which they are constructed, but that feel"&amp;"s much less like a natural abstraction to me.
I _am_ optimistic about a very similar path, in which instead of training the system to pursue (a proxy for) human values, we train the system to pursue some “meta” specification like “be helpful to the user "&amp;"/ humanity” or “do what we want on reflection”. It seems to me that “being helpful” is also a natural abstraction, and it seems more likely that an AI system pursuing this specification would continue to be beneficial as the world (and human values) chang"&amp;"ed drastically.")</f>
        <v>I broadly agree with the perspective in this post: in particular, I think we really should have more optimism because of the tendency of neural nets to learn “natural abstractions”. There is structure and regularity in the world and neural nets often capture it (despite being able to memorize random noise); if we train neural nets on a bunch of human-relevant data it really should learn a lot about humans, including what we care about.
However, I am less optimistic than the author about the specific path presented here (and he only assigns 10% chance to it). In particular, while I do think human values are a “real” thing that a neural net will pick up on, I don’t think that they are well-defined enough to align an AI system arbitrarily far into the future: our values do not say what to do in all possible situations; to see this we need only to look at the vast disagreements among moral philosophers (who often focus on esoteric situations). If an AI system were to internalize and optimize our current system of values, as the world changed the AI system would probably become less and less aligned with humans. We could instead talk about an AI system that has internalized both current human values and the process by which they are constructed, but that feels much less like a natural abstraction to me.
I _am_ optimistic about a very similar path, in which instead of training the system to pursue (a proxy for) human values, we train the system to pursue some “meta” specification like “be helpful to the user / humanity” or “do what we want on reflection”. It seems to me that “being helpful” is also a natural abstraction, and it seems more likely that an AI system pursuing this specification would continue to be beneficial as the world (and human values) changed drastically.</v>
      </c>
    </row>
    <row r="1160">
      <c r="A1160" t="str">
        <f>IFERROR(__xludf.DUMMYFUNCTION("""COMPUTED_VALUE"""),"Miscellaneous (Alignment)")</f>
        <v>Miscellaneous (Alignment)</v>
      </c>
      <c r="B1160" t="str">
        <f>IFERROR(__xludf.DUMMYFUNCTION("""COMPUTED_VALUE"""),"")</f>
        <v/>
      </c>
      <c r="C1160" s="3" t="str">
        <f>IFERROR(__xludf.DUMMYFUNCTION("""COMPUTED_VALUE"""),"Arguments against myopic training")</f>
        <v>Arguments against myopic training</v>
      </c>
      <c r="D1160" t="str">
        <f>IFERROR(__xludf.DUMMYFUNCTION("""COMPUTED_VALUE"""),"Richard Ngo")</f>
        <v>Richard Ngo</v>
      </c>
      <c r="E1160" t="str">
        <f>IFERROR(__xludf.DUMMYFUNCTION("""COMPUTED_VALUE"""),"Alignment Forum")</f>
        <v>Alignment Forum</v>
      </c>
      <c r="F1160">
        <f>IFERROR(__xludf.DUMMYFUNCTION("""COMPUTED_VALUE"""),2020.0)</f>
        <v>2020</v>
      </c>
      <c r="H1160" s="3" t="str">
        <f>IFERROR(__xludf.DUMMYFUNCTION("""COMPUTED_VALUE"""),"AN #108")</f>
        <v>AN #108</v>
      </c>
      <c r="I1160" t="str">
        <f>IFERROR(__xludf.DUMMYFUNCTION("""COMPUTED_VALUE"""),"Rohin")</f>
        <v>Rohin</v>
      </c>
      <c r="J1160" t="str">
        <f>IFERROR(__xludf.DUMMYFUNCTION("""COMPUTED_VALUE"""),"[Several](https://www.alignmentforum.org/posts/7Hr8t6xwuuxBTqADK/approval-directed-agents-overview) ([AN #34](https://mailchi.mp/f1947668b183/alignment-newsletter-34)) &lt;@proposals@&gt;(@An overview of 11 proposals for building safe advanced AI@) in AI alignm"&amp;"ent involve some form of myopic training, in which an AI system is trained to take actions that only maximize the feedback signal in the **next timestep** (rather than e.g. across an episode, or across all time, as with typical reward signals). In order f"&amp;"or this to work, the feedback signal needs to take into account the future consequences of the AI system’s action, in order to incentivize good behavior, and so providing feedback becomes more challenging.
This post argues that there don’t seem to be any"&amp;" major benefits of myopic training, and so it is not worth the cost we pay in having to provide more challenging feedback. In particular, myopic training does not necessarily lead to “myopic cognition”, in which the agent doesn’t think about long-term con"&amp;"sequences when choosing an action. To see this, consider the case where we know the ideal reward function R*. In that case, the best feedback to give for myopic training is the optimal Q-function Q*. However, regardless of whether we do regular training w"&amp;"ith R* or myopic training with Q*, the agent would do well if it estimates Q* in order to select the right action to take, which in turn will likely require reasoning about long-term consequences of its actions. So there doesn’t seem to be a strong reason"&amp;" to expect myopic training to lead to myopic cognition, if we give feedback that depends on (our predictions of) long-term consequences. In fact, for any approval feedback we may give, there is an equivalent reward feedback that would incentivize the same"&amp;" optimal policy.
Another argument for myopic training is that it prevents reward tampering and manipulation of the supervisor. The author doesn’t find this compelling. In the case of reward tampering, it seems that agents would not catastrophically tampe"&amp;"r with their reward “by accident”, as tampering is difficult to do, and so they would only do so intentionally, in which case it is important for us to prevent those intentions from arising, for which we shouldn’t expect myopic training to help very much."&amp;" In the case of manipulating the supervisor, he argues that in the case of myopic training, the supervisor will have to think about the future outputs of the agent in order to be competitive, which could lead to manipulation anyway.")</f>
        <v>[Several](https://www.alignmentforum.org/posts/7Hr8t6xwuuxBTqADK/approval-directed-agents-overview) ([AN #34](https://mailchi.mp/f1947668b183/alignment-newsletter-34)) &lt;@proposals@&gt;(@An overview of 11 proposals for building safe advanced AI@) in AI alignment involve some form of myopic training, in which an AI system is trained to take actions that only maximize the feedback signal in the **next timestep** (rather than e.g. across an episode, or across all time, as with typical reward signals). In order for this to work, the feedback signal needs to take into account the future consequences of the AI system’s action, in order to incentivize good behavior, and so providing feedback becomes more challenging.
This post argues that there don’t seem to be any major benefits of myopic training, and so it is not worth the cost we pay in having to provide more challenging feedback. In particular, myopic training does not necessarily lead to “myopic cognition”, in which the agent doesn’t think about long-term consequences when choosing an action. To see this, consider the case where we know the ideal reward function R*. In that case, the best feedback to give for myopic training is the optimal Q-function Q*. However, regardless of whether we do regular training with R* or myopic training with Q*, the agent would do well if it estimates Q* in order to select the right action to take, which in turn will likely require reasoning about long-term consequences of its actions. So there doesn’t seem to be a strong reason to expect myopic training to lead to myopic cognition, if we give feedback that depends on (our predictions of) long-term consequences. In fact, for any approval feedback we may give, there is an equivalent reward feedback that would incentivize the same optimal policy.
Another argument for myopic training is that it prevents reward tampering and manipulation of the supervisor. The author doesn’t find this compelling. In the case of reward tampering, it seems that agents would not catastrophically tamper with their reward “by accident”, as tampering is difficult to do, and so they would only do so intentionally, in which case it is important for us to prevent those intentions from arising, for which we shouldn’t expect myopic training to help very much. In the case of manipulating the supervisor, he argues that in the case of myopic training, the supervisor will have to think about the future outputs of the agent in order to be competitive, which could lead to manipulation anyway.</v>
      </c>
      <c r="K1160" t="str">
        <f>IFERROR(__xludf.DUMMYFUNCTION("""COMPUTED_VALUE"""),"I agree with what I see as the key point of this post: myopic training does not mean that the resulting agent will have myopic cognition. However, I don’t think this means myopic training is useless. According to me, the main benefit of myopic training is"&amp;" that small errors in reward specification for regular RL can incentivize catastrophic outcomes, while small errors in approval feedback for myopic RL are unlikely to incentivize catastrophic outcomes. (This is because “simple” rewards that we specify oft"&amp;"en lead to &lt;@convergent instrumental subgoals@&gt;(@The Basic AI Drives@), which need not be the case for approval feedback.) More details in [this comment](https://www.alignmentforum.org/posts/GqxuDtZvfgL2bEQ5v/arguments-against-myopic-training?commentId=TY"&amp;"S4QPTLnY38GeEhg).")</f>
        <v>I agree with what I see as the key point of this post: myopic training does not mean that the resulting agent will have myopic cognition. However, I don’t think this means myopic training is useless. According to me, the main benefit of myopic training is that small errors in reward specification for regular RL can incentivize catastrophic outcomes, while small errors in approval feedback for myopic RL are unlikely to incentivize catastrophic outcomes. (This is because “simple” rewards that we specify often lead to &lt;@convergent instrumental subgoals@&gt;(@The Basic AI Drives@), which need not be the case for approval feedback.) More details in [this comment](https://www.alignmentforum.org/posts/GqxuDtZvfgL2bEQ5v/arguments-against-myopic-training?commentId=TYS4QPTLnY38GeEhg).</v>
      </c>
    </row>
    <row r="1161">
      <c r="A1161" t="str">
        <f>IFERROR(__xludf.DUMMYFUNCTION("""COMPUTED_VALUE"""),"Miscellaneous (Alignment)")</f>
        <v>Miscellaneous (Alignment)</v>
      </c>
      <c r="B1161" t="str">
        <f>IFERROR(__xludf.DUMMYFUNCTION("""COMPUTED_VALUE"""),"")</f>
        <v/>
      </c>
      <c r="C1161" s="3" t="str">
        <f>IFERROR(__xludf.DUMMYFUNCTION("""COMPUTED_VALUE"""),"User-Agent Value Alignment ")</f>
        <v>User-Agent Value Alignment </v>
      </c>
      <c r="D1161" t="str">
        <f>IFERROR(__xludf.DUMMYFUNCTION("""COMPUTED_VALUE"""),"Daniel Shapiro, Ross Shachter")</f>
        <v>Daniel Shapiro, Ross Shachter</v>
      </c>
      <c r="E1161" t="str">
        <f>IFERROR(__xludf.DUMMYFUNCTION("""COMPUTED_VALUE"""),"AAAI 2002")</f>
        <v>AAAI 2002</v>
      </c>
      <c r="F1161">
        <f>IFERROR(__xludf.DUMMYFUNCTION("""COMPUTED_VALUE"""),2002.0)</f>
        <v>2002</v>
      </c>
      <c r="G1161" t="str">
        <f>IFERROR(__xludf.DUMMYFUNCTION("""COMPUTED_VALUE"""),"Stuart Russell")</f>
        <v>Stuart Russell</v>
      </c>
      <c r="H1161" s="3" t="str">
        <f>IFERROR(__xludf.DUMMYFUNCTION("""COMPUTED_VALUE"""),"AN #101")</f>
        <v>AN #101</v>
      </c>
      <c r="I1161" t="str">
        <f>IFERROR(__xludf.DUMMYFUNCTION("""COMPUTED_VALUE"""),"Rohin")</f>
        <v>Rohin</v>
      </c>
      <c r="J1161" t="str">
        <f>IFERROR(__xludf.DUMMYFUNCTION("""COMPUTED_VALUE"""),"This paper **from 2002** investigates what it would take to align an artificial agent with a human principal, under the assumption that the human utility function is known, but that the agent reward and human utility might be computed from different featu"&amp;"re sets fA and fH. In this case, it is possible that the agent reward cannot capture all of the effects that the human cares about, leading to misalignment.
They introduce the concept of _graphical value alignment_, in which the only way that the agent’s"&amp;" actions can affect fH is through fA. In this case, we can establish _functional value alignment_ (in which the agent’s optimal policy also maximizes human utility), by setting the agent's reward for any specific fA to be the expectation (over fH) of the "&amp;"utility of fH, given fA. Note that the graphical criterion is _very strong_: it requires that _none_ of the agent’s unobserved effects matter at all to the human.
They suggest two methods for establishing alignment. First, we can define additional agent "&amp;"features (perhaps requiring additional sensors), until all of the effects on fH are captured by fA. However, this would be very difficult, if not impossible. Second, we can include all agent actions and observations as agent features, since any effect of "&amp;"the agent’s choice of policy on fH depends only on the observations made and actions taken. Of course, to achieve functional value alignment we would then have to have a good understanding of the expected human utility for every action given any observati"&amp;"on, which is also hard.
They also briefly discuss the relationship between aligned agents and capable agents: a stone is aligned with you (per their definition), but also entirely useless. An interesting quote: _“Note that it might be harder to establish"&amp;" alignment with more competent agents because their skills afford many more pathways for adverse effects. This is a somewhat troubling thought.”_")</f>
        <v>This paper **from 2002** investigates what it would take to align an artificial agent with a human principal, under the assumption that the human utility function is known, but that the agent reward and human utility might be computed from different feature sets fA and fH. In this case, it is possible that the agent reward cannot capture all of the effects that the human cares about, leading to misalignment.
They introduce the concept of _graphical value alignment_, in which the only way that the agent’s actions can affect fH is through fA. In this case, we can establish _functional value alignment_ (in which the agent’s optimal policy also maximizes human utility), by setting the agent's reward for any specific fA to be the expectation (over fH) of the utility of fH, given fA. Note that the graphical criterion is _very strong_: it requires that _none_ of the agent’s unobserved effects matter at all to the human.
They suggest two methods for establishing alignment. First, we can define additional agent features (perhaps requiring additional sensors), until all of the effects on fH are captured by fA. However, this would be very difficult, if not impossible. Second, we can include all agent actions and observations as agent features, since any effect of the agent’s choice of policy on fH depends only on the observations made and actions taken. Of course, to achieve functional value alignment we would then have to have a good understanding of the expected human utility for every action given any observation, which is also hard.
They also briefly discuss the relationship between aligned agents and capable agents: a stone is aligned with you (per their definition), but also entirely useless. An interesting quote: _“Note that it might be harder to establish alignment with more competent agents because their skills afford many more pathways for adverse effects. This is a somewhat troubling thought.”_</v>
      </c>
      <c r="K1161" t="str">
        <f>IFERROR(__xludf.DUMMYFUNCTION("""COMPUTED_VALUE"""),"It’s interesting how much of the alignment problem manifests itself even when you assume that the human utility function is known, but the feature sets used by the human and agent are different. The only piece of the argument missing from this paper is th"&amp;"at with sufficiently capable agents, the agent will actually be _adversarial_ towards the human because of [convergent instrumental subgoals](https://selfawaresystems.files.wordpress.com/2008/01/ai_drives_final.pdf), and that argument can be made in this "&amp;"framework.
Unfortunately, both of their methods for producing alignment don’t scale well, as they admit in the paper. (The second method in particular is kind of like hardcoding the policy, similarly to the construction &lt;@here@&gt;(@Coherence arguments do n"&amp;"ot imply goal-directed behavior@).)")</f>
        <v>It’s interesting how much of the alignment problem manifests itself even when you assume that the human utility function is known, but the feature sets used by the human and agent are different. The only piece of the argument missing from this paper is that with sufficiently capable agents, the agent will actually be _adversarial_ towards the human because of [convergent instrumental subgoals](https://selfawaresystems.files.wordpress.com/2008/01/ai_drives_final.pdf), and that argument can be made in this framework.
Unfortunately, both of their methods for producing alignment don’t scale well, as they admit in the paper. (The second method in particular is kind of like hardcoding the policy, similarly to the construction &lt;@here@&gt;(@Coherence arguments do not imply goal-directed behavior@).)</v>
      </c>
    </row>
    <row r="1162">
      <c r="A1162" t="str">
        <f>IFERROR(__xludf.DUMMYFUNCTION("""COMPUTED_VALUE"""),"Miscellaneous (Alignment)")</f>
        <v>Miscellaneous (Alignment)</v>
      </c>
      <c r="B1162" t="str">
        <f>IFERROR(__xludf.DUMMYFUNCTION("""COMPUTED_VALUE"""),"")</f>
        <v/>
      </c>
      <c r="C1162" s="3" t="str">
        <f>IFERROR(__xludf.DUMMYFUNCTION("""COMPUTED_VALUE"""),"Survey of prescient actions")</f>
        <v>Survey of prescient actions</v>
      </c>
      <c r="D1162" t="str">
        <f>IFERROR(__xludf.DUMMYFUNCTION("""COMPUTED_VALUE"""),"Rick Korzekwa")</f>
        <v>Rick Korzekwa</v>
      </c>
      <c r="E1162" t="str">
        <f>IFERROR(__xludf.DUMMYFUNCTION("""COMPUTED_VALUE"""),"AI Impacts")</f>
        <v>AI Impacts</v>
      </c>
      <c r="F1162">
        <f>IFERROR(__xludf.DUMMYFUNCTION("""COMPUTED_VALUE"""),2020.0)</f>
        <v>2020</v>
      </c>
      <c r="H1162" s="3" t="str">
        <f>IFERROR(__xludf.DUMMYFUNCTION("""COMPUTED_VALUE"""),"AN #97")</f>
        <v>AN #97</v>
      </c>
      <c r="I1162" t="str">
        <f>IFERROR(__xludf.DUMMYFUNCTION("""COMPUTED_VALUE"""),"Rohin")</f>
        <v>Rohin</v>
      </c>
      <c r="J1162" t="str">
        <f>IFERROR(__xludf.DUMMYFUNCTION("""COMPUTED_VALUE"""),"AI Impacts is looking into other examples in history where people took actions in order to address a complex, novel, severe future problem, and in hindsight we recognize those actions as prescient. Ideally we could learn lessons for AI alignment from such"&amp;" cases. The survey is so far very preliminary, so I'll summarize it later when it has been further developed, but I thought I'd send it along if you wanted to follow along (I found the six cases they've identified quite interesting).")</f>
        <v>AI Impacts is looking into other examples in history where people took actions in order to address a complex, novel, severe future problem, and in hindsight we recognize those actions as prescient. Ideally we could learn lessons for AI alignment from such cases. The survey is so far very preliminary, so I'll summarize it later when it has been further developed, but I thought I'd send it along if you wanted to follow along (I found the six cases they've identified quite interesting).</v>
      </c>
      <c r="K1162" t="str">
        <f>IFERROR(__xludf.DUMMYFUNCTION("""COMPUTED_VALUE"""),"One particularly interesting finding is that so far, in all of the cases they've looked at, there was a lot of feedback available to develop a solution. The post notes that this could be interpreted in two ways. First, since feedback is abundant in real-w"&amp;"orld problems, we should expect feedback for AI alignment as well ([the optimistic take](https://mailchi.mp/b3dc916ac7e2/an-80-why-ai-risk-might-be-solved-without-additional-intervention-from-longtermists)). Second, since AI alignment has no opportunity f"&amp;"or feedback, it is unlike other problems (&lt;@the pessimistic take@&gt;(@The Rocket Alignment Problem@)). I would add a third option: that any real-world problem without feedback is extremely hard to solve, and so we wouldn't generate any hypotheses of actions"&amp;" that were prescient for such problems (in which case AI risk is not special amongst problems, it is just an instance of a very difficult problem).")</f>
        <v>One particularly interesting finding is that so far, in all of the cases they've looked at, there was a lot of feedback available to develop a solution. The post notes that this could be interpreted in two ways. First, since feedback is abundant in real-world problems, we should expect feedback for AI alignment as well ([the optimistic take](https://mailchi.mp/b3dc916ac7e2/an-80-why-ai-risk-might-be-solved-without-additional-intervention-from-longtermists)). Second, since AI alignment has no opportunity for feedback, it is unlike other problems (&lt;@the pessimistic take@&gt;(@The Rocket Alignment Problem@)). I would add a third option: that any real-world problem without feedback is extremely hard to solve, and so we wouldn't generate any hypotheses of actions that were prescient for such problems (in which case AI risk is not special amongst problems, it is just an instance of a very difficult problem).</v>
      </c>
    </row>
    <row r="1163">
      <c r="A1163" t="str">
        <f>IFERROR(__xludf.DUMMYFUNCTION("""COMPUTED_VALUE"""),"Miscellaneous (Alignment)")</f>
        <v>Miscellaneous (Alignment)</v>
      </c>
      <c r="B1163" t="str">
        <f>IFERROR(__xludf.DUMMYFUNCTION("""COMPUTED_VALUE"""),"")</f>
        <v/>
      </c>
      <c r="C1163" s="3" t="str">
        <f>IFERROR(__xludf.DUMMYFUNCTION("""COMPUTED_VALUE"""),"Bayesian Evolving-to-Extinction")</f>
        <v>Bayesian Evolving-to-Extinction</v>
      </c>
      <c r="D1163" t="str">
        <f>IFERROR(__xludf.DUMMYFUNCTION("""COMPUTED_VALUE"""),"Abram Demski")</f>
        <v>Abram Demski</v>
      </c>
      <c r="E1163" t="str">
        <f>IFERROR(__xludf.DUMMYFUNCTION("""COMPUTED_VALUE"""),"Alignment Forum")</f>
        <v>Alignment Forum</v>
      </c>
      <c r="F1163">
        <f>IFERROR(__xludf.DUMMYFUNCTION("""COMPUTED_VALUE"""),2020.0)</f>
        <v>2020</v>
      </c>
      <c r="H1163" s="3" t="str">
        <f>IFERROR(__xludf.DUMMYFUNCTION("""COMPUTED_VALUE"""),"AN #96")</f>
        <v>AN #96</v>
      </c>
      <c r="I1163" t="str">
        <f>IFERROR(__xludf.DUMMYFUNCTION("""COMPUTED_VALUE"""),"Rohin")</f>
        <v>Rohin</v>
      </c>
      <c r="J1163" t="str">
        <f>IFERROR(__xludf.DUMMYFUNCTION("""COMPUTED_VALUE"""),"Consider a Bayesian learner, that updates the weights of various hypotheses using Bayes Rule. If the hypotheses can influence future events and predictions (for example, maybe it can write out logs, which influence what questions are asked in the future),"&amp;" then hypotheses that affect the future in a way that only they can predict will be selected for by Bayes Rule, rather than hypotheses that straightforwardly predict the future without trying to influence it. In some sense, this is ""myopic"" behavior on "&amp;"the part of Bayesian updating: Bayes Rule only optimizes per-hypothesis, without taking into account the effect on overall future accuracy. This phenomenon could also apply to neural nets if the &lt;@lottery ticket hypothesis@&gt;(@The Lottery Ticket Hypothesis"&amp;": Training Pruned Neural Networks@) holds: in this case each ""ticket"" can be thought of as a competing hypothesis.")</f>
        <v>Consider a Bayesian learner, that updates the weights of various hypotheses using Bayes Rule. If the hypotheses can influence future events and predictions (for example, maybe it can write out logs, which influence what questions are asked in the future), then hypotheses that affect the future in a way that only they can predict will be selected for by Bayes Rule, rather than hypotheses that straightforwardly predict the future without trying to influence it. In some sense, this is "myopic" behavior on the part of Bayesian updating: Bayes Rule only optimizes per-hypothesis, without taking into account the effect on overall future accuracy. This phenomenon could also apply to neural nets if the &lt;@lottery ticket hypothesis@&gt;(@The Lottery Ticket Hypothesis: Training Pruned Neural Networks@) holds: in this case each "ticket" can be thought of as a competing hypothesis.</v>
      </c>
    </row>
    <row r="1164">
      <c r="A1164" t="str">
        <f>IFERROR(__xludf.DUMMYFUNCTION("""COMPUTED_VALUE"""),"Miscellaneous (Alignment)")</f>
        <v>Miscellaneous (Alignment)</v>
      </c>
      <c r="B1164" t="str">
        <f>IFERROR(__xludf.DUMMYFUNCTION("""COMPUTED_VALUE"""),"")</f>
        <v/>
      </c>
      <c r="C1164" s="3" t="str">
        <f>IFERROR(__xludf.DUMMYFUNCTION("""COMPUTED_VALUE"""),"If I were a well-intentioned AI")</f>
        <v>If I were a well-intentioned AI</v>
      </c>
      <c r="D1164" t="str">
        <f>IFERROR(__xludf.DUMMYFUNCTION("""COMPUTED_VALUE"""),"Stuart Armstrong")</f>
        <v>Stuart Armstrong</v>
      </c>
      <c r="E1164" t="str">
        <f>IFERROR(__xludf.DUMMYFUNCTION("""COMPUTED_VALUE"""),"Alignment Forum")</f>
        <v>Alignment Forum</v>
      </c>
      <c r="F1164">
        <f>IFERROR(__xludf.DUMMYFUNCTION("""COMPUTED_VALUE"""),2020.0)</f>
        <v>2020</v>
      </c>
      <c r="H1164" s="3" t="str">
        <f>IFERROR(__xludf.DUMMYFUNCTION("""COMPUTED_VALUE"""),"AN #93")</f>
        <v>AN #93</v>
      </c>
      <c r="I1164" t="str">
        <f>IFERROR(__xludf.DUMMYFUNCTION("""COMPUTED_VALUE"""),"Rohin")</f>
        <v>Rohin</v>
      </c>
      <c r="J1164" t="str">
        <f>IFERROR(__xludf.DUMMYFUNCTION("""COMPUTED_VALUE"""),"This sequence takes on the perspective of an AI system that is well-intentioned, but lacking information about what humans want. The hope is to find what good AI reasoning might look like, and hopefully use this to derive insights for safety. The sequence"&amp;" considers Goodhart problems, adversarial examples, distribution shift, subagent problems, etc.")</f>
        <v>This sequence takes on the perspective of an AI system that is well-intentioned, but lacking information about what humans want. The hope is to find what good AI reasoning might look like, and hopefully use this to derive insights for safety. The sequence considers Goodhart problems, adversarial examples, distribution shift, subagent problems, etc.</v>
      </c>
      <c r="K1164" t="str">
        <f>IFERROR(__xludf.DUMMYFUNCTION("""COMPUTED_VALUE"""),"I liked this sequence. Often when presented with a potential problem in AI safety, I ask myself why the problem doesn't also apply to humans, and how humans have managed to solve the problem. This sequence was primarily this sort of reasoning, and I think"&amp;" it did a good job of highlighting how with sufficient conservatism it seems plausible that many problems are not that bad if the AI is well-intentioned, even if it has very little information, or finds it hard to communicate with humans, or has the wrong"&amp;" abstractions.")</f>
        <v>I liked this sequence. Often when presented with a potential problem in AI safety, I ask myself why the problem doesn't also apply to humans, and how humans have managed to solve the problem. This sequence was primarily this sort of reasoning, and I think it did a good job of highlighting how with sufficient conservatism it seems plausible that many problems are not that bad if the AI is well-intentioned, even if it has very little information, or finds it hard to communicate with humans, or has the wrong abstractions.</v>
      </c>
    </row>
    <row r="1165">
      <c r="A1165" t="str">
        <f>IFERROR(__xludf.DUMMYFUNCTION("""COMPUTED_VALUE"""),"Miscellaneous (Alignment)")</f>
        <v>Miscellaneous (Alignment)</v>
      </c>
      <c r="B1165" t="str">
        <f>IFERROR(__xludf.DUMMYFUNCTION("""COMPUTED_VALUE"""),"")</f>
        <v/>
      </c>
      <c r="C1165" s="3" t="str">
        <f>IFERROR(__xludf.DUMMYFUNCTION("""COMPUTED_VALUE"""),"Cortés, Pizarro, and Afonso as Precedents for Takeover")</f>
        <v>Cortés, Pizarro, and Afonso as Precedents for Takeover</v>
      </c>
      <c r="D1165" t="str">
        <f>IFERROR(__xludf.DUMMYFUNCTION("""COMPUTED_VALUE"""),"Daniel Kokotajlo")</f>
        <v>Daniel Kokotajlo</v>
      </c>
      <c r="E1165" t="str">
        <f>IFERROR(__xludf.DUMMYFUNCTION("""COMPUTED_VALUE"""),"AI Impacts")</f>
        <v>AI Impacts</v>
      </c>
      <c r="F1165">
        <f>IFERROR(__xludf.DUMMYFUNCTION("""COMPUTED_VALUE"""),2020.0)</f>
        <v>2020</v>
      </c>
      <c r="H1165" s="3" t="str">
        <f>IFERROR(__xludf.DUMMYFUNCTION("""COMPUTED_VALUE"""),"AN #90")</f>
        <v>AN #90</v>
      </c>
      <c r="I1165" t="str">
        <f>IFERROR(__xludf.DUMMYFUNCTION("""COMPUTED_VALUE"""),"Matthew")</f>
        <v>Matthew</v>
      </c>
      <c r="J1165" t="str">
        <f>IFERROR(__xludf.DUMMYFUNCTION("""COMPUTED_VALUE"""),"This post lists three historical examples of how small human groups conquered large parts of the world, and shows how they are arguably precedents for AI takeover scenarios. The first two historical examples are the conquests of American civilizations by "&amp;"Hernán Cortés and Francisco Pizarro in the early 16th century. The third example is the Portugese capture of key Indian Ocean trading ports, which happened at roughly the same time as the other conquests. Daniel argues that technological and strategic adv"&amp;"antages were the likely causes of these European victories. However, since the European technological advantage was small in this period, we might expect that an AI coalition could similarly take over a large portion of the world, even without a large tec"&amp;"hnological advantage.")</f>
        <v>This post lists three historical examples of how small human groups conquered large parts of the world, and shows how they are arguably precedents for AI takeover scenarios. The first two historical examples are the conquests of American civilizations by Hernán Cortés and Francisco Pizarro in the early 16th century. The third example is the Portugese capture of key Indian Ocean trading ports, which happened at roughly the same time as the other conquests. Daniel argues that technological and strategic advantages were the likely causes of these European victories. However, since the European technological advantage was small in this period, we might expect that an AI coalition could similarly take over a large portion of the world, even without a large technological advantage.</v>
      </c>
      <c r="K1165" t="str">
        <f>IFERROR(__xludf.DUMMYFUNCTION("""COMPUTED_VALUE"""),"In a [comment](https://www.alignmentforum.org/posts/ivpKSjM4D6FbqF4pZ/cortes-pizarro-and-afonso-as-precedents-for-takeover?commentId=kNFNjBJjuzTd3irrR), I dispute the claimed reasons for why Europeans conquered American civilizations. I think that a large"&amp;" body of historical literature supports the conclusion that American civilizations fell primarily because of their exposure to diseases which they lacked immunity to, rather than because of European military power. I also think that this helps explain why"&amp;" Portugal was ""only"" able to capture Indian Ocean trading ports during this time period, rather than whole civilizations. I think the primary insight here should instead be that pandemics can kill large groups of humans, and therefore it would be worth "&amp;"exploring the possibility that AI systems use pandemics as a mechanism to kill large numbers of biological humans.")</f>
        <v>In a [comment](https://www.alignmentforum.org/posts/ivpKSjM4D6FbqF4pZ/cortes-pizarro-and-afonso-as-precedents-for-takeover?commentId=kNFNjBJjuzTd3irrR), I dispute the claimed reasons for why Europeans conquered American civilizations. I think that a large body of historical literature supports the conclusion that American civilizations fell primarily because of their exposure to diseases which they lacked immunity to, rather than because of European military power. I also think that this helps explain why Portugal was "only" able to capture Indian Ocean trading ports during this time period, rather than whole civilizations. I think the primary insight here should instead be that pandemics can kill large groups of humans, and therefore it would be worth exploring the possibility that AI systems use pandemics as a mechanism to kill large numbers of biological humans.</v>
      </c>
    </row>
    <row r="1166">
      <c r="A1166" t="str">
        <f>IFERROR(__xludf.DUMMYFUNCTION("""COMPUTED_VALUE"""),"Miscellaneous (Alignment)")</f>
        <v>Miscellaneous (Alignment)</v>
      </c>
      <c r="B1166" t="str">
        <f>IFERROR(__xludf.DUMMYFUNCTION("""COMPUTED_VALUE"""),"")</f>
        <v/>
      </c>
      <c r="C1166" s="3" t="str">
        <f>IFERROR(__xludf.DUMMYFUNCTION("""COMPUTED_VALUE"""),"How To Solve Moral Conundrums with Computability Theory")</f>
        <v>How To Solve Moral Conundrums with Computability Theory</v>
      </c>
      <c r="D1166" t="str">
        <f>IFERROR(__xludf.DUMMYFUNCTION("""COMPUTED_VALUE"""),"Jongmin Jerome Baek")</f>
        <v>Jongmin Jerome Baek</v>
      </c>
      <c r="E1166" t="str">
        <f>IFERROR(__xludf.DUMMYFUNCTION("""COMPUTED_VALUE"""),"Hum Behav &amp; Emerg Tech.2019")</f>
        <v>Hum Behav &amp; Emerg Tech.2019</v>
      </c>
      <c r="F1166">
        <f>IFERROR(__xludf.DUMMYFUNCTION("""COMPUTED_VALUE"""),2018.0)</f>
        <v>2018</v>
      </c>
      <c r="H1166" s="3" t="str">
        <f>IFERROR(__xludf.DUMMYFUNCTION("""COMPUTED_VALUE"""),"AN #9")</f>
        <v>AN #9</v>
      </c>
    </row>
    <row r="1167">
      <c r="A1167" t="str">
        <f>IFERROR(__xludf.DUMMYFUNCTION("""COMPUTED_VALUE"""),"Miscellaneous (Alignment)")</f>
        <v>Miscellaneous (Alignment)</v>
      </c>
      <c r="B1167" t="str">
        <f>IFERROR(__xludf.DUMMYFUNCTION("""COMPUTED_VALUE"""),"")</f>
        <v/>
      </c>
      <c r="C1167" s="3" t="str">
        <f>IFERROR(__xludf.DUMMYFUNCTION("""COMPUTED_VALUE"""),"The Incentives that Shape Behaviour")</f>
        <v>The Incentives that Shape Behaviour</v>
      </c>
      <c r="D1167" t="str">
        <f>IFERROR(__xludf.DUMMYFUNCTION("""COMPUTED_VALUE"""),"Ryan Carey*, Eric Langlois*, Tom Everitt, Shane Legg")</f>
        <v>Ryan Carey*, Eric Langlois*, Tom Everitt, Shane Legg</v>
      </c>
      <c r="E1167" t="str">
        <f>IFERROR(__xludf.DUMMYFUNCTION("""COMPUTED_VALUE"""),"arXiv")</f>
        <v>arXiv</v>
      </c>
      <c r="F1167">
        <f>IFERROR(__xludf.DUMMYFUNCTION("""COMPUTED_VALUE"""),2020.0)</f>
        <v>2020</v>
      </c>
      <c r="H1167" s="3" t="str">
        <f>IFERROR(__xludf.DUMMYFUNCTION("""COMPUTED_VALUE"""),"AN #87")</f>
        <v>AN #87</v>
      </c>
      <c r="I1167" t="str">
        <f>IFERROR(__xludf.DUMMYFUNCTION("""COMPUTED_VALUE"""),"Asya")</f>
        <v>Asya</v>
      </c>
      <c r="J1167" t="str">
        <f>IFERROR(__xludf.DUMMYFUNCTION("""COMPUTED_VALUE"""),"This post and [paper](https://arxiv.org/abs/2001.07118) introduce a method for analyzing the safety properties of a system using a  _causal theory of incentives_ (&lt;@past@&gt;(@Understanding Agent Incentives with Causal Influence Diagrams@) &lt;@papers@&gt;(@Modeli"&amp;"ng AGI Safety Frameworks with Causal Influence Diagrams@)).  An _incentive_ is something an agent must do to best achieve its goals. A _control incentive_ exists when an agent must control some component of its environment in order to maximize its utility"&amp;", while a _response incentive_ is present when the agent's decision must be causally responsive to some component of its environment. These incentives can be analyzed formally by drawing a _causal influence diagram_, which represents a decision problem as"&amp;" a graph where each variable depends on the values of its parents.
For example, consider the case where a recommender algorithm decides what posts to show to maximize clicks. In the causal influnce diagram representing this system, we can include that we"&amp;" have control over the node 'posts to show', which has a direct effect on the node we want to maximize, 'clicks'. However, 'posts to show' may also have a direct effect on the node 'influenced user opinions', which itself affects 'clicks'. In the system a"&amp;"s it stands, in addition to there being a desirable control incentive on 'clicks', there is also an undesirable control incentive on 'influenced user opinions', since they themselves influence 'clicks'. To get rid of the undesirable incentive, we could re"&amp;"ward the system for _predicted clicks_ based on a model of the original user opinions, rather than for actual clicks.")</f>
        <v>This post and [paper](https://arxiv.org/abs/2001.07118) introduce a method for analyzing the safety properties of a system using a  _causal theory of incentives_ (&lt;@past@&gt;(@Understanding Agent Incentives with Causal Influence Diagrams@) &lt;@papers@&gt;(@Modeling AGI Safety Frameworks with Causal Influence Diagrams@)).  An _incentive_ is something an agent must do to best achieve its goals. A _control incentive_ exists when an agent must control some component of its environment in order to maximize its utility, while a _response incentive_ is present when the agent's decision must be causally responsive to some component of its environment. These incentives can be analyzed formally by drawing a _causal influence diagram_, which represents a decision problem as a graph where each variable depends on the values of its parents.
For example, consider the case where a recommender algorithm decides what posts to show to maximize clicks. In the causal influnce diagram representing this system, we can include that we have control over the node 'posts to show', which has a direct effect on the node we want to maximize, 'clicks'. However, 'posts to show' may also have a direct effect on the node 'influenced user opinions', which itself affects 'clicks'. In the system as it stands, in addition to there being a desirable control incentive on 'clicks', there is also an undesirable control incentive on 'influenced user opinions', since they themselves influence 'clicks'. To get rid of the undesirable incentive, we could reward the system for _predicted clicks_ based on a model of the original user opinions, rather than for actual clicks.</v>
      </c>
      <c r="K1167" t="str">
        <f>IFERROR(__xludf.DUMMYFUNCTION("""COMPUTED_VALUE"""),"I really like this formalization of incentives, which come up frequently in AI safety work. It seems like some people are &lt;@already@&gt;(@Asymptotically Benign AGI@) &lt;@using@&gt;(@Designing agent incentives to avoid reward tampering@) this framework, and this s"&amp;"eems low-cost enough that it's easy to imagine a world where this features in the safety analysis of algorithm designers.")</f>
        <v>I really like this formalization of incentives, which come up frequently in AI safety work. It seems like some people are &lt;@already@&gt;(@Asymptotically Benign AGI@) &lt;@using@&gt;(@Designing agent incentives to avoid reward tampering@) this framework, and this seems low-cost enough that it's easy to imagine a world where this features in the safety analysis of algorithm designers.</v>
      </c>
      <c r="M1167" s="3" t="str">
        <f>IFERROR(__xludf.DUMMYFUNCTION("""COMPUTED_VALUE"""),"Paper: The Incentives that Shape Behaviour")</f>
        <v>Paper: The Incentives that Shape Behaviour</v>
      </c>
    </row>
    <row r="1168">
      <c r="A1168" t="str">
        <f>IFERROR(__xludf.DUMMYFUNCTION("""COMPUTED_VALUE"""),"Miscellaneous (Alignment)")</f>
        <v>Miscellaneous (Alignment)</v>
      </c>
      <c r="B1168" t="str">
        <f>IFERROR(__xludf.DUMMYFUNCTION("""COMPUTED_VALUE"""),"")</f>
        <v/>
      </c>
      <c r="C1168" s="3" t="str">
        <f>IFERROR(__xludf.DUMMYFUNCTION("""COMPUTED_VALUE"""),"Does Bayes Beat Goodhart?")</f>
        <v>Does Bayes Beat Goodhart?</v>
      </c>
      <c r="D1168" t="str">
        <f>IFERROR(__xludf.DUMMYFUNCTION("""COMPUTED_VALUE"""),"Abram Demski")</f>
        <v>Abram Demski</v>
      </c>
      <c r="E1168" t="str">
        <f>IFERROR(__xludf.DUMMYFUNCTION("""COMPUTED_VALUE"""),"Alignment Forum")</f>
        <v>Alignment Forum</v>
      </c>
      <c r="F1168">
        <f>IFERROR(__xludf.DUMMYFUNCTION("""COMPUTED_VALUE"""),2019.0)</f>
        <v>2019</v>
      </c>
      <c r="H1168" s="3" t="str">
        <f>IFERROR(__xludf.DUMMYFUNCTION("""COMPUTED_VALUE"""),"AN #85")</f>
        <v>AN #85</v>
      </c>
      <c r="I1168" t="str">
        <f>IFERROR(__xludf.DUMMYFUNCTION("""COMPUTED_VALUE"""),"Flo")</f>
        <v>Flo</v>
      </c>
      <c r="J1168" t="str">
        <f>IFERROR(__xludf.DUMMYFUNCTION("""COMPUTED_VALUE"""),"It has been &lt;@claimed@&gt;(@Using expected utility for Good(hart)@) that  Goodhart's law might not be a problem for expected utility maximization, as long as we correctly account for our uncertainty about the correct utility function. 
This post argues that"&amp;" Bayesian approaches are insufficient to get around Goodhart. One problem is that with insufficient overlap between possible utility functions, some utility functions might essentially be ignored when optimizing the expectation, even if our prior assigns "&amp;"positive probability to them. However, in reality, there is likely considerable overlap between the utility functions in our prior, as they are selected to fit our intuitions. 
More severely, bad priors can lead to systematic biases in a bayesian's expec"&amp;"tations, especially given embeddedness. As an extreme example, the prior might assign zero probability to the correct utility function. Calibrated instead of Bayesian learning can help with this, but only for &lt;@regressional Goodhart@&gt;(@Non-Adversarial Goo"&amp;"dhart and AI Risks@). Adversarial Goodhart, where another agent tries to exploit the difference between your utility and your proxy seems to also require randomization like [quantilization](https://intelligence.org/files/QuantilizersSaferAlternative.pdf) "&amp;"([AN #48](https://mailchi.mp/3091c6e9405c/alignment-newsletter-48)).")</f>
        <v>It has been &lt;@claimed@&gt;(@Using expected utility for Good(hart)@) that  Goodhart's law might not be a problem for expected utility maximization, as long as we correctly account for our uncertainty about the correct utility function. 
This post argues that Bayesian approaches are insufficient to get around Goodhart. One problem is that with insufficient overlap between possible utility functions, some utility functions might essentially be ignored when optimizing the expectation, even if our prior assigns positive probability to them. However, in reality, there is likely considerable overlap between the utility functions in our prior, as they are selected to fit our intuitions. 
More severely, bad priors can lead to systematic biases in a bayesian's expectations, especially given embeddedness. As an extreme example, the prior might assign zero probability to the correct utility function. Calibrated instead of Bayesian learning can help with this, but only for &lt;@regressional Goodhart@&gt;(@Non-Adversarial Goodhart and AI Risks@). Adversarial Goodhart, where another agent tries to exploit the difference between your utility and your proxy seems to also require randomization like [quantilization](https://intelligence.org/files/QuantilizersSaferAlternative.pdf) ([AN #48](https://mailchi.mp/3091c6e9405c/alignment-newsletter-48)).</v>
      </c>
      <c r="K1168" t="str">
        <f>IFERROR(__xludf.DUMMYFUNCTION("""COMPUTED_VALUE"""),"The degree of overlap between utility functions seems to be pretty crucial (also see &lt;@here@&gt;(@When Goodharting is optimal: linear vs diminishing returns, unlikely vs likely, and other factors@)). It does seem plausible for the Bayesian approach to work w"&amp;"ell without the correct utility in the prior if  there was a lot of overlap between the utilities in the prior and the true utility. However, I am somewhat sceptical of our ability to get reliable estimates for that overlap.  ")</f>
        <v>The degree of overlap between utility functions seems to be pretty crucial (also see &lt;@here@&gt;(@When Goodharting is optimal: linear vs diminishing returns, unlikely vs likely, and other factors@)). It does seem plausible for the Bayesian approach to work well without the correct utility in the prior if  there was a lot of overlap between the utilities in the prior and the true utility. However, I am somewhat sceptical of our ability to get reliable estimates for that overlap.  </v>
      </c>
    </row>
    <row r="1169">
      <c r="A1169" t="str">
        <f>IFERROR(__xludf.DUMMYFUNCTION("""COMPUTED_VALUE"""),"Miscellaneous (Alignment)")</f>
        <v>Miscellaneous (Alignment)</v>
      </c>
      <c r="B1169" t="str">
        <f>IFERROR(__xludf.DUMMYFUNCTION("""COMPUTED_VALUE"""),"")</f>
        <v/>
      </c>
      <c r="C1169" s="3" t="str">
        <f>IFERROR(__xludf.DUMMYFUNCTION("""COMPUTED_VALUE"""),"When is unaligned AI morally valuable?")</f>
        <v>When is unaligned AI morally valuable?</v>
      </c>
      <c r="D1169" t="str">
        <f>IFERROR(__xludf.DUMMYFUNCTION("""COMPUTED_VALUE"""),"Paul Christiano")</f>
        <v>Paul Christiano</v>
      </c>
      <c r="E1169" t="str">
        <f>IFERROR(__xludf.DUMMYFUNCTION("""COMPUTED_VALUE"""),"LessWrong")</f>
        <v>LessWrong</v>
      </c>
      <c r="F1169">
        <f>IFERROR(__xludf.DUMMYFUNCTION("""COMPUTED_VALUE"""),2018.0)</f>
        <v>2018</v>
      </c>
      <c r="H1169" s="3" t="str">
        <f>IFERROR(__xludf.DUMMYFUNCTION("""COMPUTED_VALUE"""),"AN #8")</f>
        <v>AN #8</v>
      </c>
      <c r="I1169" t="str">
        <f>IFERROR(__xludf.DUMMYFUNCTION("""COMPUTED_VALUE"""),"Rohin")</f>
        <v>Rohin</v>
      </c>
      <c r="J1169" t="str">
        <f>IFERROR(__xludf.DUMMYFUNCTION("""COMPUTED_VALUE"""),"When might it be a good idea to hand the keys to the universe to an unaligned AI? This post looks more deeply at this question, which could be important as a backup plan if we don't think we can build an aligned AI. I can't easily summarize this, so you'l"&amp;"l have to read the post.")</f>
        <v>When might it be a good idea to hand the keys to the universe to an unaligned AI? This post looks more deeply at this question, which could be important as a backup plan if we don't think we can build an aligned AI. I can't easily summarize this, so you'll have to read the post.</v>
      </c>
    </row>
    <row r="1170">
      <c r="A1170" t="str">
        <f>IFERROR(__xludf.DUMMYFUNCTION("""COMPUTED_VALUE"""),"Miscellaneous (Alignment)")</f>
        <v>Miscellaneous (Alignment)</v>
      </c>
      <c r="B1170" t="str">
        <f>IFERROR(__xludf.DUMMYFUNCTION("""COMPUTED_VALUE"""),"")</f>
        <v/>
      </c>
      <c r="C1170" s="3" t="str">
        <f>IFERROR(__xludf.DUMMYFUNCTION("""COMPUTED_VALUE"""),"What are some non-purely-sampling ways to do deep RL?")</f>
        <v>What are some non-purely-sampling ways to do deep RL?</v>
      </c>
      <c r="D1170" t="str">
        <f>IFERROR(__xludf.DUMMYFUNCTION("""COMPUTED_VALUE"""),"Evan Hubinger")</f>
        <v>Evan Hubinger</v>
      </c>
      <c r="E1170" t="str">
        <f>IFERROR(__xludf.DUMMYFUNCTION("""COMPUTED_VALUE"""),"Alignment Forum")</f>
        <v>Alignment Forum</v>
      </c>
      <c r="F1170">
        <f>IFERROR(__xludf.DUMMYFUNCTION("""COMPUTED_VALUE"""),2019.0)</f>
        <v>2019</v>
      </c>
      <c r="H1170" s="3" t="str">
        <f>IFERROR(__xludf.DUMMYFUNCTION("""COMPUTED_VALUE"""),"AN #78")</f>
        <v>AN #78</v>
      </c>
      <c r="I1170" t="str">
        <f>IFERROR(__xludf.DUMMYFUNCTION("""COMPUTED_VALUE"""),"Matthew")</f>
        <v>Matthew</v>
      </c>
      <c r="J1170" t="str">
        <f>IFERROR(__xludf.DUMMYFUNCTION("""COMPUTED_VALUE"""),"A deep reinforcement learning agent trained by reward samples alone may predictably lead to a [proxy alignment issue](https://www.lesswrong.com/posts/pL56xPoniLvtMDQ4J/the-inner-alignment-problem): the learner could fail to develop a full understanding of"&amp;" what behavior it is being rewarded for, and thus behave unacceptably when it is taken off its training distribution. Since we often use explicit specifications to define our reward functions, Evan Hubinger asks how we can incorporate this information int"&amp;"o our deep learning models so that they remain aligned off the training distribution. He names several possibilities for doing so, such as giving the deep learning model access to a differentiable copy of the reward function during training, and fine-tuni"&amp;"ng a language model so that it can map natural language descriptions of a reward function into optimal actions.")</f>
        <v>A deep reinforcement learning agent trained by reward samples alone may predictably lead to a [proxy alignment issue](https://www.lesswrong.com/posts/pL56xPoniLvtMDQ4J/the-inner-alignment-problem): the learner could fail to develop a full understanding of what behavior it is being rewarded for, and thus behave unacceptably when it is taken off its training distribution. Since we often use explicit specifications to define our reward functions, Evan Hubinger asks how we can incorporate this information into our deep learning models so that they remain aligned off the training distribution. He names several possibilities for doing so, such as giving the deep learning model access to a differentiable copy of the reward function during training, and fine-tuning a language model so that it can map natural language descriptions of a reward function into optimal actions.</v>
      </c>
      <c r="K1170" t="str">
        <f>IFERROR(__xludf.DUMMYFUNCTION("""COMPUTED_VALUE"""),"I'm unsure, though leaning skeptical, whether incorporating a copy of the reward function into a deep learning model would help it learn. My guess is that if someone did that with a current model it would make the model harder to train, rather than making"&amp;" anything easier. I will be excited if someone can demonstrate at least one feasible approach to addressing proxy alignment that does more than sample the reward function.
**Rohin's opinion:** I'm skeptical of this approach. Mostly this is because I'm ge"&amp;"nerally skeptical that an intelligent agent will consist of a separate ""planning"" part and ""reward"" part. However, if that were true, then I'd think that this approach could plausibly give us some additional alignment, but can't solve the entire probl"&amp;"em of inner alignment. Specifically, the reward function encodes a _huge_ amount of information: it specifies the optimal behavior in all possible situations you could be in. The ""intelligent"" part of the net is only ever going to get a subset of this i"&amp;"nformation from the reward function, and so its plans can never be perfectly optimized for that reward function, but instead could be compatible with any reward function that would provide the same information on the ""queries"" that the intelligent part "&amp;"has produced.
For a slightly-more-concrete example, for any ""normal"" utility function U, there is a utility function U' that is ""like U, but also the best outcomes are ones in which you hack the memory so that the 'reward' variable is set to infinity"&amp;""". To me, wireheading is possible because the ""intelligent"" part doesn't get enough information about U to distinguish U from U', and so its plans could very well be optimized for U' instead of U.")</f>
        <v>I'm unsure, though leaning skeptical, whether incorporating a copy of the reward function into a deep learning model would help it learn. My guess is that if someone did that with a current model it would make the model harder to train, rather than making anything easier. I will be excited if someone can demonstrate at least one feasible approach to addressing proxy alignment that does more than sample the reward function.
**Rohin's opinion:** I'm skeptical of this approach. Mostly this is because I'm generally skeptical that an intelligent agent will consist of a separate "planning" part and "reward" part. However, if that were true, then I'd think that this approach could plausibly give us some additional alignment, but can't solve the entire problem of inner alignment. Specifically, the reward function encodes a _huge_ amount of information: it specifies the optimal behavior in all possible situations you could be in. The "intelligent" part of the net is only ever going to get a subset of this information from the reward function, and so its plans can never be perfectly optimized for that reward function, but instead could be compatible with any reward function that would provide the same information on the "queries" that the intelligent part has produced.
For a slightly-more-concrete example, for any "normal" utility function U, there is a utility function U' that is "like U, but also the best outcomes are ones in which you hack the memory so that the 'reward' variable is set to infinity". To me, wireheading is possible because the "intelligent" part doesn't get enough information about U to distinguish U from U', and so its plans could very well be optimized for U' instead of U.</v>
      </c>
    </row>
    <row r="1171">
      <c r="A1171" t="str">
        <f>IFERROR(__xludf.DUMMYFUNCTION("""COMPUTED_VALUE"""),"Miscellaneous (Alignment)")</f>
        <v>Miscellaneous (Alignment)</v>
      </c>
      <c r="B1171" t="str">
        <f>IFERROR(__xludf.DUMMYFUNCTION("""COMPUTED_VALUE"""),"")</f>
        <v/>
      </c>
      <c r="C1171" s="3" t="str">
        <f>IFERROR(__xludf.DUMMYFUNCTION("""COMPUTED_VALUE"""),"Strategic implications of AIs' ability to coordinate at low cost, for example by merging")</f>
        <v>Strategic implications of AIs' ability to coordinate at low cost, for example by merging</v>
      </c>
      <c r="D1171" t="str">
        <f>IFERROR(__xludf.DUMMYFUNCTION("""COMPUTED_VALUE"""),"Wei Dai")</f>
        <v>Wei Dai</v>
      </c>
      <c r="E1171" t="str">
        <f>IFERROR(__xludf.DUMMYFUNCTION("""COMPUTED_VALUE"""),"Alignment Forum")</f>
        <v>Alignment Forum</v>
      </c>
      <c r="F1171">
        <f>IFERROR(__xludf.DUMMYFUNCTION("""COMPUTED_VALUE"""),2019.0)</f>
        <v>2019</v>
      </c>
      <c r="H1171" s="3" t="str">
        <f>IFERROR(__xludf.DUMMYFUNCTION("""COMPUTED_VALUE"""),"AN #76")</f>
        <v>AN #76</v>
      </c>
      <c r="I1171" t="str">
        <f>IFERROR(__xludf.DUMMYFUNCTION("""COMPUTED_VALUE"""),"Matthew")</f>
        <v>Matthew</v>
      </c>
      <c r="J1171" t="str">
        <f>IFERROR(__xludf.DUMMYFUNCTION("""COMPUTED_VALUE"""),"There are a number of differences between how humans cooperate and how hypothetical AI agents could cooperate, and these differences have important strategic implications for AI forecasting and safety. The first big implication is that AIs with explicit u"&amp;"tility functions will be able to merge their values. This merging may have the effect of rendering laws and norms obsolete, since large conflicts would no longer occur. The second big implication is that our approaches to AI safety should preserve the abi"&amp;"lity for AIs to cooperate. This is because if AIs *don't* have the ability to cooperate, they might not be as effective, as they will be outcompeted by factions who can cooperate better.")</f>
        <v>There are a number of differences between how humans cooperate and how hypothetical AI agents could cooperate, and these differences have important strategic implications for AI forecasting and safety. The first big implication is that AIs with explicit utility functions will be able to merge their values. This merging may have the effect of rendering laws and norms obsolete, since large conflicts would no longer occur. The second big implication is that our approaches to AI safety should preserve the ability for AIs to cooperate. This is because if AIs *don't* have the ability to cooperate, they might not be as effective, as they will be outcompeted by factions who can cooperate better.</v>
      </c>
      <c r="K1171" t="str">
        <f>IFERROR(__xludf.DUMMYFUNCTION("""COMPUTED_VALUE"""),"My usual starting point for future forecasting is to assume that AI won't alter any long term trends, and then update from there on the evidence. Most technologies haven't disrupted centuries-long trends in conflict resolution, which makes me hesitant to "&amp;"accept the first implication. Here, I think the biggest weakness in the argument is the assumption that powerful AIs should be described as having explicit utility functions. I still think that cooperation will be easier in the future, but it probably won"&amp;"'t follow a radical departure from past trends.")</f>
        <v>My usual starting point for future forecasting is to assume that AI won't alter any long term trends, and then update from there on the evidence. Most technologies haven't disrupted centuries-long trends in conflict resolution, which makes me hesitant to accept the first implication. Here, I think the biggest weakness in the argument is the assumption that powerful AIs should be described as having explicit utility functions. I still think that cooperation will be easier in the future, but it probably won't follow a radical departure from past trends.</v>
      </c>
    </row>
    <row r="1172">
      <c r="A1172" t="str">
        <f>IFERROR(__xludf.DUMMYFUNCTION("""COMPUTED_VALUE"""),"Miscellaneous (Alignment)")</f>
        <v>Miscellaneous (Alignment)</v>
      </c>
      <c r="B1172" t="str">
        <f>IFERROR(__xludf.DUMMYFUNCTION("""COMPUTED_VALUE"""),"")</f>
        <v/>
      </c>
      <c r="C1172" s="3" t="str">
        <f>IFERROR(__xludf.DUMMYFUNCTION("""COMPUTED_VALUE"""),"Do Sufficiently Advanced Agents Use Logic?")</f>
        <v>Do Sufficiently Advanced Agents Use Logic?</v>
      </c>
      <c r="D1172" t="str">
        <f>IFERROR(__xludf.DUMMYFUNCTION("""COMPUTED_VALUE"""),"Abram Demski")</f>
        <v>Abram Demski</v>
      </c>
      <c r="E1172" t="str">
        <f>IFERROR(__xludf.DUMMYFUNCTION("""COMPUTED_VALUE"""),"Alignment Forum")</f>
        <v>Alignment Forum</v>
      </c>
      <c r="F1172">
        <f>IFERROR(__xludf.DUMMYFUNCTION("""COMPUTED_VALUE"""),2019.0)</f>
        <v>2019</v>
      </c>
      <c r="H1172" s="3" t="str">
        <f>IFERROR(__xludf.DUMMYFUNCTION("""COMPUTED_VALUE"""),"AN #76")</f>
        <v>AN #76</v>
      </c>
      <c r="I1172" t="str">
        <f>IFERROR(__xludf.DUMMYFUNCTION("""COMPUTED_VALUE"""),"Rohin")</f>
        <v>Rohin</v>
      </c>
      <c r="J1172" t="str">
        <f>IFERROR(__xludf.DUMMYFUNCTION("""COMPUTED_VALUE"""),"Current progress in ML suggests that it's quite important for agents to learn how to predict what's going to happen, even though ultimately we primarily care about the final performance. Similarly, it seems likely that the ability to use logic will be an "&amp;"important component of intelligence, even though it doesn't obviously directly contribute to final performance.
The main source of intuition is that in environments where data is scarce, agents should still be able to learn from the results of (logical) "&amp;"computations. For example, while it may take some data to learn the rules of chess, once you have learned them, it should take nothing but more thinking time to figure out how to play chess well. In game theory, the ability to think about similar games an"&amp;"d learning from what ""would"" happen in those games seems quite powerful. When modeling both agents in a game this way, &lt;@a single-shot game effectively becomes an iterated game@&gt;(@In Logical Time, All Games are Iterated Games@).")</f>
        <v>Current progress in ML suggests that it's quite important for agents to learn how to predict what's going to happen, even though ultimately we primarily care about the final performance. Similarly, it seems likely that the ability to use logic will be an important component of intelligence, even though it doesn't obviously directly contribute to final performance.
The main source of intuition is that in environments where data is scarce, agents should still be able to learn from the results of (logical) computations. For example, while it may take some data to learn the rules of chess, once you have learned them, it should take nothing but more thinking time to figure out how to play chess well. In game theory, the ability to think about similar games and learning from what "would" happen in those games seems quite powerful. When modeling both agents in a game this way, &lt;@a single-shot game effectively becomes an iterated game@&gt;(@In Logical Time, All Games are Iterated Games@).</v>
      </c>
      <c r="K1172" t="str">
        <f>IFERROR(__xludf.DUMMYFUNCTION("""COMPUTED_VALUE"""),"Certainly the ability to think through hypothetical scenarios helps a lot, as recently demonstrated by &lt;@MuZero@&gt;(@Mastering Atari, Go, Chess and Shogi by Planning with a Learned Model@), and that alone is sufficient reason to expect advanced agents to us"&amp;"e logic, or something like it. Another such intuition for me is that logic enables much better generalization, e.g. our grade-school algorithm for adding numbers is way better than algorithms learned by neural nets for adding numbers (which often fail to "&amp;"generalize to very long numbers).
Of course, the ""logic"" that advanced agents use could be learned rather than pre-specified, just as we humans use learned logic to reason about the world.")</f>
        <v>Certainly the ability to think through hypothetical scenarios helps a lot, as recently demonstrated by &lt;@MuZero@&gt;(@Mastering Atari, Go, Chess and Shogi by Planning with a Learned Model@), and that alone is sufficient reason to expect advanced agents to use logic, or something like it. Another such intuition for me is that logic enables much better generalization, e.g. our grade-school algorithm for adding numbers is way better than algorithms learned by neural nets for adding numbers (which often fail to generalize to very long numbers).
Of course, the "logic" that advanced agents use could be learned rather than pre-specified, just as we humans use learned logic to reason about the world.</v>
      </c>
    </row>
    <row r="1173">
      <c r="A1173" t="str">
        <f>IFERROR(__xludf.DUMMYFUNCTION("""COMPUTED_VALUE"""),"Miscellaneous (Alignment)")</f>
        <v>Miscellaneous (Alignment)</v>
      </c>
      <c r="B1173" t="str">
        <f>IFERROR(__xludf.DUMMYFUNCTION("""COMPUTED_VALUE"""),"")</f>
        <v/>
      </c>
      <c r="C1173" s="3" t="str">
        <f>IFERROR(__xludf.DUMMYFUNCTION("""COMPUTED_VALUE"""),"Misconceptions about continuous takeoff")</f>
        <v>Misconceptions about continuous takeoff</v>
      </c>
      <c r="D1173" t="str">
        <f>IFERROR(__xludf.DUMMYFUNCTION("""COMPUTED_VALUE"""),"Matthew Barnett")</f>
        <v>Matthew Barnett</v>
      </c>
      <c r="E1173" t="str">
        <f>IFERROR(__xludf.DUMMYFUNCTION("""COMPUTED_VALUE"""),"Alignment Forum")</f>
        <v>Alignment Forum</v>
      </c>
      <c r="F1173">
        <f>IFERROR(__xludf.DUMMYFUNCTION("""COMPUTED_VALUE"""),2019.0)</f>
        <v>2019</v>
      </c>
      <c r="I1173" t="str">
        <f>IFERROR(__xludf.DUMMYFUNCTION("""COMPUTED_VALUE"""),"Flo")</f>
        <v>Flo</v>
      </c>
      <c r="J1173" t="str">
        <f>IFERROR(__xludf.DUMMYFUNCTION("""COMPUTED_VALUE"""),"This post attempts to clarify the author's notion of continuous AI takeoff, defined as the growth of future AI capabilities being in line with extrapolation from current trends. In particular, that means that no AI project is going to bring sudden large g"&amp;"ains in capabilities compared to its predecessors. 
Such a continuous takeoff does not necessarily have to be slow. For example, generative adversarial networks have become better quite rapidly during the last five years, but progress has still been piec"&amp;"emeal. Furthermore, exponential gains, for example due to recursive self-improvement, can be consistent with a continuous takeoff, as long as the gains from one iteration of the improvement process are modest. However, this means that a continuous takeoff"&amp;" does not preclude large power differentials from arising: slight advantages can compound over time and actors might use their lead in AI development to their strategic advantage even absent discontinuous progress, much like western Europe used its techno"&amp;"logical advantage to conquer most of the world.  
Knowing whether or not AI takeoff happens continuously is important for alignment research: A continuous takeoff would allow for more of an attitude of ""dealing with things as they come up"" and we shoul"&amp;"d shift our focus on specific aspects that are hard to deal with as they come up. If the takeoff is not continuous, an agent might rapidly gain capabilities relative to the rest of civilization and it becomes important to rule out problems, long before th"&amp;"ey come up.")</f>
        <v>This post attempts to clarify the author's notion of continuous AI takeoff, defined as the growth of future AI capabilities being in line with extrapolation from current trends. In particular, that means that no AI project is going to bring sudden large gains in capabilities compared to its predecessors. 
Such a continuous takeoff does not necessarily have to be slow. For example, generative adversarial networks have become better quite rapidly during the last five years, but progress has still been piecemeal. Furthermore, exponential gains, for example due to recursive self-improvement, can be consistent with a continuous takeoff, as long as the gains from one iteration of the improvement process are modest. However, this means that a continuous takeoff does not preclude large power differentials from arising: slight advantages can compound over time and actors might use their lead in AI development to their strategic advantage even absent discontinuous progress, much like western Europe used its technological advantage to conquer most of the world.  
Knowing whether or not AI takeoff happens continuously is important for alignment research: A continuous takeoff would allow for more of an attitude of "dealing with things as they come up" and we should shift our focus on specific aspects that are hard to deal with as they come up. If the takeoff is not continuous, an agent might rapidly gain capabilities relative to the rest of civilization and it becomes important to rule out problems, long before they come up.</v>
      </c>
      <c r="K1173" t="str">
        <f>IFERROR(__xludf.DUMMYFUNCTION("""COMPUTED_VALUE"""),"I believe that it is quite important to be aware of the implications that different forms of takeoff should have on our prioritization and am glad that the article highlights this. However, I am a bit worried that this very broad definition of continuous "&amp;"progress limits the usefulness of the concept. For example, it seems plausible that a recursively self-improving agent which is very hard to deal with once deployed still improves its capabilities slow enough to fit the definition, especially if its devel"&amp;"oper has a significant lead over others.")</f>
        <v>I believe that it is quite important to be aware of the implications that different forms of takeoff should have on our prioritization and am glad that the article highlights this. However, I am a bit worried that this very broad definition of continuous progress limits the usefulness of the concept. For example, it seems plausible that a recursively self-improving agent which is very hard to deal with once deployed still improves its capabilities slow enough to fit the definition, especially if its developer has a significant lead over others.</v>
      </c>
    </row>
    <row r="1174">
      <c r="A1174" t="str">
        <f>IFERROR(__xludf.DUMMYFUNCTION("""COMPUTED_VALUE"""),"Miscellaneous (Alignment)")</f>
        <v>Miscellaneous (Alignment)</v>
      </c>
      <c r="B1174" t="str">
        <f>IFERROR(__xludf.DUMMYFUNCTION("""COMPUTED_VALUE"""),"")</f>
        <v/>
      </c>
      <c r="C1174" s="3" t="str">
        <f>IFERROR(__xludf.DUMMYFUNCTION("""COMPUTED_VALUE"""),"Vox interview with Stuart Russell")</f>
        <v>Vox interview with Stuart Russell</v>
      </c>
      <c r="D1174" t="str">
        <f>IFERROR(__xludf.DUMMYFUNCTION("""COMPUTED_VALUE"""),"Kelsey Piper")</f>
        <v>Kelsey Piper</v>
      </c>
      <c r="E1174" t="str">
        <f>IFERROR(__xludf.DUMMYFUNCTION("""COMPUTED_VALUE"""),"Vox")</f>
        <v>Vox</v>
      </c>
      <c r="F1174">
        <f>IFERROR(__xludf.DUMMYFUNCTION("""COMPUTED_VALUE"""),2019.0)</f>
        <v>2019</v>
      </c>
      <c r="H1174" s="3" t="str">
        <f>IFERROR(__xludf.DUMMYFUNCTION("""COMPUTED_VALUE"""),"AN #71")</f>
        <v>AN #71</v>
      </c>
      <c r="I1174" t="str">
        <f>IFERROR(__xludf.DUMMYFUNCTION("""COMPUTED_VALUE"""),"Rohin")</f>
        <v>Rohin</v>
      </c>
      <c r="J1174" t="str">
        <f>IFERROR(__xludf.DUMMYFUNCTION("""COMPUTED_VALUE"""),"Kelsey talked with Stuart Russell about his new book, &lt;@Human Compatible@&gt;(@Human Compatible: Artificial Intelligence and the Problem of Control@).")</f>
        <v>Kelsey talked with Stuart Russell about his new book, &lt;@Human Compatible@&gt;(@Human Compatible: Artificial Intelligence and the Problem of Control@).</v>
      </c>
    </row>
    <row r="1175">
      <c r="A1175" t="str">
        <f>IFERROR(__xludf.DUMMYFUNCTION("""COMPUTED_VALUE"""),"Miscellaneous (Alignment)")</f>
        <v>Miscellaneous (Alignment)</v>
      </c>
      <c r="B1175" t="str">
        <f>IFERROR(__xludf.DUMMYFUNCTION("""COMPUTED_VALUE"""),"")</f>
        <v/>
      </c>
      <c r="C1175" s="3" t="str">
        <f>IFERROR(__xludf.DUMMYFUNCTION("""COMPUTED_VALUE"""),"What You See Isn't Always What You Want")</f>
        <v>What You See Isn't Always What You Want</v>
      </c>
      <c r="D1175" t="str">
        <f>IFERROR(__xludf.DUMMYFUNCTION("""COMPUTED_VALUE"""),"Alex Turner")</f>
        <v>Alex Turner</v>
      </c>
      <c r="E1175" t="str">
        <f>IFERROR(__xludf.DUMMYFUNCTION("""COMPUTED_VALUE"""),"Alignment Forum")</f>
        <v>Alignment Forum</v>
      </c>
      <c r="F1175">
        <f>IFERROR(__xludf.DUMMYFUNCTION("""COMPUTED_VALUE"""),2019.0)</f>
        <v>2019</v>
      </c>
      <c r="H1175" s="3" t="str">
        <f>IFERROR(__xludf.DUMMYFUNCTION("""COMPUTED_VALUE"""),"AN #68")</f>
        <v>AN #68</v>
      </c>
      <c r="I1175" t="str">
        <f>IFERROR(__xludf.DUMMYFUNCTION("""COMPUTED_VALUE"""),"Rohin")</f>
        <v>Rohin</v>
      </c>
      <c r="J1175" t="str">
        <f>IFERROR(__xludf.DUMMYFUNCTION("""COMPUTED_VALUE"""),"This post makes the point that for Markovian reward functions on _observations_, since any given observation can correspond to multiple underlying states, we cannot know just by analyzing the reward function whether it actually leads to good behavior: it "&amp;"also depends on the environment. For example, suppose we want an agent to collect all of the blue blocks in a room together. We might simply reward it for having blue in its observations: this might work great if the agent only has the ability to pick up "&amp;"and move blocks, but won't work well if the agent has a paintbrush and blue paint. This makes the reward designer's job much more difficult. However, the designer could use techniques that don't require a reward on individual observations, such as rewards"&amp;" that can depend on the agent's internal cognition (as in iterated amplification), or rewards that can depend on histories (as in [Deep RL from Human Preferences](https://deepmind.com/blog/learning-through-human-feedback/)).")</f>
        <v>This post makes the point that for Markovian reward functions on _observations_, since any given observation can correspond to multiple underlying states, we cannot know just by analyzing the reward function whether it actually leads to good behavior: it also depends on the environment. For example, suppose we want an agent to collect all of the blue blocks in a room together. We might simply reward it for having blue in its observations: this might work great if the agent only has the ability to pick up and move blocks, but won't work well if the agent has a paintbrush and blue paint. This makes the reward designer's job much more difficult. However, the designer could use techniques that don't require a reward on individual observations, such as rewards that can depend on the agent's internal cognition (as in iterated amplification), or rewards that can depend on histories (as in [Deep RL from Human Preferences](https://deepmind.com/blog/learning-through-human-feedback/)).</v>
      </c>
      <c r="K1175" t="str">
        <f>IFERROR(__xludf.DUMMYFUNCTION("""COMPUTED_VALUE"""),"I certainly agree that we want to avoid reward functions defined on observations, and this is one reason why. It seems like a more general version of the wireheading argument to me, and applies even if you think that the AI won't be able to wirehead, as l"&amp;"ong as it is capable enough to find other plans for getting high reward besides the one the designer intended.")</f>
        <v>I certainly agree that we want to avoid reward functions defined on observations, and this is one reason why. It seems like a more general version of the wireheading argument to me, and applies even if you think that the AI won't be able to wirehead, as long as it is capable enough to find other plans for getting high reward besides the one the designer intended.</v>
      </c>
    </row>
    <row r="1176">
      <c r="A1176" t="str">
        <f>IFERROR(__xludf.DUMMYFUNCTION("""COMPUTED_VALUE"""),"Miscellaneous (Alignment)")</f>
        <v>Miscellaneous (Alignment)</v>
      </c>
      <c r="B1176" t="str">
        <f>IFERROR(__xludf.DUMMYFUNCTION("""COMPUTED_VALUE"""),"")</f>
        <v/>
      </c>
      <c r="C1176" s="3" t="str">
        <f>IFERROR(__xludf.DUMMYFUNCTION("""COMPUTED_VALUE"""),"The strategy-stealing assumption")</f>
        <v>The strategy-stealing assumption</v>
      </c>
      <c r="D1176" t="str">
        <f>IFERROR(__xludf.DUMMYFUNCTION("""COMPUTED_VALUE"""),"Paul Christiano")</f>
        <v>Paul Christiano</v>
      </c>
      <c r="E1176" t="str">
        <f>IFERROR(__xludf.DUMMYFUNCTION("""COMPUTED_VALUE"""),"Alignment Forum")</f>
        <v>Alignment Forum</v>
      </c>
      <c r="F1176">
        <f>IFERROR(__xludf.DUMMYFUNCTION("""COMPUTED_VALUE"""),2019.0)</f>
        <v>2019</v>
      </c>
      <c r="H1176" s="3" t="str">
        <f>IFERROR(__xludf.DUMMYFUNCTION("""COMPUTED_VALUE"""),"AN #65")</f>
        <v>AN #65</v>
      </c>
      <c r="I1176" t="str">
        <f>IFERROR(__xludf.DUMMYFUNCTION("""COMPUTED_VALUE"""),"Rohin")</f>
        <v>Rohin</v>
      </c>
      <c r="J1176" t="str">
        <f>IFERROR(__xludf.DUMMYFUNCTION("""COMPUTED_VALUE"""),"We often talk about aligning AIs in a way that is _competitive_ with unaligned AIs. However, you might think that we need them to be _better_: after all, unaligned AIs only have to pursue one particular goal, whereas aligned AIs have to deal with the fact"&amp;" that we don't yet know what we want. We might hope that regardless of what goal the unaligned AI has, any strategy it uses to achieve that goal can be turned into a strategy for acquiring _flexible_ influence (i.e. influence useful for many goals). In th"&amp;"at case, **as long as we control a majority of resources**, we can use any strategies that the unaligned AIs can use. For example, if we control 99% of the resources and unaligned AI controls 1%, then at the very least we can split up into 99 ""coalitions"&amp;""" that each control 1% of resources and use the same strategy as the unaligned AI to acquire flexible influence, and this should lead to us obtaining 99% of the resources in expectation. In practice, we could do even better, e.g. by coordinating to shut "&amp;"down any unaligned AI systems.
The premise that we can use the same strategy as the unaligned AI, despite the fact that we need _flexible_ influence, is called the **strategy-stealing assumption**. Solving the alignment problem is critical to strategy-st"&amp;"ealing -- otherwise, unaligned AI would have an advantage at thinking that we could not steal and the strategy-stealing assumption would break down. This post discusses **ten other ways that the strategy-stealing assumption could fail**. For example, the "&amp;"unaligned AI could pursue a strategy that involves threatening to kill humans, and we might not be able to use a similar strategy in response because the unaligned AI might not be as fragile as we are.")</f>
        <v>We often talk about aligning AIs in a way that is _competitive_ with unaligned AIs. However, you might think that we need them to be _better_: after all, unaligned AIs only have to pursue one particular goal, whereas aligned AIs have to deal with the fact that we don't yet know what we want. We might hope that regardless of what goal the unaligned AI has, any strategy it uses to achieve that goal can be turned into a strategy for acquiring _flexible_ influence (i.e. influence useful for many goals). In that case, **as long as we control a majority of resources**, we can use any strategies that the unaligned AIs can use. For example, if we control 99% of the resources and unaligned AI controls 1%, then at the very least we can split up into 99 "coalitions" that each control 1% of resources and use the same strategy as the unaligned AI to acquire flexible influence, and this should lead to us obtaining 99% of the resources in expectation. In practice, we could do even better, e.g. by coordinating to shut down any unaligned AI systems.
The premise that we can use the same strategy as the unaligned AI, despite the fact that we need _flexible_ influence, is called the **strategy-stealing assumption**. Solving the alignment problem is critical to strategy-stealing -- otherwise, unaligned AI would have an advantage at thinking that we could not steal and the strategy-stealing assumption would break down. This post discusses **ten other ways that the strategy-stealing assumption could fail**. For example, the unaligned AI could pursue a strategy that involves threatening to kill humans, and we might not be able to use a similar strategy in response because the unaligned AI might not be as fragile as we are.</v>
      </c>
      <c r="K1176" t="str">
        <f>IFERROR(__xludf.DUMMYFUNCTION("""COMPUTED_VALUE"""),"It does seem to me that if we're in a situation where we have solved the alignment problem, we control 99% of resources, and we aren't infighting amongst each other, we will likely continue to control at least 99% of the resources in the future. I'm a lit"&amp;"tle confused about how we get to this situation though -- the scenarios I usually worry about are the ones in which we fail to solve the alignment problem, but still deploy unaligned AIs, and in these scenarios I'd expect unaligned AIs to get the majority"&amp;" of the resources. I suppose in a multipolar setting with continuous takeoff, if we have mostly solved the alignment problem but still accidentally create unaligned AIs (or some malicious actors create them deliberately), then this setting where we contro"&amp;"l 99% of the resources could arise.")</f>
        <v>It does seem to me that if we're in a situation where we have solved the alignment problem, we control 99% of resources, and we aren't infighting amongst each other, we will likely continue to control at least 99% of the resources in the future. I'm a little confused about how we get to this situation though -- the scenarios I usually worry about are the ones in which we fail to solve the alignment problem, but still deploy unaligned AIs, and in these scenarios I'd expect unaligned AIs to get the majority of the resources. I suppose in a multipolar setting with continuous takeoff, if we have mostly solved the alignment problem but still accidentally create unaligned AIs (or some malicious actors create them deliberately), then this setting where we control 99% of the resources could arise.</v>
      </c>
    </row>
    <row r="1177">
      <c r="A1177" t="str">
        <f>IFERROR(__xludf.DUMMYFUNCTION("""COMPUTED_VALUE"""),"Miscellaneous (Alignment)")</f>
        <v>Miscellaneous (Alignment)</v>
      </c>
      <c r="B1177" t="str">
        <f>IFERROR(__xludf.DUMMYFUNCTION("""COMPUTED_VALUE"""),"")</f>
        <v/>
      </c>
      <c r="C1177" s="3" t="str">
        <f>IFERROR(__xludf.DUMMYFUNCTION("""COMPUTED_VALUE"""),"Modeling AGI Safety Frameworks with Causal Influence Diagrams")</f>
        <v>Modeling AGI Safety Frameworks with Causal Influence Diagrams</v>
      </c>
      <c r="D1177" t="str">
        <f>IFERROR(__xludf.DUMMYFUNCTION("""COMPUTED_VALUE"""),"Tom Everitt*, Ramana Kumar*, Victoria Krakovna*, Shane Legg")</f>
        <v>Tom Everitt*, Ramana Kumar*, Victoria Krakovna*, Shane Legg</v>
      </c>
      <c r="E1177" t="str">
        <f>IFERROR(__xludf.DUMMYFUNCTION("""COMPUTED_VALUE"""),"arXiv")</f>
        <v>arXiv</v>
      </c>
      <c r="F1177">
        <f>IFERROR(__xludf.DUMMYFUNCTION("""COMPUTED_VALUE"""),2019.0)</f>
        <v>2019</v>
      </c>
      <c r="H1177" s="3" t="str">
        <f>IFERROR(__xludf.DUMMYFUNCTION("""COMPUTED_VALUE"""),"AN #61")</f>
        <v>AN #61</v>
      </c>
      <c r="I1177" t="str">
        <f>IFERROR(__xludf.DUMMYFUNCTION("""COMPUTED_VALUE"""),"Rohin")</f>
        <v>Rohin</v>
      </c>
      <c r="J1177" t="str">
        <f>IFERROR(__xludf.DUMMYFUNCTION("""COMPUTED_VALUE"""),"This paper describes several AI safety frameworks using the language of &lt;@causal influence diagrams@&gt;(@Understanding Agent Incentives with Causal Influence Diagrams@), in order to make it easy to compare and contrast them. For example, the diagrams make i"&amp;"t clear that while [Cooperative IRL](https://arxiv.org/abs/1606.03137) and &lt;@reward modeling@&gt;(@Scalable agent alignment via reward modeling@) are very similar, there are significant differences: in cooperative IRL, the rewards come directly from the unde"&amp;"rlying human preferences, whereas in reward modeling, the rewards come from a reward model that depends on human feedback, which itself depends on the underlying human preferences.")</f>
        <v>This paper describes several AI safety frameworks using the language of &lt;@causal influence diagrams@&gt;(@Understanding Agent Incentives with Causal Influence Diagrams@), in order to make it easy to compare and contrast them. For example, the diagrams make it clear that while [Cooperative IRL](https://arxiv.org/abs/1606.03137) and &lt;@reward modeling@&gt;(@Scalable agent alignment via reward modeling@) are very similar, there are significant differences: in cooperative IRL, the rewards come directly from the underlying human preferences, whereas in reward modeling, the rewards come from a reward model that depends on human feedback, which itself depends on the underlying human preferences.</v>
      </c>
      <c r="K1177" t="str">
        <f>IFERROR(__xludf.DUMMYFUNCTION("""COMPUTED_VALUE"""),"I like these diagrams as a way to demonstrate the basics of what's going on in various AI safety frameworks. Sometimes the diagrams can also show the differences in safety features of frameworks. For example, in reward modeling, the agent has an incentive"&amp;" to affect the human feedback in order to affect the reward model directly. (Imagine getting the human hooked on heroin, so that future feedback causes the reward model to reward heroin, which could be easy to produce.) On the other hand, in cooperative I"&amp;"RL, the agent only wants to affect the human actions inasmuch as the actions affect the state, which is a normal or allowed incentive. (Imagine the agent causing the human to leave their house earlier so that they get to their meeting on time.)")</f>
        <v>I like these diagrams as a way to demonstrate the basics of what's going on in various AI safety frameworks. Sometimes the diagrams can also show the differences in safety features of frameworks. For example, in reward modeling, the agent has an incentive to affect the human feedback in order to affect the reward model directly. (Imagine getting the human hooked on heroin, so that future feedback causes the reward model to reward heroin, which could be easy to produce.) On the other hand, in cooperative IRL, the agent only wants to affect the human actions inasmuch as the actions affect the state, which is a normal or allowed incentive. (Imagine the agent causing the human to leave their house earlier so that they get to their meeting on time.)</v>
      </c>
    </row>
    <row r="1178">
      <c r="A1178" t="str">
        <f>IFERROR(__xludf.DUMMYFUNCTION("""COMPUTED_VALUE"""),"Miscellaneous (Alignment)")</f>
        <v>Miscellaneous (Alignment)</v>
      </c>
      <c r="B1178" t="str">
        <f>IFERROR(__xludf.DUMMYFUNCTION("""COMPUTED_VALUE"""),"")</f>
        <v/>
      </c>
      <c r="C1178" s="3" t="str">
        <f>IFERROR(__xludf.DUMMYFUNCTION("""COMPUTED_VALUE"""),"Open question: are minimal circuits daemon-free?")</f>
        <v>Open question: are minimal circuits daemon-free?</v>
      </c>
      <c r="D1178" t="str">
        <f>IFERROR(__xludf.DUMMYFUNCTION("""COMPUTED_VALUE"""),"Paul Christiano")</f>
        <v>Paul Christiano</v>
      </c>
      <c r="E1178" t="str">
        <f>IFERROR(__xludf.DUMMYFUNCTION("""COMPUTED_VALUE"""),"LessWrong")</f>
        <v>LessWrong</v>
      </c>
      <c r="F1178">
        <f>IFERROR(__xludf.DUMMYFUNCTION("""COMPUTED_VALUE"""),2018.0)</f>
        <v>2018</v>
      </c>
      <c r="H1178" s="3" t="str">
        <f>IFERROR(__xludf.DUMMYFUNCTION("""COMPUTED_VALUE"""),"AN #6")</f>
        <v>AN #6</v>
      </c>
      <c r="I1178" t="str">
        <f>IFERROR(__xludf.DUMMYFUNCTION("""COMPUTED_VALUE"""),"Rohin")</f>
        <v>Rohin</v>
      </c>
      <c r="J1178" t="str">
        <f>IFERROR(__xludf.DUMMYFUNCTION("""COMPUTED_VALUE"""),"One issue that may arise with an advanced AI agent is that during training we may end up with a part of the AI system developing into a ""daemon"" -- a consequentialist agent that is optimizing a different goal. This goal may useful as a subcomponent for "&amp;"our AI, but the daemon may grow in power and end up causing the system to optimize for the subgoal. This could lead to catastrophic outcomes, _even if_ we have specified a reward function that encodes human values to the top-level AI.
In this post, Paul "&amp;"suggests that these issues would likely go away if we choose the _fastest_ program to solve our subgoal. Intuitively, for any daemon that arises as a solution to our problem, for it to cause a bad outcome it must be carrying out complicated reasoning to f"&amp;"igure out whether or not to solve the problem honestly or to try to mislead us, and so we could get a faster program by just not doing that part of the computation. He proposes a particular formalization and poses it as an open question -- if we always ch"&amp;"oose the minimal (in size) boolean circuit that solves our problem, can a daemon ever arise?")</f>
        <v>One issue that may arise with an advanced AI agent is that during training we may end up with a part of the AI system developing into a "daemon" -- a consequentialist agent that is optimizing a different goal. This goal may useful as a subcomponent for our AI, but the daemon may grow in power and end up causing the system to optimize for the subgoal. This could lead to catastrophic outcomes, _even if_ we have specified a reward function that encodes human values to the top-level AI.
In this post, Paul suggests that these issues would likely go away if we choose the _fastest_ program to solve our subgoal. Intuitively, for any daemon that arises as a solution to our problem, for it to cause a bad outcome it must be carrying out complicated reasoning to figure out whether or not to solve the problem honestly or to try to mislead us, and so we could get a faster program by just not doing that part of the computation. He proposes a particular formalization and poses it as an open question -- if we always choose the minimal (in size) boolean circuit that solves our problem, can a daemon ever arise?</v>
      </c>
      <c r="K1178" t="str">
        <f>IFERROR(__xludf.DUMMYFUNCTION("""COMPUTED_VALUE"""),"I still don't know what to think about daemons -- they do seem to be a problem in Solomonoff induction, but they seem unlikely to arise in the kinds of neural nets we have today (but could arise in larger ones). I would love to see more clarity around dae"&amp;"mons, especially since the vast majority of current research would not solve this problem, since it is a problem with the training _process_ and not the training _signal_.")</f>
        <v>I still don't know what to think about daemons -- they do seem to be a problem in Solomonoff induction, but they seem unlikely to arise in the kinds of neural nets we have today (but could arise in larger ones). I would love to see more clarity around daemons, especially since the vast majority of current research would not solve this problem, since it is a problem with the training _process_ and not the training _signal_.</v>
      </c>
      <c r="L1178" s="3" t="str">
        <f>IFERROR(__xludf.DUMMYFUNCTION("""COMPUTED_VALUE"""),"Optimization daemons")</f>
        <v>Optimization daemons</v>
      </c>
    </row>
    <row r="1179">
      <c r="A1179" t="str">
        <f>IFERROR(__xludf.DUMMYFUNCTION("""COMPUTED_VALUE"""),"Miscellaneous (Alignment)")</f>
        <v>Miscellaneous (Alignment)</v>
      </c>
      <c r="B1179" t="str">
        <f>IFERROR(__xludf.DUMMYFUNCTION("""COMPUTED_VALUE"""),"")</f>
        <v/>
      </c>
      <c r="C1179" s="3" t="str">
        <f>IFERROR(__xludf.DUMMYFUNCTION("""COMPUTED_VALUE"""),"Coherent behaviour in the real world is an incoherent concept")</f>
        <v>Coherent behaviour in the real world is an incoherent concept</v>
      </c>
      <c r="D1179" t="str">
        <f>IFERROR(__xludf.DUMMYFUNCTION("""COMPUTED_VALUE"""),"Richard Ngo")</f>
        <v>Richard Ngo</v>
      </c>
      <c r="E1179" t="str">
        <f>IFERROR(__xludf.DUMMYFUNCTION("""COMPUTED_VALUE"""),"Alignment Forum")</f>
        <v>Alignment Forum</v>
      </c>
      <c r="F1179">
        <f>IFERROR(__xludf.DUMMYFUNCTION("""COMPUTED_VALUE"""),2019.0)</f>
        <v>2019</v>
      </c>
      <c r="H1179" s="3" t="str">
        <f>IFERROR(__xludf.DUMMYFUNCTION("""COMPUTED_VALUE"""),"AN #52")</f>
        <v>AN #52</v>
      </c>
      <c r="I1179" t="str">
        <f>IFERROR(__xludf.DUMMYFUNCTION("""COMPUTED_VALUE"""),"Rohin")</f>
        <v>Rohin</v>
      </c>
      <c r="J1179" t="str">
        <f>IFERROR(__xludf.DUMMYFUNCTION("""COMPUTED_VALUE"""),"In a &lt;@previous post@&gt;(@Coherence arguments do not imply goal-directed behavior@), I argued that coherence arguments (such as those based on VNM rationality) do not constrain the behavior of an intelligent agent. In this post, Richard delves further into "&amp;"the argument, and considers other ways that we could draw implications from coherence arguments.
I modeled the agent as having preferences over full trajectories, and objected that if you only look at _observed_ behavior (rather than _hypothetical_ behav"&amp;"ior), you can always construct a utility function such that the observed behavior optimizes that utility function. Richard agrees that this objection is strong, but looks at another case: when the agent has preferences over states at a single point in tim"&amp;"e. This case leads to other objections. First, many reasonable preferences cannot be modeled via a reward function over states, such as the preference to sing a great song perfectly. Second, in the real world you are never in the same state more than once"&amp;", since at the very least your memories will change, and so you can never infer a coherence violation by looking at observed behavior.
He also identifies further problems with applying coherence arguments to realistic agents. First, all behavior is optim"&amp;"al for the constant zero reward function. Second, any real agent will not have full information about the world, and will have to have beliefs over the world. Any definition of coherence will have to allow for multiple beliefs -- but if you allow all beli"&amp;"efs, then you can rationalize any behavior as based on some weird belief that the agent has. If you require the agent to be Bayesian, you can still rationalize any behavior by choosing a prior appropriately.")</f>
        <v>In a &lt;@previous post@&gt;(@Coherence arguments do not imply goal-directed behavior@), I argued that coherence arguments (such as those based on VNM rationality) do not constrain the behavior of an intelligent agent. In this post, Richard delves further into the argument, and considers other ways that we could draw implications from coherence arguments.
I modeled the agent as having preferences over full trajectories, and objected that if you only look at _observed_ behavior (rather than _hypothetical_ behavior), you can always construct a utility function such that the observed behavior optimizes that utility function. Richard agrees that this objection is strong, but looks at another case: when the agent has preferences over states at a single point in time. This case leads to other objections. First, many reasonable preferences cannot be modeled via a reward function over states, such as the preference to sing a great song perfectly. Second, in the real world you are never in the same state more than once, since at the very least your memories will change, and so you can never infer a coherence violation by looking at observed behavior.
He also identifies further problems with applying coherence arguments to realistic agents. First, all behavior is optimal for the constant zero reward function. Second, any real agent will not have full information about the world, and will have to have beliefs over the world. Any definition of coherence will have to allow for multiple beliefs -- but if you allow all beliefs, then you can rationalize any behavior as based on some weird belief that the agent has. If you require the agent to be Bayesian, you can still rationalize any behavior by choosing a prior appropriately.</v>
      </c>
      <c r="K1179" t="str">
        <f>IFERROR(__xludf.DUMMYFUNCTION("""COMPUTED_VALUE"""),"I reject modeling agents as having preferences over states primarily for the first reason that Richard identified: there are many ""reasonable"" preferences that cannot be modeled with a reward function solely on states. However, I don't find the argument"&amp;" about beliefs as a free variable very convincing: I think it's reasonable to argue that a superintelligent AI system will on average have much better beliefs than us, and so anything that we could determine as a coherence violation with high confidence s"&amp;"hould be something the AI system can also determine as a coherence violation with high confidence.")</f>
        <v>I reject modeling agents as having preferences over states primarily for the first reason that Richard identified: there are many "reasonable" preferences that cannot be modeled with a reward function solely on states. However, I don't find the argument about beliefs as a free variable very convincing: I think it's reasonable to argue that a superintelligent AI system will on average have much better beliefs than us, and so anything that we could determine as a coherence violation with high confidence should be something the AI system can also determine as a coherence violation with high confidence.</v>
      </c>
    </row>
    <row r="1180">
      <c r="A1180" t="str">
        <f>IFERROR(__xludf.DUMMYFUNCTION("""COMPUTED_VALUE"""),"Miscellaneous (Alignment)")</f>
        <v>Miscellaneous (Alignment)</v>
      </c>
      <c r="B1180" t="str">
        <f>IFERROR(__xludf.DUMMYFUNCTION("""COMPUTED_VALUE"""),"")</f>
        <v/>
      </c>
      <c r="C1180" s="3" t="str">
        <f>IFERROR(__xludf.DUMMYFUNCTION("""COMPUTED_VALUE"""),"Partial preferences needed; partial preferences sufficient")</f>
        <v>Partial preferences needed; partial preferences sufficient</v>
      </c>
      <c r="D1180" t="str">
        <f>IFERROR(__xludf.DUMMYFUNCTION("""COMPUTED_VALUE"""),"Stuart Armstrong")</f>
        <v>Stuart Armstrong</v>
      </c>
      <c r="E1180" t="str">
        <f>IFERROR(__xludf.DUMMYFUNCTION("""COMPUTED_VALUE"""),"Alignment Forum")</f>
        <v>Alignment Forum</v>
      </c>
      <c r="F1180">
        <f>IFERROR(__xludf.DUMMYFUNCTION("""COMPUTED_VALUE"""),2019.0)</f>
        <v>2019</v>
      </c>
      <c r="H1180" s="3" t="str">
        <f>IFERROR(__xludf.DUMMYFUNCTION("""COMPUTED_VALUE"""),"AN #49")</f>
        <v>AN #49</v>
      </c>
      <c r="I1180" t="str">
        <f>IFERROR(__xludf.DUMMYFUNCTION("""COMPUTED_VALUE"""),"Rohin")</f>
        <v>Rohin</v>
      </c>
      <c r="J1180" t="str">
        <f>IFERROR(__xludf.DUMMYFUNCTION("""COMPUTED_VALUE"""),"I'm not sure I fully understand this post, but my understanding is that it is saying that alignment proposals must rely on some information about human preferences. Proposals like impact measures and corrigibility try to formalize a property that will lea"&amp;"d to good outcomes; but any such formalization will be denoting some policies as safe and some as dangerous, and there will always exist a utility function according to which the ""safe"" policies are catastrophic. Thus, you need to also define a utility "&amp;"function (or a class of them?) that safety is computed with respect to; and designing this is particularly difficult.")</f>
        <v>I'm not sure I fully understand this post, but my understanding is that it is saying that alignment proposals must rely on some information about human preferences. Proposals like impact measures and corrigibility try to formalize a property that will lead to good outcomes; but any such formalization will be denoting some policies as safe and some as dangerous, and there will always exist a utility function according to which the "safe" policies are catastrophic. Thus, you need to also define a utility function (or a class of them?) that safety is computed with respect to; and designing this is particularly difficult.</v>
      </c>
      <c r="K1180" t="str">
        <f>IFERROR(__xludf.DUMMYFUNCTION("""COMPUTED_VALUE"""),"This seems very similar to the problem I have with impact measures, but I wouldn't apply that argument to corrigibility. I think the difference might be that I'm thinking of ""natural"" things that agents might want, whereas Stuart is considering the enti"&amp;"re space of possible utility functions. I'm not sure what drives this difference.")</f>
        <v>This seems very similar to the problem I have with impact measures, but I wouldn't apply that argument to corrigibility. I think the difference might be that I'm thinking of "natural" things that agents might want, whereas Stuart is considering the entire space of possible utility functions. I'm not sure what drives this difference.</v>
      </c>
    </row>
    <row r="1181">
      <c r="A1181" t="str">
        <f>IFERROR(__xludf.DUMMYFUNCTION("""COMPUTED_VALUE"""),"Miscellaneous (Alignment)")</f>
        <v>Miscellaneous (Alignment)</v>
      </c>
      <c r="B1181" t="str">
        <f>IFERROR(__xludf.DUMMYFUNCTION("""COMPUTED_VALUE"""),"")</f>
        <v/>
      </c>
      <c r="C1181" s="3" t="str">
        <f>IFERROR(__xludf.DUMMYFUNCTION("""COMPUTED_VALUE"""),"Three Biases That Made Me Believe in AI Risk")</f>
        <v>Three Biases That Made Me Believe in AI Risk</v>
      </c>
      <c r="D1181" t="str">
        <f>IFERROR(__xludf.DUMMYFUNCTION("""COMPUTED_VALUE"""),"beth")</f>
        <v>beth</v>
      </c>
      <c r="E1181" t="str">
        <f>IFERROR(__xludf.DUMMYFUNCTION("""COMPUTED_VALUE"""),"EA Forum")</f>
        <v>EA Forum</v>
      </c>
      <c r="F1181">
        <f>IFERROR(__xludf.DUMMYFUNCTION("""COMPUTED_VALUE"""),2019.0)</f>
        <v>2019</v>
      </c>
      <c r="H1181" s="3" t="str">
        <f>IFERROR(__xludf.DUMMYFUNCTION("""COMPUTED_VALUE"""),"AN #46")</f>
        <v>AN #46</v>
      </c>
      <c r="I1181" t="str">
        <f>IFERROR(__xludf.DUMMYFUNCTION("""COMPUTED_VALUE"""),"Richard")</f>
        <v>Richard</v>
      </c>
      <c r="J1181" t="str">
        <f>IFERROR(__xludf.DUMMYFUNCTION("""COMPUTED_VALUE"""),"Beth (not to be confused with AI safety researcher Beth Barnes) argues firstly that the language we use overly anthropomorphises AI, which leads to an exaggerated perception of risks; secondly, that the sense of meaning that working on AI safety provides "&amp;"causes motivated reasoning; and thirdly, that we anchor away from very low numbers (e.g. it seems absurd to assign existential AI risk a probability of 0.0000000000000000000000000000001, since that has so many zeros! Yet Beth thinks this number significan"&amp;"tly overestimates the risk.)")</f>
        <v>Beth (not to be confused with AI safety researcher Beth Barnes) argues firstly that the language we use overly anthropomorphises AI, which leads to an exaggerated perception of risks; secondly, that the sense of meaning that working on AI safety provides causes motivated reasoning; and thirdly, that we anchor away from very low numbers (e.g. it seems absurd to assign existential AI risk a probability of 0.0000000000000000000000000000001, since that has so many zeros! Yet Beth thinks this number significantly overestimates the risk.)</v>
      </c>
      <c r="K1181" t="str">
        <f>IFERROR(__xludf.DUMMYFUNCTION("""COMPUTED_VALUE"""),"I'm glad to see this sort of discussion taking place - however, I disagree quite strongly with arguments 1 and 3. On 1: it's true that for current systems, it's often better to describe them without assigning them agency, but only because they're still ve"&amp;"ry simple compared with humans (or smart animals). Whether or not it will be appropriate to consider advanced AI to have intentions and goals is a complex question - I think there are strong arguments for that claim. On 3: I think that it's very reasonabl"&amp;"e to shy away from very small probabilities without overwhelming amounts of evidence, to counteract standard human overconfidence. Beth's alternative of reasoning using bits of evidence seems like it would push almost everyone towards unjustifiably strong"&amp;" conclusions on most questions, as it does for her on AI risk.")</f>
        <v>I'm glad to see this sort of discussion taking place - however, I disagree quite strongly with arguments 1 and 3. On 1: it's true that for current systems, it's often better to describe them without assigning them agency, but only because they're still very simple compared with humans (or smart animals). Whether or not it will be appropriate to consider advanced AI to have intentions and goals is a complex question - I think there are strong arguments for that claim. On 3: I think that it's very reasonable to shy away from very small probabilities without overwhelming amounts of evidence, to counteract standard human overconfidence. Beth's alternative of reasoning using bits of evidence seems like it would push almost everyone towards unjustifiably strong conclusions on most questions, as it does for her on AI risk.</v>
      </c>
    </row>
    <row r="1182">
      <c r="A1182" t="str">
        <f>IFERROR(__xludf.DUMMYFUNCTION("""COMPUTED_VALUE"""),"Miscellaneous (Alignment)")</f>
        <v>Miscellaneous (Alignment)</v>
      </c>
      <c r="B1182" t="str">
        <f>IFERROR(__xludf.DUMMYFUNCTION("""COMPUTED_VALUE"""),"")</f>
        <v/>
      </c>
      <c r="C1182" s="3" t="str">
        <f>IFERROR(__xludf.DUMMYFUNCTION("""COMPUTED_VALUE"""),"Value Alignment Map")</f>
        <v>Value Alignment Map</v>
      </c>
      <c r="D1182" t="str">
        <f>IFERROR(__xludf.DUMMYFUNCTION("""COMPUTED_VALUE"""),"FLI")</f>
        <v>FLI</v>
      </c>
      <c r="E1182" t="str">
        <f>IFERROR(__xludf.DUMMYFUNCTION("""COMPUTED_VALUE"""),"FLI Website")</f>
        <v>FLI Website</v>
      </c>
      <c r="H1182" s="3" t="str">
        <f>IFERROR(__xludf.DUMMYFUNCTION("""COMPUTED_VALUE"""),"AN #4")</f>
        <v>AN #4</v>
      </c>
      <c r="I1182" t="str">
        <f>IFERROR(__xludf.DUMMYFUNCTION("""COMPUTED_VALUE"""),"Rohin")</f>
        <v>Rohin</v>
      </c>
      <c r="J1182" t="str">
        <f>IFERROR(__xludf.DUMMYFUNCTION("""COMPUTED_VALUE"""),"This is a gigantic graph of many of the concepts in the AI risk space. Each concept has a description and links to existing literature, and by clicking around in the map I found several interesting links I hadn't seen before.")</f>
        <v>This is a gigantic graph of many of the concepts in the AI risk space. Each concept has a description and links to existing literature, and by clicking around in the map I found several interesting links I hadn't seen before.</v>
      </c>
      <c r="K1182" t="str">
        <f>IFERROR(__xludf.DUMMYFUNCTION("""COMPUTED_VALUE"""),"This map is so large that I can't actually use it to get a birds-eye view of the entire space, but it seems quite useful for looking at a local region and as a starting point to explore one particular aspect more deeply.")</f>
        <v>This map is so large that I can't actually use it to get a birds-eye view of the entire space, but it seems quite useful for looking at a local region and as a starting point to explore one particular aspect more deeply.</v>
      </c>
    </row>
    <row r="1183">
      <c r="A1183" t="str">
        <f>IFERROR(__xludf.DUMMYFUNCTION("""COMPUTED_VALUE"""),"Miscellaneous (Alignment)")</f>
        <v>Miscellaneous (Alignment)</v>
      </c>
      <c r="B1183" t="str">
        <f>IFERROR(__xludf.DUMMYFUNCTION("""COMPUTED_VALUE"""),"")</f>
        <v/>
      </c>
      <c r="C1183" s="3" t="str">
        <f>IFERROR(__xludf.DUMMYFUNCTION("""COMPUTED_VALUE"""),"Existential Risk, Creativity &amp; Well-Adapted Science")</f>
        <v>Existential Risk, Creativity &amp; Well-Adapted Science</v>
      </c>
      <c r="D1183" t="str">
        <f>IFERROR(__xludf.DUMMYFUNCTION("""COMPUTED_VALUE"""),"Adrian Currie")</f>
        <v>Adrian Currie</v>
      </c>
      <c r="E1183" t="str">
        <f>IFERROR(__xludf.DUMMYFUNCTION("""COMPUTED_VALUE"""),"CSER Website")</f>
        <v>CSER Website</v>
      </c>
      <c r="F1183">
        <f>IFERROR(__xludf.DUMMYFUNCTION("""COMPUTED_VALUE"""),2018.0)</f>
        <v>2018</v>
      </c>
      <c r="H1183" s="3" t="str">
        <f>IFERROR(__xludf.DUMMYFUNCTION("""COMPUTED_VALUE"""),"AN #27")</f>
        <v>AN #27</v>
      </c>
      <c r="I1183" t="str">
        <f>IFERROR(__xludf.DUMMYFUNCTION("""COMPUTED_VALUE"""),"Rohin")</f>
        <v>Rohin</v>
      </c>
      <c r="J1183" t="str">
        <f>IFERROR(__xludf.DUMMYFUNCTION("""COMPUTED_VALUE"""),"From a brief skim, it seems like this paper defines ""creativity"" in scientific research, and argues that existential risk research needs to be creative. Research is creative if it is composed of ""hot"" searches, where we jump large distances from one p"&amp;"roposed solution to another, with broad differences between these solutions, as opposed to ""cold"" searches, in which we primarily make incremental improvements, looking over a small set of solutions clustered in the neighborhood of existing solutions. T"&amp;"he paper argues that research on existential risk needs to be creative, because many aspects of such research make it hard to analyze in a traditional way -- we can't perform controlled experiments of extinction, nor of the extreme circumstances under whi"&amp;"ch it is likely; there are many interdependent parts that affect each other (since existential risks typically involve effects on many aspects of society), and there is likely to be a huge amount of uncertainty due to lack of evidence. As a result, we wan"&amp;"t to change the norms around existential risk research from the standard academic norms, which generally incentivize conservatism and ""cold"" searches. Table 1 provides a list of properties of academia that lead to conservatism, and asks that future work"&amp;" think about how we could mitigate these.")</f>
        <v>From a brief skim, it seems like this paper defines "creativity" in scientific research, and argues that existential risk research needs to be creative. Research is creative if it is composed of "hot" searches, where we jump large distances from one proposed solution to another, with broad differences between these solutions, as opposed to "cold" searches, in which we primarily make incremental improvements, looking over a small set of solutions clustered in the neighborhood of existing solutions. The paper argues that research on existential risk needs to be creative, because many aspects of such research make it hard to analyze in a traditional way -- we can't perform controlled experiments of extinction, nor of the extreme circumstances under which it is likely; there are many interdependent parts that affect each other (since existential risks typically involve effects on many aspects of society), and there is likely to be a huge amount of uncertainty due to lack of evidence. As a result, we want to change the norms around existential risk research from the standard academic norms, which generally incentivize conservatism and "cold" searches. Table 1 provides a list of properties of academia that lead to conservatism, and asks that future work think about how we could mitigate these.</v>
      </c>
      <c r="K1183" t="str">
        <f>IFERROR(__xludf.DUMMYFUNCTION("""COMPUTED_VALUE"""),"While I'm not sure I agree with the reasons in this paper, I do think we need creativity and ""hot"" searches in technical AI safety, simply based on the level of confusion and uncertainty that we (or at least I) have currently. The properties in Table 1 "&amp;"seem particularly good as an initial list of things to target if we want to make creative research more likely.")</f>
        <v>While I'm not sure I agree with the reasons in this paper, I do think we need creativity and "hot" searches in technical AI safety, simply based on the level of confusion and uncertainty that we (or at least I) have currently. The properties in Table 1 seem particularly good as an initial list of things to target if we want to make creative research more likely.</v>
      </c>
    </row>
    <row r="1184">
      <c r="A1184" t="str">
        <f>IFERROR(__xludf.DUMMYFUNCTION("""COMPUTED_VALUE"""),"Miscellaneous (Alignment)")</f>
        <v>Miscellaneous (Alignment)</v>
      </c>
      <c r="B1184" t="str">
        <f>IFERROR(__xludf.DUMMYFUNCTION("""COMPUTED_VALUE"""),"")</f>
        <v/>
      </c>
      <c r="C1184" s="3" t="str">
        <f>IFERROR(__xludf.DUMMYFUNCTION("""COMPUTED_VALUE"""),"Do what we mean vs. do what we say")</f>
        <v>Do what we mean vs. do what we say</v>
      </c>
      <c r="D1184" t="str">
        <f>IFERROR(__xludf.DUMMYFUNCTION("""COMPUTED_VALUE"""),"Rohin Shah")</f>
        <v>Rohin Shah</v>
      </c>
      <c r="E1184" t="str">
        <f>IFERROR(__xludf.DUMMYFUNCTION("""COMPUTED_VALUE"""),"Alignment Forum")</f>
        <v>Alignment Forum</v>
      </c>
      <c r="F1184">
        <f>IFERROR(__xludf.DUMMYFUNCTION("""COMPUTED_VALUE"""),2018.0)</f>
        <v>2018</v>
      </c>
      <c r="H1184" s="3" t="str">
        <f>IFERROR(__xludf.DUMMYFUNCTION("""COMPUTED_VALUE"""),"AN #22")</f>
        <v>AN #22</v>
      </c>
      <c r="I1184" t="str">
        <f>IFERROR(__xludf.DUMMYFUNCTION("""COMPUTED_VALUE"""),"Rohin")</f>
        <v>Rohin</v>
      </c>
      <c r="J1184" t="str">
        <f>IFERROR(__xludf.DUMMYFUNCTION("""COMPUTED_VALUE"""),"I wrote a post proposing that we define a ""do what we mean"" system to be one in which the thing being optimized is latent (in the sense that it is not explicitly specified, not that it has a probability distribution over it). Conversely, a ""do what we "&amp;"say"" system explicitly optimizes something provided as an input. A lot of AI safety arguments can be understood as saying that a pure ""do what we say"" AI will lead to catastrophic outcomes. However, this doesn't mean that a ""do what we mean"" system i"&amp;"s the way to go -- it could be that we want a ""do what we mean"" core, along with a ""do what we say"" subsystem that makes sure that the AI always listens to eg. shutdown commands.")</f>
        <v>I wrote a post proposing that we define a "do what we mean" system to be one in which the thing being optimized is latent (in the sense that it is not explicitly specified, not that it has a probability distribution over it). Conversely, a "do what we say" system explicitly optimizes something provided as an input. A lot of AI safety arguments can be understood as saying that a pure "do what we say" AI will lead to catastrophic outcomes. However, this doesn't mean that a "do what we mean" system is the way to go -- it could be that we want a "do what we mean" core, along with a "do what we say" subsystem that makes sure that the AI always listens to eg. shutdown commands.</v>
      </c>
    </row>
    <row r="1185">
      <c r="A1185" t="str">
        <f>IFERROR(__xludf.DUMMYFUNCTION("""COMPUTED_VALUE"""),"Miscellaneous (Alignment)")</f>
        <v>Miscellaneous (Alignment)</v>
      </c>
      <c r="B1185" t="str">
        <f>IFERROR(__xludf.DUMMYFUNCTION("""COMPUTED_VALUE"""),"")</f>
        <v/>
      </c>
      <c r="C1185" s="3" t="str">
        <f>IFERROR(__xludf.DUMMYFUNCTION("""COMPUTED_VALUE"""),"VOI is Only Nonnegative When Information is Uncorrelated With Future Action")</f>
        <v>VOI is Only Nonnegative When Information is Uncorrelated With Future Action</v>
      </c>
      <c r="D1185" t="str">
        <f>IFERROR(__xludf.DUMMYFUNCTION("""COMPUTED_VALUE"""),"Diffractor")</f>
        <v>Diffractor</v>
      </c>
      <c r="E1185" t="str">
        <f>IFERROR(__xludf.DUMMYFUNCTION("""COMPUTED_VALUE"""),"Alignment Forum")</f>
        <v>Alignment Forum</v>
      </c>
      <c r="F1185">
        <f>IFERROR(__xludf.DUMMYFUNCTION("""COMPUTED_VALUE"""),2018.0)</f>
        <v>2018</v>
      </c>
      <c r="H1185" s="3" t="str">
        <f>IFERROR(__xludf.DUMMYFUNCTION("""COMPUTED_VALUE"""),"AN #22")</f>
        <v>AN #22</v>
      </c>
      <c r="I1185" t="str">
        <f>IFERROR(__xludf.DUMMYFUNCTION("""COMPUTED_VALUE"""),"Rohin")</f>
        <v>Rohin</v>
      </c>
      <c r="J1185" t="str">
        <f>IFERROR(__xludf.DUMMYFUNCTION("""COMPUTED_VALUE"""),"Normally, the value of getting more information (VOI) is always nonnegative (for a rational agent), because you can always take the same action you would have if you didn't have the information, so your decision will only improve. However, if the informat"&amp;"ion would cause you to have a different set of actions available, as in many decision theory examples, then this proof no longer applies, since you may no longer be able to take the action you would have otherwise taken. As a result, information can have "&amp;"negative value.")</f>
        <v>Normally, the value of getting more information (VOI) is always nonnegative (for a rational agent), because you can always take the same action you would have if you didn't have the information, so your decision will only improve. However, if the information would cause you to have a different set of actions available, as in many decision theory examples, then this proof no longer applies, since you may no longer be able to take the action you would have otherwise taken. As a result, information can have negative value.</v>
      </c>
    </row>
    <row r="1186">
      <c r="A1186" t="str">
        <f>IFERROR(__xludf.DUMMYFUNCTION("""COMPUTED_VALUE"""),"Miscellaneous (Alignment)")</f>
        <v>Miscellaneous (Alignment)</v>
      </c>
      <c r="B1186" t="str">
        <f>IFERROR(__xludf.DUMMYFUNCTION("""COMPUTED_VALUE"""),"")</f>
        <v/>
      </c>
      <c r="C1186" s="3" t="str">
        <f>IFERROR(__xludf.DUMMYFUNCTION("""COMPUTED_VALUE"""),"The alignment problem in different capability regimes")</f>
        <v>The alignment problem in different capability regimes</v>
      </c>
      <c r="D1186" t="str">
        <f>IFERROR(__xludf.DUMMYFUNCTION("""COMPUTED_VALUE"""),"Buck Shlegeris")</f>
        <v>Buck Shlegeris</v>
      </c>
      <c r="E1186" t="str">
        <f>IFERROR(__xludf.DUMMYFUNCTION("""COMPUTED_VALUE"""),"Alignment Forum")</f>
        <v>Alignment Forum</v>
      </c>
      <c r="F1186">
        <f>IFERROR(__xludf.DUMMYFUNCTION("""COMPUTED_VALUE"""),2021.0)</f>
        <v>2021</v>
      </c>
      <c r="H1186" s="3" t="str">
        <f>IFERROR(__xludf.DUMMYFUNCTION("""COMPUTED_VALUE"""),"AN #165")</f>
        <v>AN #165</v>
      </c>
      <c r="I1186" t="str">
        <f>IFERROR(__xludf.DUMMYFUNCTION("""COMPUTED_VALUE"""),"Rohin")</f>
        <v>Rohin</v>
      </c>
      <c r="J1186" t="str">
        <f>IFERROR(__xludf.DUMMYFUNCTION("""COMPUTED_VALUE"""),"One reason that researchers might disagree on what approaches to take for alignment is that they might be solving different versions of the alignment problem. This post identifies two axes on which the “type” of alignment problem can differ. First, you ma"&amp;"y consider AI systems with differing levels of capability, ranging from subhuman to wildly superintelligent, with human-level somewhere in the middle. Second, you might be thinking about different mechanisms by which this leads to bad outcomes, where poss"&amp;"ible mechanisms include &lt;@the second species problem@&gt;(@AGI safety from first principles@) (where AIs seize control of the future from us), the “missed opportunity” problem (where we fail to use AIs as well as we could have, but the AIs aren’t themselves "&amp;"threatening us), and a grab bag of other possibilities (such as misuse of AI systems by bad actors).
Depending on where you land on these axes, you will get to rely on different assumptions that change what solutions you would be willing to consider:
1."&amp;" **Competence.** If you assume that the AI system is human-level or superintelligent, you probably don’t have to worry about the AI system causing massive problems through incompetence (at least, not to a greater extent than humans do).
2. **Ability to un"&amp;"derstand itself.** With wildly superintelligent systems, it seems reasonable to expect them to be able to introspect and answer questions about their own cognition, which could be a useful ingredient in a solution that wouldn’t work in other regimes.
3. *"&amp;"*Inscrutable plans or concepts.** With sufficiently competent systems, you might be worried about the AI system making dangerous plans you can’t understand, or reasoning with concepts you will never comprehend. Your alignment solution must be robust to th"&amp;"is.")</f>
        <v>One reason that researchers might disagree on what approaches to take for alignment is that they might be solving different versions of the alignment problem. This post identifies two axes on which the “type” of alignment problem can differ. First, you may consider AI systems with differing levels of capability, ranging from subhuman to wildly superintelligent, with human-level somewhere in the middle. Second, you might be thinking about different mechanisms by which this leads to bad outcomes, where possible mechanisms include &lt;@the second species problem@&gt;(@AGI safety from first principles@) (where AIs seize control of the future from us), the “missed opportunity” problem (where we fail to use AIs as well as we could have, but the AIs aren’t themselves threatening us), and a grab bag of other possibilities (such as misuse of AI systems by bad actors).
Depending on where you land on these axes, you will get to rely on different assumptions that change what solutions you would be willing to consider:
1. **Competence.** If you assume that the AI system is human-level or superintelligent, you probably don’t have to worry about the AI system causing massive problems through incompetence (at least, not to a greater extent than humans do).
2. **Ability to understand itself.** With wildly superintelligent systems, it seems reasonable to expect them to be able to introspect and answer questions about their own cognition, which could be a useful ingredient in a solution that wouldn’t work in other regimes.
3. **Inscrutable plans or concepts.** With sufficiently competent systems, you might be worried about the AI system making dangerous plans you can’t understand, or reasoning with concepts you will never comprehend. Your alignment solution must be robust to this.</v>
      </c>
      <c r="K1186" t="str">
        <f>IFERROR(__xludf.DUMMYFUNCTION("""COMPUTED_VALUE"""),"When I talk about alignment, I am considering the second species problem, with AI systems whose capability level is roughly human-level or more (including “wildly superintelligent”).
I agree with [this comment thread](https://www.alignmentforum.org/posts"&amp;"/HHunb8FPnhWaDAQci/the-alignment-problem-in-different-capability-regimes?commentId=mz6hYiWqNMTwHNrhC) that the core _problem_ in what-I-call-alignment stays conserved across capability levels, but the solutions can change across capability levels. (Also, "&amp;"other people mean different things by “alignment”, such that this would no longer be true.)")</f>
        <v>When I talk about alignment, I am considering the second species problem, with AI systems whose capability level is roughly human-level or more (including “wildly superintelligent”).
I agree with [this comment thread](https://www.alignmentforum.org/posts/HHunb8FPnhWaDAQci/the-alignment-problem-in-different-capability-regimes?commentId=mz6hYiWqNMTwHNrhC) that the core _problem_ in what-I-call-alignment stays conserved across capability levels, but the solutions can change across capability levels. (Also, other people mean different things by “alignment”, such that this would no longer be true.)</v>
      </c>
    </row>
    <row r="1187">
      <c r="A1187" t="str">
        <f>IFERROR(__xludf.DUMMYFUNCTION("""COMPUTED_VALUE"""),"Miscellaneous (Alignment)")</f>
        <v>Miscellaneous (Alignment)</v>
      </c>
      <c r="B1187" t="str">
        <f>IFERROR(__xludf.DUMMYFUNCTION("""COMPUTED_VALUE"""),"")</f>
        <v/>
      </c>
      <c r="C1187" s="3" t="str">
        <f>IFERROR(__xludf.DUMMYFUNCTION("""COMPUTED_VALUE"""),"The theory-practice gap")</f>
        <v>The theory-practice gap</v>
      </c>
      <c r="D1187" t="str">
        <f>IFERROR(__xludf.DUMMYFUNCTION("""COMPUTED_VALUE"""),"Buck Shlegeris")</f>
        <v>Buck Shlegeris</v>
      </c>
      <c r="E1187" t="str">
        <f>IFERROR(__xludf.DUMMYFUNCTION("""COMPUTED_VALUE"""),"Alignment Forum")</f>
        <v>Alignment Forum</v>
      </c>
      <c r="F1187">
        <f>IFERROR(__xludf.DUMMYFUNCTION("""COMPUTED_VALUE"""),2021.0)</f>
        <v>2021</v>
      </c>
      <c r="H1187" s="3" t="str">
        <f>IFERROR(__xludf.DUMMYFUNCTION("""COMPUTED_VALUE"""),"AN #165")</f>
        <v>AN #165</v>
      </c>
      <c r="I1187" t="str">
        <f>IFERROR(__xludf.DUMMYFUNCTION("""COMPUTED_VALUE"""),"Rohin")</f>
        <v>Rohin</v>
      </c>
      <c r="J1187" t="str">
        <f>IFERROR(__xludf.DUMMYFUNCTION("""COMPUTED_VALUE"""),"We can think of alignment as roughly being decomposed into two “gaps” that we are trying to reduce:
1. The gap between proposed theoretical alignment approaches (such as iterated amplification) and what we might do without such techniques (aka the &lt;@unal"&amp;"igned benchmark@&gt;(@An unaligned benchmark@))
2. The gap between actual implementations of alignment approaches and what those approaches are theoretically capable of.
(This distinction is fuzzy. For example, the author puts “the technique can’t answer NP"&amp;"-hard questions” into the second gap while I would have had it in the first gap.)
We can think of some disagreements in AI alignment as different pictures about how these gaps look:
1. A stereotypical “ML-flavored alignment researcher” thinks that the f"&amp;"irst gap is very small, because in practice the model will generalize appropriately to new, more complex situations, and continue to do what we want. Such people would then be more focused on narrowing the second gap by working on practical implementation"&amp;"s.
2. A stereotypical “MIRI-flavored alignment researcher” thinks that the first gap is huge, such that it doesn’t really matter if you narrow the second gap, because even if you reduced that gap to zero you would still be doomed with near certainty.")</f>
        <v>We can think of alignment as roughly being decomposed into two “gaps” that we are trying to reduce:
1. The gap between proposed theoretical alignment approaches (such as iterated amplification) and what we might do without such techniques (aka the &lt;@unaligned benchmark@&gt;(@An unaligned benchmark@))
2. The gap between actual implementations of alignment approaches and what those approaches are theoretically capable of.
(This distinction is fuzzy. For example, the author puts “the technique can’t answer NP-hard questions” into the second gap while I would have had it in the first gap.)
We can think of some disagreements in AI alignment as different pictures about how these gaps look:
1. A stereotypical “ML-flavored alignment researcher” thinks that the first gap is very small, because in practice the model will generalize appropriately to new, more complex situations, and continue to do what we want. Such people would then be more focused on narrowing the second gap by working on practical implementations.
2. A stereotypical “MIRI-flavored alignment researcher” thinks that the first gap is huge, such that it doesn’t really matter if you narrow the second gap, because even if you reduced that gap to zero you would still be doomed with near certainty.</v>
      </c>
    </row>
    <row r="1188">
      <c r="A1188" t="str">
        <f>IFERROR(__xludf.DUMMYFUNCTION("""COMPUTED_VALUE"""),"Miscellaneous (Alignment)")</f>
        <v>Miscellaneous (Alignment)</v>
      </c>
      <c r="B1188" t="str">
        <f>IFERROR(__xludf.DUMMYFUNCTION("""COMPUTED_VALUE"""),"")</f>
        <v/>
      </c>
      <c r="C1188" s="3" t="str">
        <f>IFERROR(__xludf.DUMMYFUNCTION("""COMPUTED_VALUE"""),"Evaluating CLIP: Towards Characterization of Broader Capabilities and Downstream Implications")</f>
        <v>Evaluating CLIP: Towards Characterization of Broader Capabilities and Downstream Implications</v>
      </c>
      <c r="D1188" t="str">
        <f>IFERROR(__xludf.DUMMYFUNCTION("""COMPUTED_VALUE"""),"Sandhini Agarwal, Gretchen Krueger, Jack Clark, Alec Radford, Jong Wook Kim, Miles Brundage")</f>
        <v>Sandhini Agarwal, Gretchen Krueger, Jack Clark, Alec Radford, Jong Wook Kim, Miles Brundage</v>
      </c>
      <c r="E1188" t="str">
        <f>IFERROR(__xludf.DUMMYFUNCTION("""COMPUTED_VALUE"""),"arXiv")</f>
        <v>arXiv</v>
      </c>
      <c r="F1188">
        <f>IFERROR(__xludf.DUMMYFUNCTION("""COMPUTED_VALUE"""),2021.0)</f>
        <v>2021</v>
      </c>
      <c r="H1188" s="3" t="str">
        <f>IFERROR(__xludf.DUMMYFUNCTION("""COMPUTED_VALUE"""),"AN #164")</f>
        <v>AN #164</v>
      </c>
      <c r="I1188" t="str">
        <f>IFERROR(__xludf.DUMMYFUNCTION("""COMPUTED_VALUE"""),"Zach")</f>
        <v>Zach</v>
      </c>
      <c r="J1188" t="str">
        <f>IFERROR(__xludf.DUMMYFUNCTION("""COMPUTED_VALUE"""),"There has been significant progress in zero-shot image classification with models such as [CLIP](https://arxiv.org/abs/2103.00020) and [ALIGN](https://arxiv.org/abs/2102.05918). These models work by effectively learning visual concepts from natural langua"&amp;"ge supervision. Such models make it possible to build classifiers without task-specific data, which is useful in scenarios where data is either costly or unavailable. However, this capability introduces the potential for bias. This paper is an exploratory"&amp;" bias probe of the CLIP model that finds class design heavily influences model performance.
The first set of experiments focusses on classification terms that have a high potential to cause representational harm. In one example, the authors conduct exper"&amp;"iments on the FairFace dataset by adding classification labels such as 'animal' and 'criminal' to the list of possible classes. They find that black people and young people (under 20) were misclassified at significantly higher rates (14%) compared to the "&amp;"dataset as a whole (5%). This shows that the choice of labels affects classification outcomes. In a follow-up experiment, the authors add the additional label 'child' and find that this drastically reduces classification into crime-related and non-human c"&amp;"ategories. This shows sensitivity to minor changes in class design. 
In the second set of experiments, the authors focus on how CLIP treated images of men and women using images of Members of Congress. Although CLIP wasn't designed for multi-label classi"&amp;"fication, it's still informative to look at the label distribution above a certain cutoff. When occupations are used as the label set, the authors find that thresholds under 0.5% return 'nanny' and 'housekeeper' for women and 'prisoner' and 'mobster' for "&amp;"men. When labels come from the combined set that Google Cloud Vision, Amazon Rekognition and Microsoft use for all images, the authors find that CLIP returns a disproportionate number of appearance-related labels to women. ")</f>
        <v>There has been significant progress in zero-shot image classification with models such as [CLIP](https://arxiv.org/abs/2103.00020) and [ALIGN](https://arxiv.org/abs/2102.05918). These models work by effectively learning visual concepts from natural language supervision. Such models make it possible to build classifiers without task-specific data, which is useful in scenarios where data is either costly or unavailable. However, this capability introduces the potential for bias. This paper is an exploratory bias probe of the CLIP model that finds class design heavily influences model performance.
The first set of experiments focusses on classification terms that have a high potential to cause representational harm. In one example, the authors conduct experiments on the FairFace dataset by adding classification labels such as 'animal' and 'criminal' to the list of possible classes. They find that black people and young people (under 20) were misclassified at significantly higher rates (14%) compared to the dataset as a whole (5%). This shows that the choice of labels affects classification outcomes. In a follow-up experiment, the authors add the additional label 'child' and find that this drastically reduces classification into crime-related and non-human categories. This shows sensitivity to minor changes in class design. 
In the second set of experiments, the authors focus on how CLIP treated images of men and women using images of Members of Congress. Although CLIP wasn't designed for multi-label classification, it's still informative to look at the label distribution above a certain cutoff. When occupations are used as the label set, the authors find that thresholds under 0.5% return 'nanny' and 'housekeeper' for women and 'prisoner' and 'mobster' for men. When labels come from the combined set that Google Cloud Vision, Amazon Rekognition and Microsoft use for all images, the authors find that CLIP returns a disproportionate number of appearance-related labels to women. </v>
      </c>
      <c r="K1188" t="str">
        <f>IFERROR(__xludf.DUMMYFUNCTION("""COMPUTED_VALUE"""),"It's tempting to write off such experiments as obvious since it's clear that class design affects classification results. However, upon further consideration, specifying how to _address_ such problems seems significantly more challenging. I think this pap"&amp;"er does a good job of pointing out the relative nuance in how class design and bias interact in fairly realistic use cases.")</f>
        <v>It's tempting to write off such experiments as obvious since it's clear that class design affects classification results. However, upon further consideration, specifying how to _address_ such problems seems significantly more challenging. I think this paper does a good job of pointing out the relative nuance in how class design and bias interact in fairly realistic use cases.</v>
      </c>
    </row>
    <row r="1189">
      <c r="A1189" t="str">
        <f>IFERROR(__xludf.DUMMYFUNCTION("""COMPUTED_VALUE"""),"Miscellaneous (Alignment)")</f>
        <v>Miscellaneous (Alignment)</v>
      </c>
      <c r="B1189" t="str">
        <f>IFERROR(__xludf.DUMMYFUNCTION("""COMPUTED_VALUE"""),"")</f>
        <v/>
      </c>
      <c r="C1189" s="3" t="str">
        <f>IFERROR(__xludf.DUMMYFUNCTION("""COMPUTED_VALUE"""),"Human modeling in AGI")</f>
        <v>Human modeling in AGI</v>
      </c>
      <c r="D1189" t="str">
        <f>IFERROR(__xludf.DUMMYFUNCTION("""COMPUTED_VALUE"""),"Scott Garrabrant and Rohin Shah")</f>
        <v>Scott Garrabrant and Rohin Shah</v>
      </c>
      <c r="E1189" t="str">
        <f>IFERROR(__xludf.DUMMYFUNCTION("""COMPUTED_VALUE"""),"Alignment Forum")</f>
        <v>Alignment Forum</v>
      </c>
      <c r="F1189">
        <f>IFERROR(__xludf.DUMMYFUNCTION("""COMPUTED_VALUE"""),2021.0)</f>
        <v>2021</v>
      </c>
      <c r="H1189" s="3" t="str">
        <f>IFERROR(__xludf.DUMMYFUNCTION("""COMPUTED_VALUE"""),"AN #160")</f>
        <v>AN #160</v>
      </c>
      <c r="I1189" t="str">
        <f>IFERROR(__xludf.DUMMYFUNCTION("""COMPUTED_VALUE"""),"Rohin")</f>
        <v>Rohin</v>
      </c>
      <c r="J1189" t="str">
        <f>IFERROR(__xludf.DUMMYFUNCTION("""COMPUTED_VALUE"""),"This is a conversation between Scott and me about the &lt;@relative dangers of human modeling@&gt;(@Thoughts on Human Models@), moderated by Eli Tyre. From a safety perspective, the main reason to _avoid_ human modeling is that the agent's cognition will be muc"&amp;"h ""further"" away from manipulation of humans; for example, it seems more unlikely that your AI system tricks people into launching nukes if it never learned very much about humans in the first place. The main counterargument is that this precludes using"&amp;" human oversight of agent cognition (since when humans are overseeing the agent's cognition, then the agent is likely to learn about humans in order to satisfy that oversight); this human oversight could plausibly greatly increase safety. It also seems li"&amp;"ke systems that don't model humans will have a hard time performing many useful tasks, though the conversation mostly did not touch upon this point.
Scott's position is that given there are these two quite different risks (manipulation worries vs. learni"&amp;"ng the wrong cognition due to poor oversight), it seems worthwhile to put some effort into addressing each risk, and avoiding human models is much more neglected than improving human oversight. My position is that it seems much less likely that there is a"&amp;" plausible success path where we do very little human modeling, and so I want a lot more work along the oversight path. I _do_ think that it is worth differentially pushing AI systems towards tasks that don't require much human modeling, e.g. physics and "&amp;"engineering, rather than ones that do, e.g. sales and marketing, but this seems roughly independent of technical work, at least currently.")</f>
        <v>This is a conversation between Scott and me about the &lt;@relative dangers of human modeling@&gt;(@Thoughts on Human Models@), moderated by Eli Tyre. From a safety perspective, the main reason to _avoid_ human modeling is that the agent's cognition will be much "further" away from manipulation of humans; for example, it seems more unlikely that your AI system tricks people into launching nukes if it never learned very much about humans in the first place. The main counterargument is that this precludes using human oversight of agent cognition (since when humans are overseeing the agent's cognition, then the agent is likely to learn about humans in order to satisfy that oversight); this human oversight could plausibly greatly increase safety. It also seems like systems that don't model humans will have a hard time performing many useful tasks, though the conversation mostly did not touch upon this point.
Scott's position is that given there are these two quite different risks (manipulation worries vs. learning the wrong cognition due to poor oversight), it seems worthwhile to put some effort into addressing each risk, and avoiding human models is much more neglected than improving human oversight. My position is that it seems much less likely that there is a plausible success path where we do very little human modeling, and so I want a lot more work along the oversight path. I _do_ think that it is worth differentially pushing AI systems towards tasks that don't require much human modeling, e.g. physics and engineering, rather than ones that do, e.g. sales and marketing, but this seems roughly independent of technical work, at least currently.</v>
      </c>
    </row>
    <row r="1190">
      <c r="A1190" t="str">
        <f>IFERROR(__xludf.DUMMYFUNCTION("""COMPUTED_VALUE"""),"Miscellaneous (Alignment)")</f>
        <v>Miscellaneous (Alignment)</v>
      </c>
      <c r="B1190" t="str">
        <f>IFERROR(__xludf.DUMMYFUNCTION("""COMPUTED_VALUE"""),"")</f>
        <v/>
      </c>
      <c r="C1190" s="3" t="str">
        <f>IFERROR(__xludf.DUMMYFUNCTION("""COMPUTED_VALUE"""),"Discontinuity from the Eiffel Tower")</f>
        <v>Discontinuity from the Eiffel Tower</v>
      </c>
      <c r="D1190" t="str">
        <f>IFERROR(__xludf.DUMMYFUNCTION("""COMPUTED_VALUE"""),"Beth Barnes and Katja Grace")</f>
        <v>Beth Barnes and Katja Grace</v>
      </c>
      <c r="E1190" t="str">
        <f>IFERROR(__xludf.DUMMYFUNCTION("""COMPUTED_VALUE"""),"AI Impacts")</f>
        <v>AI Impacts</v>
      </c>
      <c r="F1190">
        <f>IFERROR(__xludf.DUMMYFUNCTION("""COMPUTED_VALUE"""),2018.0)</f>
        <v>2018</v>
      </c>
      <c r="H1190" s="3" t="str">
        <f>IFERROR(__xludf.DUMMYFUNCTION("""COMPUTED_VALUE"""),"AN #16")</f>
        <v>AN #16</v>
      </c>
      <c r="I1190" t="str">
        <f>IFERROR(__xludf.DUMMYFUNCTION("""COMPUTED_VALUE"""),"Rohin")</f>
        <v>Rohin</v>
      </c>
      <c r="J1190" t="str">
        <f>IFERROR(__xludf.DUMMYFUNCTION("""COMPUTED_VALUE"""),"The Eiffel tower represented a 54-year discontinuity in the trend for ""height of the tallest existing structure"", and an 8000-year discontinuity in the trend for ""height of the tallest structure ever"". It's unclear what the cause of this discontinuity"&amp;" is, though the authors provide some speculation.")</f>
        <v>The Eiffel tower represented a 54-year discontinuity in the trend for "height of the tallest existing structure", and an 8000-year discontinuity in the trend for "height of the tallest structure ever". It's unclear what the cause of this discontinuity is, though the authors provide some speculation.</v>
      </c>
      <c r="K1190" t="str">
        <f>IFERROR(__xludf.DUMMYFUNCTION("""COMPUTED_VALUE"""),"I'm not sure if I should update without knowing the cause of the discontinuity, or how the search for discontinuities was conducted. If you're searching for discontinuities, I do expect you'll find some, even if in general I expect discontinuities not to "&amp;"arise, so it doesn't feel like strong evidence that discontinuities are probable.")</f>
        <v>I'm not sure if I should update without knowing the cause of the discontinuity, or how the search for discontinuities was conducted. If you're searching for discontinuities, I do expect you'll find some, even if in general I expect discontinuities not to arise, so it doesn't feel like strong evidence that discontinuities are probable.</v>
      </c>
      <c r="L1190" t="str">
        <f>IFERROR(__xludf.DUMMYFUNCTION("""COMPUTED_VALUE"""),"[Discontinuous progress investigation](https://aiimpacts.org/discontinuous-progress-investigation/) or [Likelihood of discontinuous progress around the development of AGI](https://aiimpacts.org/likelihood-of-discontinuous-progress-around-the-development-o"&amp;"f-agi/)")</f>
        <v>[Discontinuous progress investigation](https://aiimpacts.org/discontinuous-progress-investigation/) or [Likelihood of discontinuous progress around the development of AGI](https://aiimpacts.org/likelihood-of-discontinuous-progress-around-the-development-of-agi/)</v>
      </c>
    </row>
    <row r="1191">
      <c r="A1191" t="str">
        <f>IFERROR(__xludf.DUMMYFUNCTION("""COMPUTED_VALUE"""),"Miscellaneous (Alignment)")</f>
        <v>Miscellaneous (Alignment)</v>
      </c>
      <c r="B1191" t="str">
        <f>IFERROR(__xludf.DUMMYFUNCTION("""COMPUTED_VALUE"""),"")</f>
        <v/>
      </c>
      <c r="C1191" s="3" t="str">
        <f>IFERROR(__xludf.DUMMYFUNCTION("""COMPUTED_VALUE"""),"Compact vs. Wide Models")</f>
        <v>Compact vs. Wide Models</v>
      </c>
      <c r="D1191" t="str">
        <f>IFERROR(__xludf.DUMMYFUNCTION("""COMPUTED_VALUE"""),"Vaniver")</f>
        <v>Vaniver</v>
      </c>
      <c r="E1191" t="str">
        <f>IFERROR(__xludf.DUMMYFUNCTION("""COMPUTED_VALUE"""),"LessWrong")</f>
        <v>LessWrong</v>
      </c>
      <c r="F1191">
        <f>IFERROR(__xludf.DUMMYFUNCTION("""COMPUTED_VALUE"""),2018.0)</f>
        <v>2018</v>
      </c>
      <c r="H1191" s="3" t="str">
        <f>IFERROR(__xludf.DUMMYFUNCTION("""COMPUTED_VALUE"""),"AN #16")</f>
        <v>AN #16</v>
      </c>
      <c r="I1191" t="str">
        <f>IFERROR(__xludf.DUMMYFUNCTION("""COMPUTED_VALUE"""),"Rohin")</f>
        <v>Rohin</v>
      </c>
      <c r="J1191" t="str">
        <f>IFERROR(__xludf.DUMMYFUNCTION("""COMPUTED_VALUE"""),"A compact model is one which is very general, and easy to prove things about, but doesn't inherently capture the messiness of the real world inside the model. Examples include Turing machines and utility functions. A wide model is one which still has a co"&amp;"nceptually crisp core, but these crisp core units must then be combined in a complicated way in order to get something useful. Examples include the use of transistors to build CPUs, and the hierarchical control model of human psychology. The nice thing ab"&amp;"out wide models is that they start to engage with the messiness of the real world, and so make it clearer where the complexity is being dealt with. This is a useful concept to have when evaluating a proposal for alignment -- it asks the question, ""where "&amp;"does the complexity reside?""")</f>
        <v>A compact model is one which is very general, and easy to prove things about, but doesn't inherently capture the messiness of the real world inside the model. Examples include Turing machines and utility functions. A wide model is one which still has a conceptually crisp core, but these crisp core units must then be combined in a complicated way in order to get something useful. Examples include the use of transistors to build CPUs, and the hierarchical control model of human psychology. The nice thing about wide models is that they start to engage with the messiness of the real world, and so make it clearer where the complexity is being dealt with. This is a useful concept to have when evaluating a proposal for alignment -- it asks the question, "where does the complexity reside?"</v>
      </c>
      <c r="K1191" t="str">
        <f>IFERROR(__xludf.DUMMYFUNCTION("""COMPUTED_VALUE"""),"I definitely support having models that engage more with the messiness of the real world. I'm not sure if I would have used ""wide models"" -- it seems like even the assumption of a crisp core makes it not as capable of handling messiness as I want. But i"&amp;"f you're trying to get formal guarantees and you need to use some model, a wide model seems probably useful to use.")</f>
        <v>I definitely support having models that engage more with the messiness of the real world. I'm not sure if I would have used "wide models" -- it seems like even the assumption of a crisp core makes it not as capable of handling messiness as I want. But if you're trying to get formal guarantees and you need to use some model, a wide model seems probably useful to use.</v>
      </c>
    </row>
    <row r="1192">
      <c r="A1192" t="str">
        <f>IFERROR(__xludf.DUMMYFUNCTION("""COMPUTED_VALUE"""),"Miscellaneous (Alignment)")</f>
        <v>Miscellaneous (Alignment)</v>
      </c>
      <c r="B1192" t="str">
        <f>IFERROR(__xludf.DUMMYFUNCTION("""COMPUTED_VALUE"""),"")</f>
        <v/>
      </c>
      <c r="C1192" s="3" t="str">
        <f>IFERROR(__xludf.DUMMYFUNCTION("""COMPUTED_VALUE"""),"Progress on Causal Influence Diagrams")</f>
        <v>Progress on Causal Influence Diagrams</v>
      </c>
      <c r="D1192" t="str">
        <f>IFERROR(__xludf.DUMMYFUNCTION("""COMPUTED_VALUE"""),"Tom Everitt, Ryan Carey, Lewis Hammond, James Fox, Eric Langlois, Shane Legg")</f>
        <v>Tom Everitt, Ryan Carey, Lewis Hammond, James Fox, Eric Langlois, Shane Legg</v>
      </c>
      <c r="E1192" t="str">
        <f>IFERROR(__xludf.DUMMYFUNCTION("""COMPUTED_VALUE"""),"DeepMind Safety Research")</f>
        <v>DeepMind Safety Research</v>
      </c>
      <c r="F1192">
        <f>IFERROR(__xludf.DUMMYFUNCTION("""COMPUTED_VALUE"""),2021.0)</f>
        <v>2021</v>
      </c>
      <c r="H1192" s="3" t="str">
        <f>IFERROR(__xludf.DUMMYFUNCTION("""COMPUTED_VALUE"""),"AN #157")</f>
        <v>AN #157</v>
      </c>
      <c r="I1192" t="str">
        <f>IFERROR(__xludf.DUMMYFUNCTION("""COMPUTED_VALUE"""),"Rohin")</f>
        <v>Rohin</v>
      </c>
      <c r="J1192" t="str">
        <f>IFERROR(__xludf.DUMMYFUNCTION("""COMPUTED_VALUE"""),"Many of the problems we care about (reward gaming, wireheading, manipulation) are fundamentally a worry that our AI systems will have the _wrong incentives_. Thus, we need Causal Influence Diagrams (CIDs): a formal theory of incentives. These are &lt;@graphi"&amp;"cal models@&gt;(@Understanding Agent Incentives with Causal Influence Diagrams@) in which there are action nodes (which the agent controls) and utility nodes (which determine what the agent wants). Once such a model is specified, we can talk about various in"&amp;"centives the agent has. This can then be used for several applications:
1. We can analyze [what happens](https://arxiv.org/abs/2102.07716) when you [intervene](https://arxiv.org/abs/1707.05173) on the agent’s action. Depending on whether the RL algorithm"&amp;" uses the original or modified action in its update rule, we may or may not see the algorithm disable its off switch.
2. We can &lt;@avoid reward tampering@&gt;(@Designing agent incentives to avoid reward tampering@) by removing the connections from future rewa"&amp;"rds to utility nodes; in other words, we ensure that the agent evaluates hypothetical future outcomes according to its _current_ reward function.
3. A [multiagent version](https://arxiv.org/abs/2102.05008) allows us to recover concepts like Nash equilibri"&amp;"a and subgames from game theory, using a very simple, compact representation.")</f>
        <v>Many of the problems we care about (reward gaming, wireheading, manipulation) are fundamentally a worry that our AI systems will have the _wrong incentives_. Thus, we need Causal Influence Diagrams (CIDs): a formal theory of incentives. These are &lt;@graphical models@&gt;(@Understanding Agent Incentives with Causal Influence Diagrams@) in which there are action nodes (which the agent controls) and utility nodes (which determine what the agent wants). Once such a model is specified, we can talk about various incentives the agent has. This can then be used for several applications:
1. We can analyze [what happens](https://arxiv.org/abs/2102.07716) when you [intervene](https://arxiv.org/abs/1707.05173) on the agent’s action. Depending on whether the RL algorithm uses the original or modified action in its update rule, we may or may not see the algorithm disable its off switch.
2. We can &lt;@avoid reward tampering@&gt;(@Designing agent incentives to avoid reward tampering@) by removing the connections from future rewards to utility nodes; in other words, we ensure that the agent evaluates hypothetical future outcomes according to its _current_ reward function.
3. A [multiagent version](https://arxiv.org/abs/2102.05008) allows us to recover concepts like Nash equilibria and subgames from game theory, using a very simple, compact representation.</v>
      </c>
    </row>
    <row r="1193">
      <c r="A1193" t="str">
        <f>IFERROR(__xludf.DUMMYFUNCTION("""COMPUTED_VALUE"""),"Miscellaneous (Alignment)")</f>
        <v>Miscellaneous (Alignment)</v>
      </c>
      <c r="B1193" t="str">
        <f>IFERROR(__xludf.DUMMYFUNCTION("""COMPUTED_VALUE"""),"")</f>
        <v/>
      </c>
      <c r="C1193" s="3" t="str">
        <f>IFERROR(__xludf.DUMMYFUNCTION("""COMPUTED_VALUE"""),"Frequent arguments about alignment")</f>
        <v>Frequent arguments about alignment</v>
      </c>
      <c r="D1193" t="str">
        <f>IFERROR(__xludf.DUMMYFUNCTION("""COMPUTED_VALUE"""),"John Schulman")</f>
        <v>John Schulman</v>
      </c>
      <c r="E1193" t="str">
        <f>IFERROR(__xludf.DUMMYFUNCTION("""COMPUTED_VALUE"""),"Alignment Forum")</f>
        <v>Alignment Forum</v>
      </c>
      <c r="F1193">
        <f>IFERROR(__xludf.DUMMYFUNCTION("""COMPUTED_VALUE"""),2021.0)</f>
        <v>2021</v>
      </c>
      <c r="H1193" s="3" t="str">
        <f>IFERROR(__xludf.DUMMYFUNCTION("""COMPUTED_VALUE"""),"AN #153")</f>
        <v>AN #153</v>
      </c>
      <c r="I1193" t="str">
        <f>IFERROR(__xludf.DUMMYFUNCTION("""COMPUTED_VALUE"""),"Rohin")</f>
        <v>Rohin</v>
      </c>
      <c r="J1193" t="str">
        <f>IFERROR(__xludf.DUMMYFUNCTION("""COMPUTED_VALUE"""),"This post outlines three AI alignment skeptic positions and corresponding responses from an advocate. Note that while the author tends to agree with the advocate’s view, they also believe that the skeptic makes good points.
1. _Skeptic's position_: The a"&amp;"lignment problem gets easier as models get smarter, since they start to learn the difference between, say, human smiles and human well-being. So all we need to do is to prompt them appropriately, e.g. by setting up a conversation with “a wise and benevole"&amp;"nt AI advisor”.
_Advocate's response:_ We can do a lot better than prompting: in fact, &lt;@a recent paper@&gt;(@True Few-Shot Learning with Language Models@) showed that prompting is effectively (poor) finetuning, so we might as well finetune. Separately from"&amp;" prompting itself, alignment does get easier in some ways as models get smarter, but it also gets harder: for example, smarter models will game their reward functions in more unexpected and clever ways.
2. What’s the difference between alignment and capa"&amp;"bilities anyway? Something like &lt;@RL from human feedback for summarization@&gt;(@Learning to Summarize with Human Feedback@) could equally well have been motivated through a focus on AI products.
_Response:_ While there’s certainly overlap, alignment resear"&amp;"ch is usually not the lowest-hanging fruit for building products. So it’s useful to have alignment-focused teams that can champion the work even when it doesn’t provide the best near-term ROI.
3. We can’t make useful progress on aligning superhuman model"&amp;"s until we actually have superhuman models to study. Why not wait until those are available?
_Response:_ If we don’t start now, then in the short term, companies will deploy products that optimize simple objectives like revenue and engagement, which coul"&amp;"d be improved by alignment work. In the long term, it is plausible that alignment is very hard, such that we need many conceptual advances that we need to start on now to have them ready by the point that we feel obligated to use powerful AI systems. In a"&amp;"ddition, empirically there seem to be many alignment approaches that aren’t bottlenecked by the capabilities of models -- see for example &lt;@this post@&gt;(@The case for aligning narrowly superhuman models@).")</f>
        <v>This post outlines three AI alignment skeptic positions and corresponding responses from an advocate. Note that while the author tends to agree with the advocate’s view, they also believe that the skeptic makes good points.
1. _Skeptic's position_: The alignment problem gets easier as models get smarter, since they start to learn the difference between, say, human smiles and human well-being. So all we need to do is to prompt them appropriately, e.g. by setting up a conversation with “a wise and benevolent AI advisor”.
_Advocate's response:_ We can do a lot better than prompting: in fact, &lt;@a recent paper@&gt;(@True Few-Shot Learning with Language Models@) showed that prompting is effectively (poor) finetuning, so we might as well finetune. Separately from prompting itself, alignment does get easier in some ways as models get smarter, but it also gets harder: for example, smarter models will game their reward functions in more unexpected and clever ways.
2. What’s the difference between alignment and capabilities anyway? Something like &lt;@RL from human feedback for summarization@&gt;(@Learning to Summarize with Human Feedback@) could equally well have been motivated through a focus on AI products.
_Response:_ While there’s certainly overlap, alignment research is usually not the lowest-hanging fruit for building products. So it’s useful to have alignment-focused teams that can champion the work even when it doesn’t provide the best near-term ROI.
3. We can’t make useful progress on aligning superhuman models until we actually have superhuman models to study. Why not wait until those are available?
_Response:_ If we don’t start now, then in the short term, companies will deploy products that optimize simple objectives like revenue and engagement, which could be improved by alignment work. In the long term, it is plausible that alignment is very hard, such that we need many conceptual advances that we need to start on now to have them ready by the point that we feel obligated to use powerful AI systems. In addition, empirically there seem to be many alignment approaches that aren’t bottlenecked by the capabilities of models -- see for example &lt;@this post@&gt;(@The case for aligning narrowly superhuman models@).</v>
      </c>
      <c r="K1193" t="str">
        <f>IFERROR(__xludf.DUMMYFUNCTION("""COMPUTED_VALUE"""),"I generally agree with these positions and responses, and in particular I’m especially happy about the arguments being specific to the actual models we use today, which grounds out the discussion a lot more and makes it easier to make progress. On the sec"&amp;"ond point in particular, I’d also [say](https://www.alignmentforum.org/posts/6ccG9i5cTncebmhsH/frequent-arguments-about-alignment?commentId=cwgpCBfwHaYravLpo) that empirically, product-focused people don’t do e.g. RL for human feedback, even if it could b"&amp;"e motivated that way.")</f>
        <v>I generally agree with these positions and responses, and in particular I’m especially happy about the arguments being specific to the actual models we use today, which grounds out the discussion a lot more and makes it easier to make progress. On the second point in particular, I’d also [say](https://www.alignmentforum.org/posts/6ccG9i5cTncebmhsH/frequent-arguments-about-alignment?commentId=cwgpCBfwHaYravLpo) that empirically, product-focused people don’t do e.g. RL for human feedback, even if it could be motivated that way.</v>
      </c>
    </row>
    <row r="1194">
      <c r="A1194" t="str">
        <f>IFERROR(__xludf.DUMMYFUNCTION("""COMPUTED_VALUE"""),"Miscellaneous (Alignment)")</f>
        <v>Miscellaneous (Alignment)</v>
      </c>
      <c r="B1194" t="str">
        <f>IFERROR(__xludf.DUMMYFUNCTION("""COMPUTED_VALUE"""),"")</f>
        <v/>
      </c>
      <c r="C1194" s="3" t="str">
        <f>IFERROR(__xludf.DUMMYFUNCTION("""COMPUTED_VALUE"""),"Survey on AI existential risk scenarios")</f>
        <v>Survey on AI existential risk scenarios</v>
      </c>
      <c r="D1194" t="str">
        <f>IFERROR(__xludf.DUMMYFUNCTION("""COMPUTED_VALUE"""),"Sam Clarke, Alexis Carlier, Jonas Schuett")</f>
        <v>Sam Clarke, Alexis Carlier, Jonas Schuett</v>
      </c>
      <c r="E1194" t="str">
        <f>IFERROR(__xludf.DUMMYFUNCTION("""COMPUTED_VALUE"""),"Alignment Forum")</f>
        <v>Alignment Forum</v>
      </c>
      <c r="F1194">
        <f>IFERROR(__xludf.DUMMYFUNCTION("""COMPUTED_VALUE"""),2021.0)</f>
        <v>2021</v>
      </c>
      <c r="H1194" s="3" t="str">
        <f>IFERROR(__xludf.DUMMYFUNCTION("""COMPUTED_VALUE"""),"AN #152")</f>
        <v>AN #152</v>
      </c>
      <c r="I1194" t="str">
        <f>IFERROR(__xludf.DUMMYFUNCTION("""COMPUTED_VALUE"""),"Rohin")</f>
        <v>Rohin</v>
      </c>
      <c r="J1194" t="str">
        <f>IFERROR(__xludf.DUMMYFUNCTION("""COMPUTED_VALUE"""),"While the previous survey asked respondents about the overall probability of existential catastrophe, this survey seeks to find which particular risk scenarios respondents find more likely. The survey was sent to 135 researchers, of which 75 responded. Th"&amp;"e survey presented five scenarios along with an “other”, and asked people to allocate probabilities across them (effectively, conditioning on an AI-caused existential catastrophe, and then asking which scenario happened).
The headline result is that all "&amp;"of the scenarios were roughly equally likely, even though individual researchers were opinionated (i.e. they didn’t just give uniform probabilities over all scenarios). Thus, there is quite a lot of disagreement over which risk scenarios are most likely ("&amp;"which is yet another reason not to take the results of the previous survey too seriously).")</f>
        <v>While the previous survey asked respondents about the overall probability of existential catastrophe, this survey seeks to find which particular risk scenarios respondents find more likely. The survey was sent to 135 researchers, of which 75 responded. The survey presented five scenarios along with an “other”, and asked people to allocate probabilities across them (effectively, conditioning on an AI-caused existential catastrophe, and then asking which scenario happened).
The headline result is that all of the scenarios were roughly equally likely, even though individual researchers were opinionated (i.e. they didn’t just give uniform probabilities over all scenarios). Thus, there is quite a lot of disagreement over which risk scenarios are most likely (which is yet another reason not to take the results of the previous survey too seriously).</v>
      </c>
    </row>
    <row r="1195">
      <c r="A1195" t="str">
        <f>IFERROR(__xludf.DUMMYFUNCTION("""COMPUTED_VALUE"""),"Miscellaneous (Alignment)")</f>
        <v>Miscellaneous (Alignment)</v>
      </c>
      <c r="B1195" t="str">
        <f>IFERROR(__xludf.DUMMYFUNCTION("""COMPUTED_VALUE"""),"")</f>
        <v/>
      </c>
      <c r="C1195" s="3" t="str">
        <f>IFERROR(__xludf.DUMMYFUNCTION("""COMPUTED_VALUE"""),"Pitfalls of the agent model")</f>
        <v>Pitfalls of the agent model</v>
      </c>
      <c r="D1195" t="str">
        <f>IFERROR(__xludf.DUMMYFUNCTION("""COMPUTED_VALUE"""),"Alex Flint")</f>
        <v>Alex Flint</v>
      </c>
      <c r="E1195" t="str">
        <f>IFERROR(__xludf.DUMMYFUNCTION("""COMPUTED_VALUE"""),"Alignment Forum")</f>
        <v>Alignment Forum</v>
      </c>
      <c r="F1195">
        <f>IFERROR(__xludf.DUMMYFUNCTION("""COMPUTED_VALUE"""),2021.0)</f>
        <v>2021</v>
      </c>
      <c r="H1195" s="3" t="str">
        <f>IFERROR(__xludf.DUMMYFUNCTION("""COMPUTED_VALUE"""),"AN #150")</f>
        <v>AN #150</v>
      </c>
      <c r="I1195" t="str">
        <f>IFERROR(__xludf.DUMMYFUNCTION("""COMPUTED_VALUE"""),"Rohin")</f>
        <v>Rohin</v>
      </c>
      <c r="J1195" t="str">
        <f>IFERROR(__xludf.DUMMYFUNCTION("""COMPUTED_VALUE"""),"It is common to view AI systems through the “agent lens”, in which the AI system implements a fixed, unchanging policy that, given some observations, takes some actions. This post points out several ways in which this “fixed, unchanging policy” assumption"&amp;" can lead us astray.
For example, AI designers may assume that the AI systems they build must have unchanging decision algorithms, and therefore believe that there will be a specific point at which influence is “handed off” to the AI system, before which"&amp;" we have to solve a wide array of philosophical and technical problems.")</f>
        <v>It is common to view AI systems through the “agent lens”, in which the AI system implements a fixed, unchanging policy that, given some observations, takes some actions. This post points out several ways in which this “fixed, unchanging policy” assumption can lead us astray.
For example, AI designers may assume that the AI systems they build must have unchanging decision algorithms, and therefore believe that there will be a specific point at which influence is “handed off” to the AI system, before which we have to solve a wide array of philosophical and technical problems.</v>
      </c>
    </row>
    <row r="1196">
      <c r="A1196" t="str">
        <f>IFERROR(__xludf.DUMMYFUNCTION("""COMPUTED_VALUE"""),"Miscellaneous (Alignment)")</f>
        <v>Miscellaneous (Alignment)</v>
      </c>
      <c r="B1196" t="str">
        <f>IFERROR(__xludf.DUMMYFUNCTION("""COMPUTED_VALUE"""),"")</f>
        <v/>
      </c>
      <c r="C1196" s="3" t="str">
        <f>IFERROR(__xludf.DUMMYFUNCTION("""COMPUTED_VALUE"""),"Mundane solutions to exotic problems")</f>
        <v>Mundane solutions to exotic problems</v>
      </c>
      <c r="D1196" t="str">
        <f>IFERROR(__xludf.DUMMYFUNCTION("""COMPUTED_VALUE"""),"Paul Christiano")</f>
        <v>Paul Christiano</v>
      </c>
      <c r="E1196" t="str">
        <f>IFERROR(__xludf.DUMMYFUNCTION("""COMPUTED_VALUE"""),"Author's Website")</f>
        <v>Author's Website</v>
      </c>
      <c r="F1196">
        <f>IFERROR(__xludf.DUMMYFUNCTION("""COMPUTED_VALUE"""),2021.0)</f>
        <v>2021</v>
      </c>
      <c r="H1196" s="3" t="str">
        <f>IFERROR(__xludf.DUMMYFUNCTION("""COMPUTED_VALUE"""),"AN #149")</f>
        <v>AN #149</v>
      </c>
      <c r="I1196" t="str">
        <f>IFERROR(__xludf.DUMMYFUNCTION("""COMPUTED_VALUE"""),"Rohin")</f>
        <v>Rohin</v>
      </c>
      <c r="J1196" t="str">
        <f>IFERROR(__xludf.DUMMYFUNCTION("""COMPUTED_VALUE"""),"The author’s goal is to find “mundane” or simple algorithms that solve even “exotic” problems in AI alignment. Why should we expect this is possible? If an AI system is using powerful, exotic capabilities to evade detection, shouldn’t we need powerful, ex"&amp;"otic algorithms to fight that? The key idea here is that we can instead have a mundane algorithm that leverages the exotic capabilities of the AI system to produce an exotic oversight process. For example, we could imagine that a mundane algorithm could b"&amp;"e used to create a question-answerer that knows everything the model knows. We could then address &lt;@gradient hacking@&gt;(@Gradient hacking@) by asking the question “what should the loss be?” In this case, our model has an exotic capability: very strong intr"&amp;"ospective access to its own reasoning and the training process that modifies it. (This is what is needed to successfully hack gradients). As a result, our question answerer should be able to leverage this capability to assign high loss (low reward) to cas"&amp;"es where our AI system tries to hack gradients, even if our normal hardcoded loss would not do so.")</f>
        <v>The author’s goal is to find “mundane” or simple algorithms that solve even “exotic” problems in AI alignment. Why should we expect this is possible? If an AI system is using powerful, exotic capabilities to evade detection, shouldn’t we need powerful, exotic algorithms to fight that? The key idea here is that we can instead have a mundane algorithm that leverages the exotic capabilities of the AI system to produce an exotic oversight process. For example, we could imagine that a mundane algorithm could be used to create a question-answerer that knows everything the model knows. We could then address &lt;@gradient hacking@&gt;(@Gradient hacking@) by asking the question “what should the loss be?” In this case, our model has an exotic capability: very strong introspective access to its own reasoning and the training process that modifies it. (This is what is needed to successfully hack gradients). As a result, our question answerer should be able to leverage this capability to assign high loss (low reward) to cases where our AI system tries to hack gradients, even if our normal hardcoded loss would not do so.</v>
      </c>
    </row>
    <row r="1197">
      <c r="A1197" t="str">
        <f>IFERROR(__xludf.DUMMYFUNCTION("""COMPUTED_VALUE"""),"Miscellaneous (Alignment)")</f>
        <v>Miscellaneous (Alignment)</v>
      </c>
      <c r="B1197" t="str">
        <f>IFERROR(__xludf.DUMMYFUNCTION("""COMPUTED_VALUE"""),"")</f>
        <v/>
      </c>
      <c r="C1197" s="3" t="str">
        <f>IFERROR(__xludf.DUMMYFUNCTION("""COMPUTED_VALUE"""),"My AGI Threat Model: Misaligned Model-Based RL Agent")</f>
        <v>My AGI Threat Model: Misaligned Model-Based RL Agent</v>
      </c>
      <c r="D1197" t="str">
        <f>IFERROR(__xludf.DUMMYFUNCTION("""COMPUTED_VALUE"""),"Steve Byrnes")</f>
        <v>Steve Byrnes</v>
      </c>
      <c r="E1197" t="str">
        <f>IFERROR(__xludf.DUMMYFUNCTION("""COMPUTED_VALUE"""),"Alignment Forum")</f>
        <v>Alignment Forum</v>
      </c>
      <c r="F1197">
        <f>IFERROR(__xludf.DUMMYFUNCTION("""COMPUTED_VALUE"""),2021.0)</f>
        <v>2021</v>
      </c>
      <c r="H1197" s="3" t="str">
        <f>IFERROR(__xludf.DUMMYFUNCTION("""COMPUTED_VALUE"""),"AN #144")</f>
        <v>AN #144</v>
      </c>
      <c r="I1197" t="str">
        <f>IFERROR(__xludf.DUMMYFUNCTION("""COMPUTED_VALUE"""),"Rohin")</f>
        <v>Rohin</v>
      </c>
      <c r="J1197" t="str">
        <f>IFERROR(__xludf.DUMMYFUNCTION("""COMPUTED_VALUE"""),"This post lays out a pathway by which an AI-induced existential catastrophe could occur. The author suggests that AGI will be built via model-based reinforcement learning: given a reward function, we will learn a world model, a value function, and a plann"&amp;"er / actor. These will learn online, that is, even after being deployed these learned models will continue to be updated by our learning algorithm (gradient descent, or whatever replaces it). Most research effort will be focused on learning these models, "&amp;"with relatively less effort applied to choosing the right reward function.
There are then two alignment problems: the _outer_ alignment problem is whether the reward function correctly reflects the designer's intent, and the _inner_ alignment problem is "&amp;"whether the value function accurately represents the expected reward obtained by the agent over the long term. On the inner alignment side, the value function may not accurately capture the reward for several reasons, including ambiguity in the reward sig"&amp;"nals (since you only train the value function in some situations, and many reward functions can then produce the same value function), manipulation of the reward signal, failures of credit assignment, ontological crises, and having mutually contradictory "&amp;"""parts"" of the value function (similarly to humans). On the outer alignment side, we have the standard problem that the reward function may not reflect what we actually want (i.e. specification gaming or Goodhart's Law). In addition, it seems likely tha"&amp;"t many capability enhancements will be implemented through the reward function, e.g. giving the agent a curiosity reward, which increases outer misalignment.")</f>
        <v>This post lays out a pathway by which an AI-induced existential catastrophe could occur. The author suggests that AGI will be built via model-based reinforcement learning: given a reward function, we will learn a world model, a value function, and a planner / actor. These will learn online, that is, even after being deployed these learned models will continue to be updated by our learning algorithm (gradient descent, or whatever replaces it). Most research effort will be focused on learning these models, with relatively less effort applied to choosing the right reward function.
There are then two alignment problems: the _outer_ alignment problem is whether the reward function correctly reflects the designer's intent, and the _inner_ alignment problem is whether the value function accurately represents the expected reward obtained by the agent over the long term. On the inner alignment side, the value function may not accurately capture the reward for several reasons, including ambiguity in the reward signals (since you only train the value function in some situations, and many reward functions can then produce the same value function), manipulation of the reward signal, failures of credit assignment, ontological crises, and having mutually contradictory "parts" of the value function (similarly to humans). On the outer alignment side, we have the standard problem that the reward function may not reflect what we actually want (i.e. specification gaming or Goodhart's Law). In addition, it seems likely that many capability enhancements will be implemented through the reward function, e.g. giving the agent a curiosity reward, which increases outer misalignment.</v>
      </c>
      <c r="K1197" t="str">
        <f>IFERROR(__xludf.DUMMYFUNCTION("""COMPUTED_VALUE"""),"While I disagree on some of the details, I think this is a good threat model to be thinking about. Its main virtue is that it has a relatively concrete model for what AGI looks like, and it provides a plausible story for both how that type of AGI could be"&amp;" developed (the development model) and how that type of AGI would lead to problems (the risk model). Of course, it is still worth clarifying the plausibility of the scenario, as updates to the story can have significant implications on what research we do"&amp;". (Some of this discussion is happening in [this post](https://www.alignmentforum.org/posts/pz7Mxyr7Ac43tWMaC/against-evolution-as-an-analogy-for-how-humans-will-create).)")</f>
        <v>While I disagree on some of the details, I think this is a good threat model to be thinking about. Its main virtue is that it has a relatively concrete model for what AGI looks like, and it provides a plausible story for both how that type of AGI could be developed (the development model) and how that type of AGI would lead to problems (the risk model). Of course, it is still worth clarifying the plausibility of the scenario, as updates to the story can have significant implications on what research we do. (Some of this discussion is happening in [this post](https://www.alignmentforum.org/posts/pz7Mxyr7Ac43tWMaC/against-evolution-as-an-analogy-for-how-humans-will-create).)</v>
      </c>
    </row>
    <row r="1198">
      <c r="A1198" t="str">
        <f>IFERROR(__xludf.DUMMYFUNCTION("""COMPUTED_VALUE"""),"Miscellaneous (Alignment)")</f>
        <v>Miscellaneous (Alignment)</v>
      </c>
      <c r="B1198" t="str">
        <f>IFERROR(__xludf.DUMMYFUNCTION("""COMPUTED_VALUE"""),"")</f>
        <v/>
      </c>
      <c r="C1198" s="3" t="str">
        <f>IFERROR(__xludf.DUMMYFUNCTION("""COMPUTED_VALUE"""),"Intermittent Distillations #1")</f>
        <v>Intermittent Distillations #1</v>
      </c>
      <c r="D1198" t="str">
        <f>IFERROR(__xludf.DUMMYFUNCTION("""COMPUTED_VALUE"""),"Mark Xu")</f>
        <v>Mark Xu</v>
      </c>
      <c r="E1198" t="str">
        <f>IFERROR(__xludf.DUMMYFUNCTION("""COMPUTED_VALUE"""),"Alignment Forum")</f>
        <v>Alignment Forum</v>
      </c>
      <c r="F1198">
        <f>IFERROR(__xludf.DUMMYFUNCTION("""COMPUTED_VALUE"""),2021.0)</f>
        <v>2021</v>
      </c>
      <c r="H1198" s="3" t="str">
        <f>IFERROR(__xludf.DUMMYFUNCTION("""COMPUTED_VALUE"""),"AN #143")</f>
        <v>AN #143</v>
      </c>
      <c r="I1198" t="str">
        <f>IFERROR(__xludf.DUMMYFUNCTION("""COMPUTED_VALUE"""),"Rohin")</f>
        <v>Rohin</v>
      </c>
      <c r="J1198" t="str">
        <f>IFERROR(__xludf.DUMMYFUNCTION("""COMPUTED_VALUE"""),"A post in the same style as this newsletter.")</f>
        <v>A post in the same style as this newsletter.</v>
      </c>
    </row>
    <row r="1199">
      <c r="A1199" t="str">
        <f>IFERROR(__xludf.DUMMYFUNCTION("""COMPUTED_VALUE"""),"Miscellaneous (Alignment)")</f>
        <v>Miscellaneous (Alignment)</v>
      </c>
      <c r="B1199" t="str">
        <f>IFERROR(__xludf.DUMMYFUNCTION("""COMPUTED_VALUE"""),"")</f>
        <v/>
      </c>
      <c r="C1199" s="3" t="str">
        <f>IFERROR(__xludf.DUMMYFUNCTION("""COMPUTED_VALUE"""),"Distinguishing claims about training vs deployment")</f>
        <v>Distinguishing claims about training vs deployment</v>
      </c>
      <c r="D1199" t="str">
        <f>IFERROR(__xludf.DUMMYFUNCTION("""COMPUTED_VALUE"""),"Richard Ngo")</f>
        <v>Richard Ngo</v>
      </c>
      <c r="E1199" t="str">
        <f>IFERROR(__xludf.DUMMYFUNCTION("""COMPUTED_VALUE"""),"Alignment Forum")</f>
        <v>Alignment Forum</v>
      </c>
      <c r="F1199">
        <f>IFERROR(__xludf.DUMMYFUNCTION("""COMPUTED_VALUE"""),2021.0)</f>
        <v>2021</v>
      </c>
      <c r="H1199" s="3" t="str">
        <f>IFERROR(__xludf.DUMMYFUNCTION("""COMPUTED_VALUE"""),"AN #137")</f>
        <v>AN #137</v>
      </c>
      <c r="I1199" t="str">
        <f>IFERROR(__xludf.DUMMYFUNCTION("""COMPUTED_VALUE"""),"Rohin")</f>
        <v>Rohin</v>
      </c>
      <c r="J1199" t="str">
        <f>IFERROR(__xludf.DUMMYFUNCTION("""COMPUTED_VALUE"""),"One story for AGI is that we train an AI system on some objective function, such as an objective that rewards the agent for following commands given to it by humans using natural language. We then deploy the system without any function that produces rewar"&amp;"d values; we instead give the trained agent commands in natural language. Many key claims in AI alignment benefit from more precisely stating whether they apply during training or during deployment.
For example, consider the instrumental convergence argu"&amp;"ment. The author proposes that we instead think of the training convergence thesis: a wide range of environments in which we could train an AGI will lead to the development of goal-directed behavior aimed towards certain convergent goals (such as self-pre"&amp;"servation). This could happen either via the AGI internalizing them directly as final goals, or by the AGI learning final goals for which these goals are instrumental.
The author similarly clarifies goal specification, the orthogonality thesis, fragility"&amp;" of value, and Goodhart’s Law.")</f>
        <v>One story for AGI is that we train an AI system on some objective function, such as an objective that rewards the agent for following commands given to it by humans using natural language. We then deploy the system without any function that produces reward values; we instead give the trained agent commands in natural language. Many key claims in AI alignment benefit from more precisely stating whether they apply during training or during deployment.
For example, consider the instrumental convergence argument. The author proposes that we instead think of the training convergence thesis: a wide range of environments in which we could train an AGI will lead to the development of goal-directed behavior aimed towards certain convergent goals (such as self-preservation). This could happen either via the AGI internalizing them directly as final goals, or by the AGI learning final goals for which these goals are instrumental.
The author similarly clarifies goal specification, the orthogonality thesis, fragility of value, and Goodhart’s Law.</v>
      </c>
    </row>
    <row r="1200">
      <c r="A1200" t="str">
        <f>IFERROR(__xludf.DUMMYFUNCTION("""COMPUTED_VALUE"""),"Miscellaneous (Alignment)")</f>
        <v>Miscellaneous (Alignment)</v>
      </c>
      <c r="B1200" t="str">
        <f>IFERROR(__xludf.DUMMYFUNCTION("""COMPUTED_VALUE"""),"")</f>
        <v/>
      </c>
      <c r="C1200" s="3" t="str">
        <f>IFERROR(__xludf.DUMMYFUNCTION("""COMPUTED_VALUE"""),"Putting the humanity into inhuman systems: How human factors and ergonomics can be used to manage the risks associated with artificial general intelligence")</f>
        <v>Putting the humanity into inhuman systems: How human factors and ergonomics can be used to manage the risks associated with artificial general intelligence</v>
      </c>
      <c r="D1200" t="str">
        <f>IFERROR(__xludf.DUMMYFUNCTION("""COMPUTED_VALUE"""),"Paul M. Salmon, Tony Carden, Peter A. Hancock")</f>
        <v>Paul M. Salmon, Tony Carden, Peter A. Hancock</v>
      </c>
      <c r="E1200" t="str">
        <f>IFERROR(__xludf.DUMMYFUNCTION("""COMPUTED_VALUE"""),"Human Factors and Ergonomics in Manufacturing")</f>
        <v>Human Factors and Ergonomics in Manufacturing</v>
      </c>
      <c r="F1200">
        <f>IFERROR(__xludf.DUMMYFUNCTION("""COMPUTED_VALUE"""),2020.0)</f>
        <v>2020</v>
      </c>
      <c r="H1200" s="3" t="str">
        <f>IFERROR(__xludf.DUMMYFUNCTION("""COMPUTED_VALUE"""),"AN #137")</f>
        <v>AN #137</v>
      </c>
      <c r="I1200" t="str">
        <f>IFERROR(__xludf.DUMMYFUNCTION("""COMPUTED_VALUE"""),"Rohin")</f>
        <v>Rohin</v>
      </c>
      <c r="J1200" t="str">
        <f>IFERROR(__xludf.DUMMYFUNCTION("""COMPUTED_VALUE"""),"This paper argues that the methods of Human Factors and Ergonomics (HFE) should be applied to AGI safety. They list fifteen different methods from the field, typically used to analyze the performance of humans in systems, which could be applied to AGI ins"&amp;"tead (on the assumption that AGI will be more like humans than like machines in today’s systems). They then give examples of how these might be applied to the Prometheus story in the prologue of [Life 3.0](https://www.amazon.com/Life-3-0-Being-Artificial-"&amp;"Intelligence/dp/1101946598).")</f>
        <v>This paper argues that the methods of Human Factors and Ergonomics (HFE) should be applied to AGI safety. They list fifteen different methods from the field, typically used to analyze the performance of humans in systems, which could be applied to AGI instead (on the assumption that AGI will be more like humans than like machines in today’s systems). They then give examples of how these might be applied to the Prometheus story in the prologue of [Life 3.0](https://www.amazon.com/Life-3-0-Being-Artificial-Intelligence/dp/1101946598).</v>
      </c>
      <c r="K1200" t="str">
        <f>IFERROR(__xludf.DUMMYFUNCTION("""COMPUTED_VALUE"""),"I’m not very familiar with this field, but among other techniques the paper mentions STAMP and STPA which we’ve previously seen in &lt;@Engineering a Safer World@&gt;. It does seem to me like these techniques would be useful to apply to the entire sociotechnica"&amp;"l system, of which an AGI system is just one part (and this is what the paper’s examples do). It is less clear to me whether it makes sense to take techniques designed for humans and apply them to AGI: perhaps we’ll have enough understanding of the differ"&amp;"ences between humans and AGI that we could do this in a reasonable way, but I think there is a real risk that the methods give incorrect conclusions simply because they make incorrect assumptions about how AGI works (given that they were designed for huma"&amp;"ns). Nonetheless, I do agree with the core claim of this paper that HFE is worth exploring.")</f>
        <v>I’m not very familiar with this field, but among other techniques the paper mentions STAMP and STPA which we’ve previously seen in &lt;@Engineering a Safer World@&gt;. It does seem to me like these techniques would be useful to apply to the entire sociotechnical system, of which an AGI system is just one part (and this is what the paper’s examples do). It is less clear to me whether it makes sense to take techniques designed for humans and apply them to AGI: perhaps we’ll have enough understanding of the differences between humans and AGI that we could do this in a reasonable way, but I think there is a real risk that the methods give incorrect conclusions simply because they make incorrect assumptions about how AGI works (given that they were designed for humans). Nonetheless, I do agree with the core claim of this paper that HFE is worth exploring.</v>
      </c>
    </row>
    <row r="1201">
      <c r="A1201" t="str">
        <f>IFERROR(__xludf.DUMMYFUNCTION("""COMPUTED_VALUE"""),"Miscellaneous (Alignment)")</f>
        <v>Miscellaneous (Alignment)</v>
      </c>
      <c r="B1201" t="str">
        <f>IFERROR(__xludf.DUMMYFUNCTION("""COMPUTED_VALUE"""),"")</f>
        <v/>
      </c>
      <c r="C1201" s="3" t="str">
        <f>IFERROR(__xludf.DUMMYFUNCTION("""COMPUTED_VALUE"""),"Mapping the Conceptual Territory in AI Existential Safety and Alignment")</f>
        <v>Mapping the Conceptual Territory in AI Existential Safety and Alignment</v>
      </c>
      <c r="D1201" t="str">
        <f>IFERROR(__xludf.DUMMYFUNCTION("""COMPUTED_VALUE"""),"Jack Koch")</f>
        <v>Jack Koch</v>
      </c>
      <c r="E1201" t="str">
        <f>IFERROR(__xludf.DUMMYFUNCTION("""COMPUTED_VALUE"""),"Author's Website")</f>
        <v>Author's Website</v>
      </c>
      <c r="F1201">
        <f>IFERROR(__xludf.DUMMYFUNCTION("""COMPUTED_VALUE"""),2020.0)</f>
        <v>2020</v>
      </c>
      <c r="H1201" s="3" t="str">
        <f>IFERROR(__xludf.DUMMYFUNCTION("""COMPUTED_VALUE"""),"AN #131")</f>
        <v>AN #131</v>
      </c>
      <c r="I1201" t="str">
        <f>IFERROR(__xludf.DUMMYFUNCTION("""COMPUTED_VALUE"""),"Rohin")</f>
        <v>Rohin</v>
      </c>
      <c r="J1201" t="str">
        <f>IFERROR(__xludf.DUMMYFUNCTION("""COMPUTED_VALUE"""),"There are a bunch of high-level overviews and research agendas, not all of which agree with each other. This post attempts to connect and integrate several of these, drawing heavily on &lt;@Paul Christiano’s overview@&gt;(@Current Work in AI Alignment@), [my](h"&amp;"ttps://futureoflife.org/2019/04/11/an-overview-of-technical-ai-alignment-with-rohin-shah-part-1/) [overview](https://futureoflife.org/2019/04/25/an-overview-of-technical-ai-alignment-with-rohin-shah-part-2/), and the &lt;@ARCHES agenda@&gt;(@AI Research Conside"&amp;"rations for Human Existential Safety@), but also including a lot of other work. It serves as a good way of connecting these various perspectives; I recommend reading it for this reason. (Unfortunately, it is rather hard to summarize, so I haven’t done so."&amp;")")</f>
        <v>There are a bunch of high-level overviews and research agendas, not all of which agree with each other. This post attempts to connect and integrate several of these, drawing heavily on &lt;@Paul Christiano’s overview@&gt;(@Current Work in AI Alignment@), [my](https://futureoflife.org/2019/04/11/an-overview-of-technical-ai-alignment-with-rohin-shah-part-1/) [overview](https://futureoflife.org/2019/04/25/an-overview-of-technical-ai-alignment-with-rohin-shah-part-2/), and the &lt;@ARCHES agenda@&gt;(@AI Research Considerations for Human Existential Safety@), but also including a lot of other work. It serves as a good way of connecting these various perspectives; I recommend reading it for this reason. (Unfortunately, it is rather hard to summarize, so I haven’t done so.)</v>
      </c>
    </row>
    <row r="1202">
      <c r="A1202" t="str">
        <f>IFERROR(__xludf.DUMMYFUNCTION("""COMPUTED_VALUE"""),"Miscellaneous (Alignment)")</f>
        <v>Miscellaneous (Alignment)</v>
      </c>
      <c r="B1202" t="str">
        <f>IFERROR(__xludf.DUMMYFUNCTION("""COMPUTED_VALUE"""),"")</f>
        <v/>
      </c>
      <c r="C1202" s="3" t="str">
        <f>IFERROR(__xludf.DUMMYFUNCTION("""COMPUTED_VALUE"""),"AI safety: state of the field through quantitative lens")</f>
        <v>AI safety: state of the field through quantitative lens</v>
      </c>
      <c r="D1202" t="str">
        <f>IFERROR(__xludf.DUMMYFUNCTION("""COMPUTED_VALUE"""),"Mislav Juric, Agneza Sandic, Mario Brcic")</f>
        <v>Mislav Juric, Agneza Sandic, Mario Brcic</v>
      </c>
      <c r="E1202" t="str">
        <f>IFERROR(__xludf.DUMMYFUNCTION("""COMPUTED_VALUE"""),"arXiv")</f>
        <v>arXiv</v>
      </c>
      <c r="F1202">
        <f>IFERROR(__xludf.DUMMYFUNCTION("""COMPUTED_VALUE"""),2020.0)</f>
        <v>2020</v>
      </c>
      <c r="H1202" s="3" t="str">
        <f>IFERROR(__xludf.DUMMYFUNCTION("""COMPUTED_VALUE"""),"AN #131")</f>
        <v>AN #131</v>
      </c>
      <c r="I1202" t="str">
        <f>IFERROR(__xludf.DUMMYFUNCTION("""COMPUTED_VALUE"""),"Rohin")</f>
        <v>Rohin</v>
      </c>
      <c r="J1202" t="str">
        <f>IFERROR(__xludf.DUMMYFUNCTION("""COMPUTED_VALUE"""),"This paper presents data demonstrating growth in various subfields related to AI safety. The data was collected through queries to databases of papers and (presumably) reporting the number of results that the query returned.")</f>
        <v>This paper presents data demonstrating growth in various subfields related to AI safety. The data was collected through queries to databases of papers and (presumably) reporting the number of results that the query returned.</v>
      </c>
      <c r="K1202" t="str">
        <f>IFERROR(__xludf.DUMMYFUNCTION("""COMPUTED_VALUE"""),"The sharpest increases in the graphs seem to be in interpretability and explainable AI around 2017-18, as well as in value alignment starting in 2017. My guess is that the former is the result of [DARPA’s interest in the area](https://www.darpa.mil/attach"&amp;"ments/DARPA-BAA-16-53.pdf) (which I believe started in 2016), and the latter is probably a combination of the founding of the Center for Human-Compatible AI (CHAI) and the publication and promotion of &lt;@CIRL@&gt;(@Cooperative Inverse Reinforcement Learning@)"&amp;" (one of CHAI’s early papers).
Surprisingly to me, we don’t see trend deviations in papers on “reward hacking”, “safe exploration”, or “distributional shift” after the publication of [Concrete Problems in AI Safety](https://arxiv.org/abs/1606.06565), eve"&amp;"n though it has been cited way more often than CIRL, and seemed like it had far more of an effect on mainstream AI researchers. (Note that “safe exploration” did increase, but it seems in line with the existing trend.)
Note that I expect the data source "&amp;"is not that reliable, and so I am not confident in any of these conclusions.")</f>
        <v>The sharpest increases in the graphs seem to be in interpretability and explainable AI around 2017-18, as well as in value alignment starting in 2017. My guess is that the former is the result of [DARPA’s interest in the area](https://www.darpa.mil/attachments/DARPA-BAA-16-53.pdf) (which I believe started in 2016), and the latter is probably a combination of the founding of the Center for Human-Compatible AI (CHAI) and the publication and promotion of &lt;@CIRL@&gt;(@Cooperative Inverse Reinforcement Learning@) (one of CHAI’s early papers).
Surprisingly to me, we don’t see trend deviations in papers on “reward hacking”, “safe exploration”, or “distributional shift” after the publication of [Concrete Problems in AI Safety](https://arxiv.org/abs/1606.06565), even though it has been cited way more often than CIRL, and seemed like it had far more of an effect on mainstream AI researchers. (Note that “safe exploration” did increase, but it seems in line with the existing trend.)
Note that I expect the data source is not that reliable, and so I am not confident in any of these conclusions.</v>
      </c>
    </row>
    <row r="1203">
      <c r="A1203" t="str">
        <f>IFERROR(__xludf.DUMMYFUNCTION("""COMPUTED_VALUE"""),"Miscellaneous (Alignment)")</f>
        <v>Miscellaneous (Alignment)</v>
      </c>
      <c r="B1203" t="str">
        <f>IFERROR(__xludf.DUMMYFUNCTION("""COMPUTED_VALUE"""),"")</f>
        <v/>
      </c>
      <c r="C1203" s="3" t="str">
        <f>IFERROR(__xludf.DUMMYFUNCTION("""COMPUTED_VALUE"""),"When AI Systems Fail: Introducing the AI Incident Database")</f>
        <v>When AI Systems Fail: Introducing the AI Incident Database</v>
      </c>
      <c r="D1203" t="str">
        <f>IFERROR(__xludf.DUMMYFUNCTION("""COMPUTED_VALUE"""),"Sean McGregor")</f>
        <v>Sean McGregor</v>
      </c>
      <c r="E1203" t="str">
        <f>IFERROR(__xludf.DUMMYFUNCTION("""COMPUTED_VALUE"""),"arXiv")</f>
        <v>arXiv</v>
      </c>
      <c r="F1203">
        <f>IFERROR(__xludf.DUMMYFUNCTION("""COMPUTED_VALUE"""),2020.0)</f>
        <v>2020</v>
      </c>
      <c r="H1203" s="3" t="str">
        <f>IFERROR(__xludf.DUMMYFUNCTION("""COMPUTED_VALUE"""),"AN #129")</f>
        <v>AN #129</v>
      </c>
      <c r="I1203" t="str">
        <f>IFERROR(__xludf.DUMMYFUNCTION("""COMPUTED_VALUE"""),"Rohin")</f>
        <v>Rohin</v>
      </c>
      <c r="J1203" t="str">
        <f>IFERROR(__xludf.DUMMYFUNCTION("""COMPUTED_VALUE"""),"One obvious way to improve safety is to learn from past mistakes, and not repeat them. This suggests that it would be particularly valuable to have a repository of past incidents that have occurred, so that people can learn from them; indeed both aviation"&amp;" and cybersecurity have their own incident databases. The AI Incidents Database aims to fill this gap within AI. The database currently has over a thousand incidents covering a wide range of potential issues, including self-driving car accidents, wrongful"&amp;" arrests due to bad facial recognition or machine translation, and algorithm-driven “flash crash”.")</f>
        <v>One obvious way to improve safety is to learn from past mistakes, and not repeat them. This suggests that it would be particularly valuable to have a repository of past incidents that have occurred, so that people can learn from them; indeed both aviation and cybersecurity have their own incident databases. The AI Incidents Database aims to fill this gap within AI. The database currently has over a thousand incidents covering a wide range of potential issues, including self-driving car accidents, wrongful arrests due to bad facial recognition or machine translation, and algorithm-driven “flash crash”.</v>
      </c>
      <c r="M1203" t="str">
        <f>IFERROR(__xludf.DUMMYFUNCTION("""COMPUTED_VALUE"""),"[AI Incident Database](https://incidentdatabase.ai/)
[Paper: Preventing Repeated Real World AI Failures by Cataloging Incidents: The AI Incident Database](https://arxiv.org/abs/2011.08512)")</f>
        <v>[AI Incident Database](https://incidentdatabase.ai/)
[Paper: Preventing Repeated Real World AI Failures by Cataloging Incidents: The AI Incident Database](https://arxiv.org/abs/2011.08512)</v>
      </c>
    </row>
    <row r="1204">
      <c r="A1204" t="str">
        <f>IFERROR(__xludf.DUMMYFUNCTION("""COMPUTED_VALUE"""),"Miscellaneous (Alignment)")</f>
        <v>Miscellaneous (Alignment)</v>
      </c>
      <c r="B1204" t="str">
        <f>IFERROR(__xludf.DUMMYFUNCTION("""COMPUTED_VALUE"""),"")</f>
        <v/>
      </c>
      <c r="C1204" s="3" t="str">
        <f>IFERROR(__xludf.DUMMYFUNCTION("""COMPUTED_VALUE"""),"Hard Choices in Artificial Intelligence: Addressing Normative Uncertainty through Sociotechnical Commitments")</f>
        <v>Hard Choices in Artificial Intelligence: Addressing Normative Uncertainty through Sociotechnical Commitments</v>
      </c>
      <c r="D1204" t="str">
        <f>IFERROR(__xludf.DUMMYFUNCTION("""COMPUTED_VALUE"""),"Roel Dobbe, Thomas Krendl Gilbert, Yonatan Mintz")</f>
        <v>Roel Dobbe, Thomas Krendl Gilbert, Yonatan Mintz</v>
      </c>
      <c r="E1204" t="str">
        <f>IFERROR(__xludf.DUMMYFUNCTION("""COMPUTED_VALUE"""),"arXiv")</f>
        <v>arXiv</v>
      </c>
      <c r="F1204">
        <f>IFERROR(__xludf.DUMMYFUNCTION("""COMPUTED_VALUE"""),2020.0)</f>
        <v>2020</v>
      </c>
      <c r="H1204" s="3" t="str">
        <f>IFERROR(__xludf.DUMMYFUNCTION("""COMPUTED_VALUE"""),"AN #119")</f>
        <v>AN #119</v>
      </c>
      <c r="I1204" t="str">
        <f>IFERROR(__xludf.DUMMYFUNCTION("""COMPUTED_VALUE"""),"Flo")</f>
        <v>Flo</v>
      </c>
      <c r="J1204" t="str">
        <f>IFERROR(__xludf.DUMMYFUNCTION("""COMPUTED_VALUE"""),"This paper looks at AI Safety from the lens of Science &amp; Technology Studies. AI systems are framed as sociotechnical, meaning that both social and technical aspects influence their development and deployment. As AI systems scale, we may face difficult val"&amp;"ue choices: for example, how do we compare between values like equality and liberty when we cannot have both? This can be resolved using intuitive comparability (IC): even if it seems incomparable in the abstract, humans are still able to make deliberate "&amp;"tradeoffs that involve these values. This is particularly relevant for so-called hard choices where different alternatives seem to be on par, which require normative reasoning and the incorporation of values that were previously neglected. As AI systems c"&amp;"an reshape the contexts in which stakeholders exist, we are likely to encounter many hard choices as new values emerge or become more salient. The IC perspective then suggests that AI systems and criteria for evaluation should be iteratively redesigned ba"&amp;"sed on qualitative feedback from different stakeholders.
The authors then argue that as AI systems encode hard choices made by or for different stakeholders, they are fundamentally political. Developers are in a position of power and have the responsibil"&amp;"ity to take a political stance. A set of challenges to preserve stakeholders' access to hard choices in an AI system's development are proposed: 
1. The design of the system should involve the explicit negotiation of modelling assumptions or the lack ther"&amp;"eof and learning goals as well as deliberation about future value conflicts or externalities that might make a reiteration of the design process necessary and give enough flexibility for stakeholders to imprint their own values during training and deploym"&amp;"ent. 
 2. The training of the system should involve an impartial assessment of the tradeoff between visible performance and potential hidden disadvantages like bias, brittleness or unwanted strategic behaviour and involve stakeholders in the resolution. F"&amp;"urthermore, a team consensus about what can and cannot be done to improve performance should be established. 
 3. During deployment, there should be an easily useable and trustworthy feedback channel for stakeholders, who should either have an explicit sa"&amp;"y in shaping the system (political setting) or the option to opt out of the system without major costs (market setting).
These challenges should be part of the training of AI designers and engineers, while the public needs to be sufficiently educated ab"&amp;"out the assumptions behind and the abilities and limitations of AI systems to allow for informed dissent.")</f>
        <v>This paper looks at AI Safety from the lens of Science &amp; Technology Studies. AI systems are framed as sociotechnical, meaning that both social and technical aspects influence their development and deployment. As AI systems scale, we may face difficult value choices: for example, how do we compare between values like equality and liberty when we cannot have both? This can be resolved using intuitive comparability (IC): even if it seems incomparable in the abstract, humans are still able to make deliberate tradeoffs that involve these values. This is particularly relevant for so-called hard choices where different alternatives seem to be on par, which require normative reasoning and the incorporation of values that were previously neglected. As AI systems can reshape the contexts in which stakeholders exist, we are likely to encounter many hard choices as new values emerge or become more salient. The IC perspective then suggests that AI systems and criteria for evaluation should be iteratively redesigned based on qualitative feedback from different stakeholders.
The authors then argue that as AI systems encode hard choices made by or for different stakeholders, they are fundamentally political. Developers are in a position of power and have the responsibility to take a political stance. A set of challenges to preserve stakeholders' access to hard choices in an AI system's development are proposed: 
1. The design of the system should involve the explicit negotiation of modelling assumptions or the lack thereof and learning goals as well as deliberation about future value conflicts or externalities that might make a reiteration of the design process necessary and give enough flexibility for stakeholders to imprint their own values during training and deployment. 
 2. The training of the system should involve an impartial assessment of the tradeoff between visible performance and potential hidden disadvantages like bias, brittleness or unwanted strategic behaviour and involve stakeholders in the resolution. Furthermore, a team consensus about what can and cannot be done to improve performance should be established. 
 3. During deployment, there should be an easily useable and trustworthy feedback channel for stakeholders, who should either have an explicit say in shaping the system (political setting) or the option to opt out of the system without major costs (market setting).
These challenges should be part of the training of AI designers and engineers, while the public needs to be sufficiently educated about the assumptions behind and the abilities and limitations of AI systems to allow for informed dissent.</v>
      </c>
      <c r="K1204" t="str">
        <f>IFERROR(__xludf.DUMMYFUNCTION("""COMPUTED_VALUE"""),"I agree that technology, especially widely used one, always has a political aspect: providing access to new capabilities can have large societal effects that affect actors differently, based on accessibility and how well the capabilities match with their "&amp;"existing ones. I also like the distinction between deployment in market settings, where opting out is possible, and political settings, even though this can obviously become quite fuzzy when network effects make competition difficult. Lastly, I strongly a"&amp;"gree that we will need an iterative process involving qualitative feedback to ensure good outcomes from AI, but worry that competitive pressures or the underestimation of runaway feedback dynamics could lead to situations where AI systems directly or indi"&amp;"rectly prevent us from adjusting them. ")</f>
        <v>I agree that technology, especially widely used one, always has a political aspect: providing access to new capabilities can have large societal effects that affect actors differently, based on accessibility and how well the capabilities match with their existing ones. I also like the distinction between deployment in market settings, where opting out is possible, and political settings, even though this can obviously become quite fuzzy when network effects make competition difficult. Lastly, I strongly agree that we will need an iterative process involving qualitative feedback to ensure good outcomes from AI, but worry that competitive pressures or the underestimation of runaway feedback dynamics could lead to situations where AI systems directly or indirectly prevent us from adjusting them. </v>
      </c>
    </row>
    <row r="1205">
      <c r="A1205" t="str">
        <f>IFERROR(__xludf.DUMMYFUNCTION("""COMPUTED_VALUE"""),"Miscellaneous (Alignment)")</f>
        <v>Miscellaneous (Alignment)</v>
      </c>
      <c r="B1205" t="str">
        <f>IFERROR(__xludf.DUMMYFUNCTION("""COMPUTED_VALUE"""),"")</f>
        <v/>
      </c>
      <c r="C1205" s="3" t="str">
        <f>IFERROR(__xludf.DUMMYFUNCTION("""COMPUTED_VALUE"""),"The ""Backchaining to Local Search"" Technique in AI Alignment")</f>
        <v>The "Backchaining to Local Search" Technique in AI Alignment</v>
      </c>
      <c r="D1205" t="str">
        <f>IFERROR(__xludf.DUMMYFUNCTION("""COMPUTED_VALUE"""),"Adam Shimi")</f>
        <v>Adam Shimi</v>
      </c>
      <c r="E1205" t="str">
        <f>IFERROR(__xludf.DUMMYFUNCTION("""COMPUTED_VALUE"""),"Alignment Forum")</f>
        <v>Alignment Forum</v>
      </c>
      <c r="F1205">
        <f>IFERROR(__xludf.DUMMYFUNCTION("""COMPUTED_VALUE"""),2020.0)</f>
        <v>2020</v>
      </c>
      <c r="H1205" s="3" t="str">
        <f>IFERROR(__xludf.DUMMYFUNCTION("""COMPUTED_VALUE"""),"AN #118")</f>
        <v>AN #118</v>
      </c>
      <c r="I1205" t="str">
        <f>IFERROR(__xludf.DUMMYFUNCTION("""COMPUTED_VALUE"""),"Rohin")</f>
        <v>Rohin</v>
      </c>
      <c r="J1205" t="str">
        <f>IFERROR(__xludf.DUMMYFUNCTION("""COMPUTED_VALUE"""),"This post explains a technique to use in AI alignment, that the author dubs “backchaining to local search” (where local search refers to techniques like gradient descent and evolutionary algorithms). The key idea is to take some proposed problem with AI s"&amp;"ystems, and figure out mechanistically how that problem could arise when running a local search algorithm. This can help provide information about whether we should expect the problem to arise in practice.")</f>
        <v>This post explains a technique to use in AI alignment, that the author dubs “backchaining to local search” (where local search refers to techniques like gradient descent and evolutionary algorithms). The key idea is to take some proposed problem with AI systems, and figure out mechanistically how that problem could arise when running a local search algorithm. This can help provide information about whether we should expect the problem to arise in practice.</v>
      </c>
      <c r="K1205" t="str">
        <f>IFERROR(__xludf.DUMMYFUNCTION("""COMPUTED_VALUE"""),"I’m a big fan of this technique: it has helped me notice that many of my concepts were confused. For example, this helped me get deconfused about wireheading and inner alignment. It’s an instance of the more general technique (that I also like) of taking "&amp;"an abstract argument and making it more concrete and realistic, which often reveals aspects of the argument that you wouldn’t have previously noticed.")</f>
        <v>I’m a big fan of this technique: it has helped me notice that many of my concepts were confused. For example, this helped me get deconfused about wireheading and inner alignment. It’s an instance of the more general technique (that I also like) of taking an abstract argument and making it more concrete and realistic, which often reveals aspects of the argument that you wouldn’t have previously noticed.</v>
      </c>
    </row>
    <row r="1206">
      <c r="A1206" t="str">
        <f>IFERROR(__xludf.DUMMYFUNCTION("""COMPUTED_VALUE"""),"Miscellaneous (Alignment)")</f>
        <v>Miscellaneous (Alignment)</v>
      </c>
      <c r="B1206" t="str">
        <f>IFERROR(__xludf.DUMMYFUNCTION("""COMPUTED_VALUE"""),"")</f>
        <v/>
      </c>
      <c r="C1206" s="3" t="str">
        <f>IFERROR(__xludf.DUMMYFUNCTION("""COMPUTED_VALUE"""),"Foundational Philosophical Questions in AI Alignment")</f>
        <v>Foundational Philosophical Questions in AI Alignment</v>
      </c>
      <c r="D1206" t="str">
        <f>IFERROR(__xludf.DUMMYFUNCTION("""COMPUTED_VALUE"""),"Lucas Perry and Iason Gabriel")</f>
        <v>Lucas Perry and Iason Gabriel</v>
      </c>
      <c r="E1206" t="str">
        <f>IFERROR(__xludf.DUMMYFUNCTION("""COMPUTED_VALUE"""),"FLI Website")</f>
        <v>FLI Website</v>
      </c>
      <c r="F1206">
        <f>IFERROR(__xludf.DUMMYFUNCTION("""COMPUTED_VALUE"""),2020.0)</f>
        <v>2020</v>
      </c>
      <c r="H1206" s="3" t="str">
        <f>IFERROR(__xludf.DUMMYFUNCTION("""COMPUTED_VALUE"""),"AN #117")</f>
        <v>AN #117</v>
      </c>
      <c r="I1206" t="str">
        <f>IFERROR(__xludf.DUMMYFUNCTION("""COMPUTED_VALUE"""),"Rohin")</f>
        <v>Rohin</v>
      </c>
      <c r="J1206" t="str">
        <f>IFERROR(__xludf.DUMMYFUNCTION("""COMPUTED_VALUE"""),"This podcast starts with the topic of the paper &lt;@Artificial Intelligence, Values and Alignment@&gt; and then talks about a variety of different philosophical questions surrounding AI alignment.")</f>
        <v>This podcast starts with the topic of the paper &lt;@Artificial Intelligence, Values and Alignment@&gt; and then talks about a variety of different philosophical questions surrounding AI alignment.</v>
      </c>
    </row>
    <row r="1207">
      <c r="A1207" t="str">
        <f>IFERROR(__xludf.DUMMYFUNCTION("""COMPUTED_VALUE"""),"Miscellaneous (Alignment)")</f>
        <v>Miscellaneous (Alignment)</v>
      </c>
      <c r="B1207" t="str">
        <f>IFERROR(__xludf.DUMMYFUNCTION("""COMPUTED_VALUE"""),"")</f>
        <v/>
      </c>
      <c r="C1207" s="3" t="str">
        <f>IFERROR(__xludf.DUMMYFUNCTION("""COMPUTED_VALUE"""),"State of AI Ethics")</f>
        <v>State of AI Ethics</v>
      </c>
      <c r="D1207" t="str">
        <f>IFERROR(__xludf.DUMMYFUNCTION("""COMPUTED_VALUE"""),"Abhishek Gupta, Marianna Ganapini, Renjie Butalid, Camylle Lanteigne, Allison Cohen, Mo Akif, Tania De Gasperis, Victoria Heath, Erick Galinkin")</f>
        <v>Abhishek Gupta, Marianna Ganapini, Renjie Butalid, Camylle Lanteigne, Allison Cohen, Mo Akif, Tania De Gasperis, Victoria Heath, Erick Galinkin</v>
      </c>
      <c r="E1207" t="str">
        <f>IFERROR(__xludf.DUMMYFUNCTION("""COMPUTED_VALUE"""),"MAIEI Website")</f>
        <v>MAIEI Website</v>
      </c>
      <c r="F1207">
        <f>IFERROR(__xludf.DUMMYFUNCTION("""COMPUTED_VALUE"""),2020.0)</f>
        <v>2020</v>
      </c>
      <c r="H1207" s="3" t="str">
        <f>IFERROR(__xludf.DUMMYFUNCTION("""COMPUTED_VALUE"""),"AN #115")</f>
        <v>AN #115</v>
      </c>
      <c r="I1207" t="str">
        <f>IFERROR(__xludf.DUMMYFUNCTION("""COMPUTED_VALUE"""),"Rohin")</f>
        <v>Rohin</v>
      </c>
      <c r="J1207" t="str">
        <f>IFERROR(__xludf.DUMMYFUNCTION("""COMPUTED_VALUE"""),"This report from the Montreal AI Ethics Institute has a wide variety of summaries on many different topics in AI ethics, quite similarly to this newsletter in fact.")</f>
        <v>This report from the Montreal AI Ethics Institute has a wide variety of summaries on many different topics in AI ethics, quite similarly to this newsletter in fact.</v>
      </c>
    </row>
    <row r="1208">
      <c r="A1208" t="str">
        <f>IFERROR(__xludf.DUMMYFUNCTION("""COMPUTED_VALUE"""),"Miscellaneous (Alignment)")</f>
        <v>Miscellaneous (Alignment)</v>
      </c>
      <c r="B1208" t="str">
        <f>IFERROR(__xludf.DUMMYFUNCTION("""COMPUTED_VALUE"""),"")</f>
        <v/>
      </c>
      <c r="C1208" s="3" t="str">
        <f>IFERROR(__xludf.DUMMYFUNCTION("""COMPUTED_VALUE"""),"The Problem with Metrics is a Fundamental Problem for AI")</f>
        <v>The Problem with Metrics is a Fundamental Problem for AI</v>
      </c>
      <c r="D1208" t="str">
        <f>IFERROR(__xludf.DUMMYFUNCTION("""COMPUTED_VALUE"""),"Rachel Thomas, David Uminsky")</f>
        <v>Rachel Thomas, David Uminsky</v>
      </c>
      <c r="E1208" t="str">
        <f>IFERROR(__xludf.DUMMYFUNCTION("""COMPUTED_VALUE"""),"arXiv")</f>
        <v>arXiv</v>
      </c>
      <c r="F1208">
        <f>IFERROR(__xludf.DUMMYFUNCTION("""COMPUTED_VALUE"""),2020.0)</f>
        <v>2020</v>
      </c>
      <c r="H1208" t="str">
        <f>IFERROR(__xludf.DUMMYFUNCTION("""COMPUTED_VALUE"""),"AN #114")</f>
        <v>AN #114</v>
      </c>
      <c r="I1208" t="str">
        <f>IFERROR(__xludf.DUMMYFUNCTION("""COMPUTED_VALUE"""),"Flo")</f>
        <v>Flo</v>
      </c>
      <c r="J1208" t="str">
        <f>IFERROR(__xludf.DUMMYFUNCTION("""COMPUTED_VALUE"""),"The blog post lists five problems of current AI that are exacerbated by the cheap cost and easy scaling of AI systems combined with the common belief that algorithms are objective and error-free: 
 1. It is often hard for affected people to address proble"&amp;"ms in algorithmic decisions
 2. The complexity of AI problems can easily lead to a diffusion of responsibility
 3. AI can encode biases and sometimes magnify them via feedback loops
 4. Big tech companies lack accountability
 5. Current AI systems usually"&amp;" focus exclusively on optimizing metrics.  
The paper then dives deeper into the last point. They review a series of case studies and form four conclusions. First, measured metrics are usually only a proxy for what we really care about: Youtube'"&amp;"s terminal goal is certainly not to maximize viewing time and society does not inherently care about student test scores. Secondly, metrics can and will be gamed: Soviet workers would often achieve their production targets at the cost of some unmeasured a"&amp;"spects of performance, reported waiting times in the English healthcare system were distorted once targets were set for them and evaluating teachers by test scores has led to cheating scandals in the US. Third, metrics tend to overemphasise short-term con"&amp;"cerns as they are often easier to measure. This can be seen in businesses like Facebook and Wells Fargo that have faced political backlash, worse access to talent pools, or lawsuits because of an excessive focus on click-through rates and quarterly earnin"&amp;"gs. Fourth, tech firms often focus on metrics that are associated with addictive environments. For example, ""engagement"" metrics are used as proxies for user preferences but rarely reflect them accurately in contexts that were optimized for these metric"&amp;"s. The authors then propose three remedies: Using multiple metrics to get a more holistic picture and make gaming harder, combining metrics with qualitative accounts, and involving domain experts and stakeholders that would be personally affected by the d"&amp;"eployed system.")</f>
        <v>The blog post lists five problems of current AI that are exacerbated by the cheap cost and easy scaling of AI systems combined with the common belief that algorithms are objective and error-free: 
 1. It is often hard for affected people to address problems in algorithmic decisions
 2. The complexity of AI problems can easily lead to a diffusion of responsibility
 3. AI can encode biases and sometimes magnify them via feedback loops
 4. Big tech companies lack accountability
 5. Current AI systems usually focus exclusively on optimizing metrics.  
The paper then dives deeper into the last point. They review a series of case studies and form four conclusions. First, measured metrics are usually only a proxy for what we really care about: Youtube's terminal goal is certainly not to maximize viewing time and society does not inherently care about student test scores. Secondly, metrics can and will be gamed: Soviet workers would often achieve their production targets at the cost of some unmeasured aspects of performance, reported waiting times in the English healthcare system were distorted once targets were set for them and evaluating teachers by test scores has led to cheating scandals in the US. Third, metrics tend to overemphasise short-term concerns as they are often easier to measure. This can be seen in businesses like Facebook and Wells Fargo that have faced political backlash, worse access to talent pools, or lawsuits because of an excessive focus on click-through rates and quarterly earnings. Fourth, tech firms often focus on metrics that are associated with addictive environments. For example, "engagement" metrics are used as proxies for user preferences but rarely reflect them accurately in contexts that were optimized for these metrics. The authors then propose three remedies: Using multiple metrics to get a more holistic picture and make gaming harder, combining metrics with qualitative accounts, and involving domain experts and stakeholders that would be personally affected by the deployed system.</v>
      </c>
      <c r="K1208" t="str">
        <f>IFERROR(__xludf.DUMMYFUNCTION("""COMPUTED_VALUE"""),"I found this interesting to read, as it does not really seem to be written from the perspective of AI Safety but still lists some problems that are related to AI safety and governance. Just think of an AI system tasked to help with realizing human prefere"&amp;"nces magnifying ""biases"" in its preference elicitation via unwanted feedback loops, or about the lack of firms accountability for socioeconomic disturbances their AI systems could create that &lt;@the windfall clause@&gt;(@The Windfall Clause: Distributing th"&amp;"e Benefits of AI@) was envisioned to mitigate. ")</f>
        <v>I found this interesting to read, as it does not really seem to be written from the perspective of AI Safety but still lists some problems that are related to AI safety and governance. Just think of an AI system tasked to help with realizing human preferences magnifying "biases" in its preference elicitation via unwanted feedback loops, or about the lack of firms accountability for socioeconomic disturbances their AI systems could create that &lt;@the windfall clause@&gt;(@The Windfall Clause: Distributing the Benefits of AI@) was envisioned to mitigate. </v>
      </c>
      <c r="M1208" s="3" t="str">
        <f>IFERROR(__xludf.DUMMYFUNCTION("""COMPUTED_VALUE"""),"I’m an AI researcher, and here’s what scares me about AI")</f>
        <v>I’m an AI researcher, and here’s what scares me about AI</v>
      </c>
    </row>
    <row r="1209">
      <c r="A1209" t="str">
        <f>IFERROR(__xludf.DUMMYFUNCTION("""COMPUTED_VALUE"""),"Miscellaneous (Alignment)")</f>
        <v>Miscellaneous (Alignment)</v>
      </c>
      <c r="B1209" t="str">
        <f>IFERROR(__xludf.DUMMYFUNCTION("""COMPUTED_VALUE"""),"")</f>
        <v/>
      </c>
      <c r="C1209" s="3" t="str">
        <f>IFERROR(__xludf.DUMMYFUNCTION("""COMPUTED_VALUE"""),"Search versus design")</f>
        <v>Search versus design</v>
      </c>
      <c r="D1209" t="str">
        <f>IFERROR(__xludf.DUMMYFUNCTION("""COMPUTED_VALUE"""),"Alex Flint")</f>
        <v>Alex Flint</v>
      </c>
      <c r="E1209" t="str">
        <f>IFERROR(__xludf.DUMMYFUNCTION("""COMPUTED_VALUE"""),"Alignment Forum")</f>
        <v>Alignment Forum</v>
      </c>
      <c r="F1209">
        <f>IFERROR(__xludf.DUMMYFUNCTION("""COMPUTED_VALUE"""),2020.0)</f>
        <v>2020</v>
      </c>
      <c r="H1209" t="str">
        <f>IFERROR(__xludf.DUMMYFUNCTION("""COMPUTED_VALUE"""),"AN #113")</f>
        <v>AN #113</v>
      </c>
      <c r="I1209" t="str">
        <f>IFERROR(__xludf.DUMMYFUNCTION("""COMPUTED_VALUE"""),"Rohin")</f>
        <v>Rohin</v>
      </c>
      <c r="J1209" t="str">
        <f>IFERROR(__xludf.DUMMYFUNCTION("""COMPUTED_VALUE"""),"Deep learning can be thought of as an instance of _search_, in which we design an artifact (machine) simply by looking for an artifact that scores well on some evaluation metric. This is unlike typical engineering, which we might call _design_, in which w"&amp;"e build the artifact in such a way that we can also understand it. This is the process that underlies the vast majority of artifacts in the world. This post seeks to understand design better, such that we could design powerful AI systems rather than havin"&amp;"g to find them using search.
The post argues that design functions by constructing an artifact along with a _story_ for why the artifact works, that abstracts away irrelevant details. For example, when working with a database, we talk of adding a “row” t"&amp;"o a “table”: the abstraction of rows and tables forms a story that allows us to easily understand and use the database.
A typical design process for complex artifacts iterates between _construction_ of the artifact and _factorization_ which creates a sto"&amp;"ry for the artifact. The goal is to end up with a useful artifact along with a simple and accurate story for it. A story is simple if it can be easily understood by humans, and accurate if humans using the story to reason about the artifact do not get sur"&amp;"prised or harmed by the artifact.
You might think that we can get this for search-based artifacts using interpretability. However, most interpretability methods are either producing the story after the artifact is constructed (meaning that the constructi"&amp;"on does not optimize for simple and accurate stories), or are producing artifacts simple enough that they do not need a story. This is insufficient for powerful, complex artifacts.
As a result, we would like to use design for our artifacts rather than se"&amp;"arch. One alternative approach is to have humans design intelligent systems (the approach taken by MIRI). The post suggests another: automating the process of design, so that we automate both construction and factorization, rather than just construction ("&amp;"as done in search).")</f>
        <v>Deep learning can be thought of as an instance of _search_, in which we design an artifact (machine) simply by looking for an artifact that scores well on some evaluation metric. This is unlike typical engineering, which we might call _design_, in which we build the artifact in such a way that we can also understand it. This is the process that underlies the vast majority of artifacts in the world. This post seeks to understand design better, such that we could design powerful AI systems rather than having to find them using search.
The post argues that design functions by constructing an artifact along with a _story_ for why the artifact works, that abstracts away irrelevant details. For example, when working with a database, we talk of adding a “row” to a “table”: the abstraction of rows and tables forms a story that allows us to easily understand and use the database.
A typical design process for complex artifacts iterates between _construction_ of the artifact and _factorization_ which creates a story for the artifact. The goal is to end up with a useful artifact along with a simple and accurate story for it. A story is simple if it can be easily understood by humans, and accurate if humans using the story to reason about the artifact do not get surprised or harmed by the artifact.
You might think that we can get this for search-based artifacts using interpretability. However, most interpretability methods are either producing the story after the artifact is constructed (meaning that the construction does not optimize for simple and accurate stories), or are producing artifacts simple enough that they do not need a story. This is insufficient for powerful, complex artifacts.
As a result, we would like to use design for our artifacts rather than search. One alternative approach is to have humans design intelligent systems (the approach taken by MIRI). The post suggests another: automating the process of design, so that we automate both construction and factorization, rather than just construction (as done in search).</v>
      </c>
      <c r="K1209" t="str">
        <f>IFERROR(__xludf.DUMMYFUNCTION("""COMPUTED_VALUE"""),"I liked the more detailed description of what is meant by “design”, and the broad story given for design seems roughly right, though obscuring details. I somewhat felt like the proposed solution of automating design seems pretty similar to existing propos"&amp;"als for human-in-the-loop AI systems: typically in such systems we are using the human to provide information about what we want and to verify that things are going as we expect, and it seems like a pretty natural way that this would happen would be via t"&amp;"he AI system producing a story that the human can verify.")</f>
        <v>I liked the more detailed description of what is meant by “design”, and the broad story given for design seems roughly right, though obscuring details. I somewhat felt like the proposed solution of automating design seems pretty similar to existing proposals for human-in-the-loop AI systems: typically in such systems we are using the human to provide information about what we want and to verify that things are going as we expect, and it seems like a pretty natural way that this would happen would be via the AI system producing a story that the human can verify.</v>
      </c>
    </row>
    <row r="1210">
      <c r="A1210" t="str">
        <f>IFERROR(__xludf.DUMMYFUNCTION("""COMPUTED_VALUE"""),"Miscellaneous (Alignment)")</f>
        <v>Miscellaneous (Alignment)</v>
      </c>
      <c r="B1210" t="str">
        <f>IFERROR(__xludf.DUMMYFUNCTION("""COMPUTED_VALUE"""),"")</f>
        <v/>
      </c>
      <c r="C1210" s="3" t="str">
        <f>IFERROR(__xludf.DUMMYFUNCTION("""COMPUTED_VALUE"""),"Generalizing the Power-Seeking Theorems")</f>
        <v>Generalizing the Power-Seeking Theorems</v>
      </c>
      <c r="D1210" t="str">
        <f>IFERROR(__xludf.DUMMYFUNCTION("""COMPUTED_VALUE"""),"Alex Turner")</f>
        <v>Alex Turner</v>
      </c>
      <c r="E1210" t="str">
        <f>IFERROR(__xludf.DUMMYFUNCTION("""COMPUTED_VALUE"""),"Alignment Forum")</f>
        <v>Alignment Forum</v>
      </c>
      <c r="F1210">
        <f>IFERROR(__xludf.DUMMYFUNCTION("""COMPUTED_VALUE"""),2020.0)</f>
        <v>2020</v>
      </c>
      <c r="H1210" s="3" t="str">
        <f>IFERROR(__xludf.DUMMYFUNCTION("""COMPUTED_VALUE"""),"AN #110")</f>
        <v>AN #110</v>
      </c>
      <c r="I1210" t="str">
        <f>IFERROR(__xludf.DUMMYFUNCTION("""COMPUTED_VALUE"""),"Rohin")</f>
        <v>Rohin</v>
      </c>
      <c r="J1210" t="str">
        <f>IFERROR(__xludf.DUMMYFUNCTION("""COMPUTED_VALUE"""),"&lt;@Previously@&gt;(@Seeking Power is Provably Instrumentally Convergent in MDPs@) we’ve seen that if we take an MDP, and have a distribution over state-based reward functions, such that the reward for two different states is iid, then farsighted (i.e. no disc"&amp;"ount) optimal agents tend to seek “power”. This post relaxes some of these requirements, giving sufficient (but not necessary) criteria for determining instrumental convergence.
Some of these use a new kind of argument. Suppose that action A leads you to"&amp;" a part of the MDP modeled by a graph G1, and B leads you to a part of the MDP modeled by a graph G2. If there is a subgraph of G2 that is isomorphic to G1, then we know that whatever kinds of choices the agent would have by taking action A, the agent wou"&amp;"ld also have those choices from action B, and so we know B is at least as likely as A. This matches our intuitive reasoning -- collecting resources is instrumentally convergent because you can do the same things that you could if you didn’t collect resour"&amp;"ces, as well as some additional things enabled by your new resources.")</f>
        <v>&lt;@Previously@&gt;(@Seeking Power is Provably Instrumentally Convergent in MDPs@) we’ve seen that if we take an MDP, and have a distribution over state-based reward functions, such that the reward for two different states is iid, then farsighted (i.e. no discount) optimal agents tend to seek “power”. This post relaxes some of these requirements, giving sufficient (but not necessary) criteria for determining instrumental convergence.
Some of these use a new kind of argument. Suppose that action A leads you to a part of the MDP modeled by a graph G1, and B leads you to a part of the MDP modeled by a graph G2. If there is a subgraph of G2 that is isomorphic to G1, then we know that whatever kinds of choices the agent would have by taking action A, the agent would also have those choices from action B, and so we know B is at least as likely as A. This matches our intuitive reasoning -- collecting resources is instrumentally convergent because you can do the same things that you could if you didn’t collect resources, as well as some additional things enabled by your new resources.</v>
      </c>
    </row>
    <row r="1211">
      <c r="A1211" t="str">
        <f>IFERROR(__xludf.DUMMYFUNCTION("""COMPUTED_VALUE"""),"Miscellaneous (Alignment)")</f>
        <v>Miscellaneous (Alignment)</v>
      </c>
      <c r="B1211" t="str">
        <f>IFERROR(__xludf.DUMMYFUNCTION("""COMPUTED_VALUE"""),"")</f>
        <v/>
      </c>
      <c r="C1211" s="3" t="str">
        <f>IFERROR(__xludf.DUMMYFUNCTION("""COMPUTED_VALUE"""),"To Trust Or Not To Trust A Classifier")</f>
        <v>To Trust Or Not To Trust A Classifier</v>
      </c>
      <c r="D1211" t="str">
        <f>IFERROR(__xludf.DUMMYFUNCTION("""COMPUTED_VALUE"""),"Heinrich Jiang, Been Kim, Melody Y. Guan, Maya Gupta")</f>
        <v>Heinrich Jiang, Been Kim, Melody Y. Guan, Maya Gupta</v>
      </c>
      <c r="E1211" t="str">
        <f>IFERROR(__xludf.DUMMYFUNCTION("""COMPUTED_VALUE"""),"NeurIPS 2018")</f>
        <v>NeurIPS 2018</v>
      </c>
      <c r="F1211">
        <f>IFERROR(__xludf.DUMMYFUNCTION("""COMPUTED_VALUE"""),2018.0)</f>
        <v>2018</v>
      </c>
      <c r="H1211" s="3" t="str">
        <f>IFERROR(__xludf.DUMMYFUNCTION("""COMPUTED_VALUE"""),"AN #11")</f>
        <v>AN #11</v>
      </c>
      <c r="I1211" t="str">
        <f>IFERROR(__xludf.DUMMYFUNCTION("""COMPUTED_VALUE"""),"Rohin")</f>
        <v>Rohin</v>
      </c>
      <c r="J1211" t="str">
        <f>IFERROR(__xludf.DUMMYFUNCTION("""COMPUTED_VALUE"""),"The confidence scores given by a classifier (be it logistic regression, SVMs, or neural nets) are typically badly calibrated, and so it is hard to tell whether or not we should trust our classifier's prediction. The authors propose that we compute a _trus"&amp;"t score_ to tell us how much to trust the classifier's prediction, computed from a training set of labeled datapoints. For every class, they filter out some proportion of the data points, which removes outliers. Then, the trust score for a particular test"&amp;" point is the ratio of (distance to nearest non-predicted class) to (distance to predicted class). They have theoretical results showing that a high trust score means that the classifier likely agrees with the Bayes-optimal classifier, as well as empirica"&amp;"l results showing that this method does better than several baselines for determining when to trust a classifier. One cool thing about this method is that it can be done with any representation of the input data points -- they find that working with the a"&amp;"ctivations of deeper layers of a neural net improves the results.")</f>
        <v>The confidence scores given by a classifier (be it logistic regression, SVMs, or neural nets) are typically badly calibrated, and so it is hard to tell whether or not we should trust our classifier's prediction. The authors propose that we compute a _trust score_ to tell us how much to trust the classifier's prediction, computed from a training set of labeled datapoints. For every class, they filter out some proportion of the data points, which removes outliers. Then, the trust score for a particular test point is the ratio of (distance to nearest non-predicted class) to (distance to predicted class). They have theoretical results showing that a high trust score means that the classifier likely agrees with the Bayes-optimal classifier, as well as empirical results showing that this method does better than several baselines for determining when to trust a classifier. One cool thing about this method is that it can be done with any representation of the input data points -- they find that working with the activations of deeper layers of a neural net improves the results.</v>
      </c>
      <c r="K1211" t="str">
        <f>IFERROR(__xludf.DUMMYFUNCTION("""COMPUTED_VALUE"""),"I'm a big fan of trying to understand when our AI systems work well, and when they don't. However, I'm a little confused by this -- ultimately the trust score is just comparing the given classifier with a nearest neighbor classifier. Why not just use the "&amp;"nearest neighbor classifier in that case? This paper is a bit further out of my expertise than I'd like to admit, so perhaps there's an obvious answer I'm not seeing.")</f>
        <v>I'm a big fan of trying to understand when our AI systems work well, and when they don't. However, I'm a little confused by this -- ultimately the trust score is just comparing the given classifier with a nearest neighbor classifier. Why not just use the nearest neighbor classifier in that case? This paper is a bit further out of my expertise than I'd like to admit, so perhaps there's an obvious answer I'm not seeing.</v>
      </c>
    </row>
    <row r="1212">
      <c r="A1212" t="str">
        <f>IFERROR(__xludf.DUMMYFUNCTION("""COMPUTED_VALUE"""),"Miscellaneous (Alignment)")</f>
        <v>Miscellaneous (Alignment)</v>
      </c>
      <c r="B1212" t="str">
        <f>IFERROR(__xludf.DUMMYFUNCTION("""COMPUTED_VALUE"""),"")</f>
        <v/>
      </c>
      <c r="C1212" s="3" t="str">
        <f>IFERROR(__xludf.DUMMYFUNCTION("""COMPUTED_VALUE"""),"Podcast: Astronomical Future Suffering and Superintelligence with Kaj Sotala")</f>
        <v>Podcast: Astronomical Future Suffering and Superintelligence with Kaj Sotala</v>
      </c>
      <c r="D1212" t="str">
        <f>IFERROR(__xludf.DUMMYFUNCTION("""COMPUTED_VALUE"""),"Lucas Perry and Kaj Sotala")</f>
        <v>Lucas Perry and Kaj Sotala</v>
      </c>
      <c r="E1212" t="str">
        <f>IFERROR(__xludf.DUMMYFUNCTION("""COMPUTED_VALUE"""),"FLI Website")</f>
        <v>FLI Website</v>
      </c>
      <c r="F1212">
        <f>IFERROR(__xludf.DUMMYFUNCTION("""COMPUTED_VALUE"""),2018.0)</f>
        <v>2018</v>
      </c>
      <c r="H1212" s="3" t="str">
        <f>IFERROR(__xludf.DUMMYFUNCTION("""COMPUTED_VALUE"""),"AN #11")</f>
        <v>AN #11</v>
      </c>
    </row>
    <row r="1213">
      <c r="A1213" t="str">
        <f>IFERROR(__xludf.DUMMYFUNCTION("""COMPUTED_VALUE"""),"Miscellaneous (Alignment)")</f>
        <v>Miscellaneous (Alignment)</v>
      </c>
      <c r="B1213" t="str">
        <f>IFERROR(__xludf.DUMMYFUNCTION("""COMPUTED_VALUE"""),"")</f>
        <v/>
      </c>
      <c r="C1213" s="3" t="str">
        <f>IFERROR(__xludf.DUMMYFUNCTION("""COMPUTED_VALUE"""),"Talk: Key Issues In Near-Term AI Safety Research")</f>
        <v>Talk: Key Issues In Near-Term AI Safety Research</v>
      </c>
      <c r="D1213" t="str">
        <f>IFERROR(__xludf.DUMMYFUNCTION("""COMPUTED_VALUE"""),"Aryeh Englander")</f>
        <v>Aryeh Englander</v>
      </c>
      <c r="E1213" t="str">
        <f>IFERROR(__xludf.DUMMYFUNCTION("""COMPUTED_VALUE"""),"Alignment Forum")</f>
        <v>Alignment Forum</v>
      </c>
      <c r="F1213">
        <f>IFERROR(__xludf.DUMMYFUNCTION("""COMPUTED_VALUE"""),2020.0)</f>
        <v>2020</v>
      </c>
      <c r="H1213" s="3" t="str">
        <f>IFERROR(__xludf.DUMMYFUNCTION("""COMPUTED_VALUE"""),"AN #109")</f>
        <v>AN #109</v>
      </c>
      <c r="I1213" t="str">
        <f>IFERROR(__xludf.DUMMYFUNCTION("""COMPUTED_VALUE"""),"Rohin")</f>
        <v>Rohin</v>
      </c>
      <c r="J1213" t="str">
        <f>IFERROR(__xludf.DUMMYFUNCTION("""COMPUTED_VALUE"""),"This talk points out synergies between long-term AI safety and the existing fields of assured autonomy, safety engineering, and testing, evaluation, verification and validation (TEV&amp;V), primarily by showing how they fit into and expand DeepMind's framewor"&amp;"k of &lt;@specification, robustness and assurance@&gt;(@Building safe artificial intelligence: specification, robustness, and assurance@).")</f>
        <v>This talk points out synergies between long-term AI safety and the existing fields of assured autonomy, safety engineering, and testing, evaluation, verification and validation (TEV&amp;V), primarily by showing how they fit into and expand DeepMind's framework of &lt;@specification, robustness and assurance@&gt;(@Building safe artificial intelligence: specification, robustness, and assurance@).</v>
      </c>
    </row>
    <row r="1214">
      <c r="A1214" t="str">
        <f>IFERROR(__xludf.DUMMYFUNCTION("""COMPUTED_VALUE"""),"Miscellaneous (Alignment)")</f>
        <v>Miscellaneous (Alignment)</v>
      </c>
      <c r="B1214" t="str">
        <f>IFERROR(__xludf.DUMMYFUNCTION("""COMPUTED_VALUE"""),"")</f>
        <v/>
      </c>
      <c r="C1214" s="3" t="str">
        <f>IFERROR(__xludf.DUMMYFUNCTION("""COMPUTED_VALUE"""),"A space of proposals for building safe advanced AI")</f>
        <v>A space of proposals for building safe advanced AI</v>
      </c>
      <c r="D1214" t="str">
        <f>IFERROR(__xludf.DUMMYFUNCTION("""COMPUTED_VALUE"""),"Richard Ngo")</f>
        <v>Richard Ngo</v>
      </c>
      <c r="E1214" t="str">
        <f>IFERROR(__xludf.DUMMYFUNCTION("""COMPUTED_VALUE"""),"Alignment Forum")</f>
        <v>Alignment Forum</v>
      </c>
      <c r="F1214">
        <f>IFERROR(__xludf.DUMMYFUNCTION("""COMPUTED_VALUE"""),2020.0)</f>
        <v>2020</v>
      </c>
      <c r="H1214" s="3" t="str">
        <f>IFERROR(__xludf.DUMMYFUNCTION("""COMPUTED_VALUE"""),"AN #108")</f>
        <v>AN #108</v>
      </c>
      <c r="I1214" t="str">
        <f>IFERROR(__xludf.DUMMYFUNCTION("""COMPUTED_VALUE"""),"Rohin")</f>
        <v>Rohin</v>
      </c>
      <c r="J1214" t="str">
        <f>IFERROR(__xludf.DUMMYFUNCTION("""COMPUTED_VALUE"""),"This post identifies six axes on which these &lt;@previous alignment proposals@&gt;(@An overview of 11 proposals for building safe advanced AI@) can be categorized, in the hope that by pushing on particular axes we can generate new proposals. The six axes are:
"&amp;"
1. How hard it is for the overseer to give appropriate feedback.
2. To what extent we are trying to approximate a computational structure we know in advance.
3. Whether we are relying on competition between AI agents.
4. To what extent the proposal depen"&amp;"ds on natural language.
5. To what extent the proposal depends on interpreting the internal workings of neural networks.
6. To what extent the proposal depends on specific environments or datasets.")</f>
        <v>This post identifies six axes on which these &lt;@previous alignment proposals@&gt;(@An overview of 11 proposals for building safe advanced AI@) can be categorized, in the hope that by pushing on particular axes we can generate new proposals. The six axes are:
1. How hard it is for the overseer to give appropriate feedback.
2. To what extent we are trying to approximate a computational structure we know in advance.
3. Whether we are relying on competition between AI agents.
4. To what extent the proposal depends on natural language.
5. To what extent the proposal depends on interpreting the internal workings of neural networks.
6. To what extent the proposal depends on specific environments or datasets.</v>
      </c>
    </row>
    <row r="1215">
      <c r="A1215" t="str">
        <f>IFERROR(__xludf.DUMMYFUNCTION("""COMPUTED_VALUE"""),"Miscellaneous (Alignment)")</f>
        <v>Miscellaneous (Alignment)</v>
      </c>
      <c r="B1215" t="str">
        <f>IFERROR(__xludf.DUMMYFUNCTION("""COMPUTED_VALUE"""),"")</f>
        <v/>
      </c>
      <c r="C1215" s="3" t="str">
        <f>IFERROR(__xludf.DUMMYFUNCTION("""COMPUTED_VALUE"""),"AvE: Assistance via Empowerment")</f>
        <v>AvE: Assistance via Empowerment</v>
      </c>
      <c r="D1215" t="str">
        <f>IFERROR(__xludf.DUMMYFUNCTION("""COMPUTED_VALUE"""),"Yuqing Du, Stas Tiomkin, Emre Kiciman, Daniel Polani, Pieter Abbeel, Anca Dragan")</f>
        <v>Yuqing Du, Stas Tiomkin, Emre Kiciman, Daniel Polani, Pieter Abbeel, Anca Dragan</v>
      </c>
      <c r="E1215" t="str">
        <f>IFERROR(__xludf.DUMMYFUNCTION("""COMPUTED_VALUE"""),"arXiv")</f>
        <v>arXiv</v>
      </c>
      <c r="F1215">
        <f>IFERROR(__xludf.DUMMYFUNCTION("""COMPUTED_VALUE"""),2020.0)</f>
        <v>2020</v>
      </c>
      <c r="H1215" s="3" t="str">
        <f>IFERROR(__xludf.DUMMYFUNCTION("""COMPUTED_VALUE"""),"AN #107")</f>
        <v>AN #107</v>
      </c>
      <c r="I1215" t="str">
        <f>IFERROR(__xludf.DUMMYFUNCTION("""COMPUTED_VALUE"""),"Rohin")</f>
        <v>Rohin</v>
      </c>
      <c r="J1215" t="str">
        <f>IFERROR(__xludf.DUMMYFUNCTION("""COMPUTED_VALUE"""),"One approach to AI alignment is to shoot for &lt;@intent alignment@&gt;(@Clarifying ""AI Alignment""@), in which we build an AI system that is trying to help the user. Normally, we might imagine inferring what the user wants and then helping them get it, but th"&amp;"is is often error prone. Instead, we can simply help the user be more able to achieve a wide variety of goals. We can formally capture this as their _empowerment_.
The authors show how to do this for high-dimensional environments, and demonstrate the ben"&amp;"efits of the approach on a simple gridworld example, and in the Lunar Lander environment, with both a simulated human and a human study. Overall, they find that when the set of possible goals is small and well-specified, goal inference performs well, but "&amp;"if there are many possible goals, or there is misspecification in the goal set, then optimizing for human empowerment does better.")</f>
        <v>One approach to AI alignment is to shoot for &lt;@intent alignment@&gt;(@Clarifying "AI Alignment"@), in which we build an AI system that is trying to help the user. Normally, we might imagine inferring what the user wants and then helping them get it, but this is often error prone. Instead, we can simply help the user be more able to achieve a wide variety of goals. We can formally capture this as their _empowerment_.
The authors show how to do this for high-dimensional environments, and demonstrate the benefits of the approach on a simple gridworld example, and in the Lunar Lander environment, with both a simulated human and a human study. Overall, they find that when the set of possible goals is small and well-specified, goal inference performs well, but if there are many possible goals, or there is misspecification in the goal set, then optimizing for human empowerment does better.</v>
      </c>
      <c r="K1215" t="str">
        <f>IFERROR(__xludf.DUMMYFUNCTION("""COMPUTED_VALUE"""),"When we try to “help the user”, we want to treat the user as a goal-directed agent. I like how this paper takes instrumental convergence, a central property of goal-directed agents, and uses that fact to design a better assistive system.")</f>
        <v>When we try to “help the user”, we want to treat the user as a goal-directed agent. I like how this paper takes instrumental convergence, a central property of goal-directed agents, and uses that fact to design a better assistive system.</v>
      </c>
    </row>
    <row r="1216">
      <c r="A1216" t="str">
        <f>IFERROR(__xludf.DUMMYFUNCTION("""COMPUTED_VALUE"""),"Miscellaneous (Alignment)")</f>
        <v>Miscellaneous (Alignment)</v>
      </c>
      <c r="B1216" t="str">
        <f>IFERROR(__xludf.DUMMYFUNCTION("""COMPUTED_VALUE"""),"")</f>
        <v/>
      </c>
      <c r="C1216" s="3" t="str">
        <f>IFERROR(__xludf.DUMMYFUNCTION("""COMPUTED_VALUE"""),"From ImageNet to Image Classification")</f>
        <v>From ImageNet to Image Classification</v>
      </c>
      <c r="D1216" t="str">
        <f>IFERROR(__xludf.DUMMYFUNCTION("""COMPUTED_VALUE"""),"Dimitris Tsipras, Shibani Santurkar, Logan Engstrom, Andrew Ilyas, Aleksander Madry")</f>
        <v>Dimitris Tsipras, Shibani Santurkar, Logan Engstrom, Andrew Ilyas, Aleksander Madry</v>
      </c>
      <c r="E1216" t="str">
        <f>IFERROR(__xludf.DUMMYFUNCTION("""COMPUTED_VALUE"""),"Gradient Science")</f>
        <v>Gradient Science</v>
      </c>
      <c r="F1216">
        <f>IFERROR(__xludf.DUMMYFUNCTION("""COMPUTED_VALUE"""),2020.0)</f>
        <v>2020</v>
      </c>
      <c r="H1216" s="3" t="str">
        <f>IFERROR(__xludf.DUMMYFUNCTION("""COMPUTED_VALUE"""),"AN #103")</f>
        <v>AN #103</v>
      </c>
      <c r="I1216" t="str">
        <f>IFERROR(__xludf.DUMMYFUNCTION("""COMPUTED_VALUE"""),"Flo")</f>
        <v>Flo</v>
      </c>
      <c r="J1216" t="str">
        <f>IFERROR(__xludf.DUMMYFUNCTION("""COMPUTED_VALUE"""),"ImageNet was crowdsourced by presenting images to MTurk workers who had to select images that contain a given class from a pool of images obtained via search on the internet.  This is problematic, as an image containing multiple classes will basically get"&amp;" assigned to a random suitable class which can lead to deviations between ImageNet performance and actual capability to recognize images. The authors used MTurk and allowed workers to select multiple classes, as well as one main class for a given image in"&amp;" a pool of 10000 ImageNet validation images. Around 20% of the images seem to contain objects representing multiple classes and the average accuracy for these images was around 10% worse than average for a wide variety of image classifiers. While this is "&amp;"a significant drop, it is still way better than predicting a random class that is in the image. Also, advanced models were still able to predict the ImageNet label in cases where it does not coincide with the main class identified by humans, which suggest"&amp;" that they exploit biases in the dataset generation. While the accuracy of model predictions with respect to the newly identified main class still increased with better accuracy in predicting labels, the accuracy gap seems to grow and we might soon hit a "&amp;"point where gains in ImageNet accuracy don't correspond to improved image classification. ")</f>
        <v>ImageNet was crowdsourced by presenting images to MTurk workers who had to select images that contain a given class from a pool of images obtained via search on the internet.  This is problematic, as an image containing multiple classes will basically get assigned to a random suitable class which can lead to deviations between ImageNet performance and actual capability to recognize images. The authors used MTurk and allowed workers to select multiple classes, as well as one main class for a given image in a pool of 10000 ImageNet validation images. Around 20% of the images seem to contain objects representing multiple classes and the average accuracy for these images was around 10% worse than average for a wide variety of image classifiers. While this is a significant drop, it is still way better than predicting a random class that is in the image. Also, advanced models were still able to predict the ImageNet label in cases where it does not coincide with the main class identified by humans, which suggest that they exploit biases in the dataset generation. While the accuracy of model predictions with respect to the newly identified main class still increased with better accuracy in predicting labels, the accuracy gap seems to grow and we might soon hit a point where gains in ImageNet accuracy don't correspond to improved image classification. </v>
      </c>
      <c r="K1216" t="str">
        <f>IFERROR(__xludf.DUMMYFUNCTION("""COMPUTED_VALUE"""),"I generally find these empiricial tests of whether ML systems actually do what they are assumed to do quite useful for better calibrating intuitions about the speed of AI progress, and to make failure modes more salient. While we have the latter, I am con"&amp;"fused about what this means for AI progress: on one hand, this supports the claim that improved benchmark progress does not necessarily translate to better real world applicability. On the other hand, it seems like image classification might be easier tha"&amp;"n exploiting the dataset biases present in ImageNet, which would mean that we would likely be able to reach even better accuracy than on ImageNet for image classification with the right dataset. ")</f>
        <v>I generally find these empiricial tests of whether ML systems actually do what they are assumed to do quite useful for better calibrating intuitions about the speed of AI progress, and to make failure modes more salient. While we have the latter, I am confused about what this means for AI progress: on one hand, this supports the claim that improved benchmark progress does not necessarily translate to better real world applicability. On the other hand, it seems like image classification might be easier than exploiting the dataset biases present in ImageNet, which would mean that we would likely be able to reach even better accuracy than on ImageNet for image classification with the right dataset. </v>
      </c>
      <c r="M1216" s="3" t="str">
        <f>IFERROR(__xludf.DUMMYFUNCTION("""COMPUTED_VALUE"""),"Paper: From ImageNet to Image Classification: Contextualizing Progress on Benchmarks")</f>
        <v>Paper: From ImageNet to Image Classification: Contextualizing Progress on Benchmarks</v>
      </c>
    </row>
    <row r="1217">
      <c r="A1217" t="str">
        <f>IFERROR(__xludf.DUMMYFUNCTION("""COMPUTED_VALUE"""),"Miscellaneous (Alignment)")</f>
        <v>Miscellaneous (Alignment)</v>
      </c>
      <c r="B1217" t="str">
        <f>IFERROR(__xludf.DUMMYFUNCTION("""COMPUTED_VALUE"""),"")</f>
        <v/>
      </c>
      <c r="C1217" s="3" t="str">
        <f>IFERROR(__xludf.DUMMYFUNCTION("""COMPUTED_VALUE"""),"Planning with Uncertain Specifications")</f>
        <v>Planning with Uncertain Specifications</v>
      </c>
      <c r="D1217" t="str">
        <f>IFERROR(__xludf.DUMMYFUNCTION("""COMPUTED_VALUE"""),"Ankit Shah, Shen Li, Julie Shah")</f>
        <v>Ankit Shah, Shen Li, Julie Shah</v>
      </c>
      <c r="E1217" t="str">
        <f>IFERROR(__xludf.DUMMYFUNCTION("""COMPUTED_VALUE"""),"arXiv")</f>
        <v>arXiv</v>
      </c>
      <c r="F1217">
        <f>IFERROR(__xludf.DUMMYFUNCTION("""COMPUTED_VALUE"""),2019.0)</f>
        <v>2019</v>
      </c>
      <c r="H1217" s="3" t="str">
        <f>IFERROR(__xludf.DUMMYFUNCTION("""COMPUTED_VALUE"""),"AN #102")</f>
        <v>AN #102</v>
      </c>
      <c r="I1217" t="str">
        <f>IFERROR(__xludf.DUMMYFUNCTION("""COMPUTED_VALUE"""),"Rohin")</f>
        <v>Rohin</v>
      </c>
      <c r="J1217" t="str">
        <f>IFERROR(__xludf.DUMMYFUNCTION("""COMPUTED_VALUE"""),"Suppose you recognize that there are no “certain specifications”, and so infer a distribution over specifications. What do you then do with that distribution? This paper looks at this problem in the context where the specifications are given by formulas i"&amp;"n linear temporal logic (which can express temporal non-Markovian constraints). They identify four possibilities:
1. _Most likely_: Plan with respect to the most likely specification.
2. _Most coverage_: Satisfying as many formulas as possible, ignoring "&amp;"their probability (as long as they have non-zero probability)
3. _Chance constrained_: Like the above, except you weight by probabilities, and drop the least likely formulas up to a parameter δ.
4. _Least regret_: Like the above, with δ set to zero.
Intu"&amp;"itively, the _Most likely_ criterion won’t be very robust since it is only taking one specification into account, _Most coverage_ is aiming for maximum robustness, _Chance constrained_ interpolates, where larger δ corresponds to trading robustness for gai"&amp;"n in ability. This is exactly the pattern we see in a task where a robot must set a dinner table.")</f>
        <v>Suppose you recognize that there are no “certain specifications”, and so infer a distribution over specifications. What do you then do with that distribution? This paper looks at this problem in the context where the specifications are given by formulas in linear temporal logic (which can express temporal non-Markovian constraints). They identify four possibilities:
1. _Most likely_: Plan with respect to the most likely specification.
2. _Most coverage_: Satisfying as many formulas as possible, ignoring their probability (as long as they have non-zero probability)
3. _Chance constrained_: Like the above, except you weight by probabilities, and drop the least likely formulas up to a parameter δ.
4. _Least regret_: Like the above, with δ set to zero.
Intuitively, the _Most likely_ criterion won’t be very robust since it is only taking one specification into account, _Most coverage_ is aiming for maximum robustness, _Chance constrained_ interpolates, where larger δ corresponds to trading robustness for gain in ability. This is exactly the pattern we see in a task where a robot must set a dinner table.</v>
      </c>
      <c r="K1217" t="str">
        <f>IFERROR(__xludf.DUMMYFUNCTION("""COMPUTED_VALUE"""),"Ultimately, I hope that in cases like this, the agent plans conservatively initially, but also tries to learn which specification is actually correct, allowing it to become more bold over time. Nonetheless, it seems quite difficult to do this well, and ev"&amp;"en then we likely will have this tradeoff between robustness and task performance. This is the case with humans too: if you try to please everyone (robustness), you’ll end up pleasing no one (task performance).")</f>
        <v>Ultimately, I hope that in cases like this, the agent plans conservatively initially, but also tries to learn which specification is actually correct, allowing it to become more bold over time. Nonetheless, it seems quite difficult to do this well, and even then we likely will have this tradeoff between robustness and task performance. This is the case with humans too: if you try to please everyone (robustness), you’ll end up pleasing no one (task performance).</v>
      </c>
    </row>
    <row r="1218">
      <c r="A1218" t="str">
        <f>IFERROR(__xludf.DUMMYFUNCTION("""COMPUTED_VALUE"""),"Miscellaneous (Alignment)")</f>
        <v>Miscellaneous (Alignment)</v>
      </c>
      <c r="B1218" t="str">
        <f>IFERROR(__xludf.DUMMYFUNCTION("""COMPUTED_VALUE"""),"")</f>
        <v/>
      </c>
      <c r="C1218" s="3" t="str">
        <f>IFERROR(__xludf.DUMMYFUNCTION("""COMPUTED_VALUE"""),"A Guide to Writing the NeurIPS Impact Statement")</f>
        <v>A Guide to Writing the NeurIPS Impact Statement</v>
      </c>
      <c r="D1218" t="str">
        <f>IFERROR(__xludf.DUMMYFUNCTION("""COMPUTED_VALUE"""),"Carolyn Ashurst, Markus Anderljung, Carina Prunkl, Jan Leike, Yarin Gal, Toby Shevlane, Allan Dafoe")</f>
        <v>Carolyn Ashurst, Markus Anderljung, Carina Prunkl, Jan Leike, Yarin Gal, Toby Shevlane, Allan Dafoe</v>
      </c>
      <c r="E1218" t="str">
        <f>IFERROR(__xludf.DUMMYFUNCTION("""COMPUTED_VALUE"""),"Medium")</f>
        <v>Medium</v>
      </c>
      <c r="F1218">
        <f>IFERROR(__xludf.DUMMYFUNCTION("""COMPUTED_VALUE"""),2020.0)</f>
        <v>2020</v>
      </c>
      <c r="H1218" s="3" t="str">
        <f>IFERROR(__xludf.DUMMYFUNCTION("""COMPUTED_VALUE"""),"AN #100")</f>
        <v>AN #100</v>
      </c>
      <c r="I1218" t="str">
        <f>IFERROR(__xludf.DUMMYFUNCTION("""COMPUTED_VALUE"""),"Nicholas")</f>
        <v>Nicholas</v>
      </c>
      <c r="J1218" t="str">
        <f>IFERROR(__xludf.DUMMYFUNCTION("""COMPUTED_VALUE"""),"NeurIPS 2020 requires paper submissions to include a statement on the broader impact of their work. This post provides a guide for how to write an effective impact statement. They recommend focusing on the most significant, neglected, and tractable impact"&amp;"s, both positive and negative, while also conveying the uncertainties involved. They also suggest integrating this into the research process by reading the tech governance literature and building institutional structures, and including this information in"&amp;" introductions.
Their guide then recommends considering 3 questions:
How could your research affect ML applications?
What are the societal implications of these applications?
What research or other initiatives could improve social outcomes?
There is mor"&amp;"e information in the guide on how to go about answering those questions, along with some examples. ")</f>
        <v>NeurIPS 2020 requires paper submissions to include a statement on the broader impact of their work. This post provides a guide for how to write an effective impact statement. They recommend focusing on the most significant, neglected, and tractable impacts, both positive and negative, while also conveying the uncertainties involved. They also suggest integrating this into the research process by reading the tech governance literature and building institutional structures, and including this information in introductions.
Their guide then recommends considering 3 questions:
How could your research affect ML applications?
What are the societal implications of these applications?
What research or other initiatives could improve social outcomes?
There is more information in the guide on how to go about answering those questions, along with some examples. </v>
      </c>
      <c r="K1218" t="str">
        <f>IFERROR(__xludf.DUMMYFUNCTION("""COMPUTED_VALUE"""),"I am definitely in favor of considering the impacts of ML research before conducting or publishing it. I think the field is currently either at or near a threshold where papers will start having significant real world effects. While I don’t think this req"&amp;"uirement will be sufficient for ensuring positive outcomes, I am glad NeurIPS is trying it out. 
I think the article makes very strong points and will improve the quality of the impact statements that get submitted. I particularly liked the point about c"&amp;"ommunicating uncertainty, which is a norm that I think the ML community would benefit from greatly. One thing I would add here is that giving explicit probabilities is often more helpful than vague words like “might” or “could”. ")</f>
        <v>I am definitely in favor of considering the impacts of ML research before conducting or publishing it. I think the field is currently either at or near a threshold where papers will start having significant real world effects. While I don’t think this requirement will be sufficient for ensuring positive outcomes, I am glad NeurIPS is trying it out. 
I think the article makes very strong points and will improve the quality of the impact statements that get submitted. I particularly liked the point about communicating uncertainty, which is a norm that I think the ML community would benefit from greatly. One thing I would add here is that giving explicit probabilities is often more helpful than vague words like “might” or “could”. </v>
      </c>
    </row>
    <row r="1219">
      <c r="A1219" t="str">
        <f>IFERROR(__xludf.DUMMYFUNCTION("""COMPUTED_VALUE"""),"Miscellaneous (Alignment)")</f>
        <v>Miscellaneous (Alignment)</v>
      </c>
      <c r="B1219" t="str">
        <f>IFERROR(__xludf.DUMMYFUNCTION("""COMPUTED_VALUE"""),"")</f>
        <v/>
      </c>
      <c r="C1219" s="3" t="str">
        <f>IFERROR(__xludf.DUMMYFUNCTION("""COMPUTED_VALUE"""),"Disambiguating ""alignment"" and related notions")</f>
        <v>Disambiguating "alignment" and related notions</v>
      </c>
      <c r="D1219" t="str">
        <f>IFERROR(__xludf.DUMMYFUNCTION("""COMPUTED_VALUE"""),"capybaralet")</f>
        <v>capybaralet</v>
      </c>
      <c r="E1219" t="str">
        <f>IFERROR(__xludf.DUMMYFUNCTION("""COMPUTED_VALUE"""),"LessWrong")</f>
        <v>LessWrong</v>
      </c>
      <c r="F1219">
        <f>IFERROR(__xludf.DUMMYFUNCTION("""COMPUTED_VALUE"""),2018.0)</f>
        <v>2018</v>
      </c>
      <c r="H1219" s="3" t="str">
        <f>IFERROR(__xludf.DUMMYFUNCTION("""COMPUTED_VALUE"""),"AN #10")</f>
        <v>AN #10</v>
      </c>
      <c r="I1219" t="str">
        <f>IFERROR(__xludf.DUMMYFUNCTION("""COMPUTED_VALUE"""),"Rohin")</f>
        <v>Rohin</v>
      </c>
      <c r="J1219" t="str">
        <f>IFERROR(__xludf.DUMMYFUNCTION("""COMPUTED_VALUE"""),"Distinguishes between several kinds of alignment. Some focus on _terminal values_ from the AI, such as holistic alignment (the AI has the same terminal values as us) and parochial alignment (which I don't really understand, check the post). Sufficient ali"&amp;"gnment focuses on _outcomes_ (no X-event happens, or X-risk is sufficiently low). Finally, others focus on the _motivations_ of the AI, including intentional alignment (the AI tries to do what H wants it to do) and benign AI (R doesn't try to do what H do"&amp;"esn't want it to do).")</f>
        <v>Distinguishes between several kinds of alignment. Some focus on _terminal values_ from the AI, such as holistic alignment (the AI has the same terminal values as us) and parochial alignment (which I don't really understand, check the post). Sufficient alignment focuses on _outcomes_ (no X-event happens, or X-risk is sufficiently low). Finally, others focus on the _motivations_ of the AI, including intentional alignment (the AI tries to do what H wants it to do) and benign AI (R doesn't try to do what H doesn't want it to do).</v>
      </c>
      <c r="K1219" t="str">
        <f>IFERROR(__xludf.DUMMYFUNCTION("""COMPUTED_VALUE"""),"It is definitely worth keeping these distinctions in mind whenever talking about alignment. I personally tend to think about the motivation-based definitions, because those seem to be the most tractable definitions to work on, mainly because I don't have "&amp;"to worry about the AI being incompetent (eg. an AI launching nukes accidentally while exploring its action space). It seems possible to get strong arguments for intentional alignment and then use that with improved capabilities to argue for sufficient ali"&amp;"gnment.")</f>
        <v>It is definitely worth keeping these distinctions in mind whenever talking about alignment. I personally tend to think about the motivation-based definitions, because those seem to be the most tractable definitions to work on, mainly because I don't have to worry about the AI being incompetent (eg. an AI launching nukes accidentally while exploring its action space). It seems possible to get strong arguments for intentional alignment and then use that with improved capabilities to argue for sufficient alignment.</v>
      </c>
    </row>
    <row r="1220">
      <c r="A1220" t="str">
        <f>IFERROR(__xludf.DUMMYFUNCTION("""COMPUTED_VALUE"""),"Miscellaneous (Alignment)")</f>
        <v>Miscellaneous (Alignment)</v>
      </c>
      <c r="B1220" t="str">
        <f>IFERROR(__xludf.DUMMYFUNCTION("""COMPUTED_VALUE"""),"")</f>
        <v/>
      </c>
      <c r="C1220" s="3" t="str">
        <f>IFERROR(__xludf.DUMMYFUNCTION("""COMPUTED_VALUE"""),"On Strong Artificial Intelligence")</f>
        <v>On Strong Artificial Intelligence</v>
      </c>
      <c r="D1220" t="str">
        <f>IFERROR(__xludf.DUMMYFUNCTION("""COMPUTED_VALUE"""),"Zhou Zhihua, translated by Jeffrey Ding")</f>
        <v>Zhou Zhihua, translated by Jeffrey Ding</v>
      </c>
      <c r="H1220" s="3" t="str">
        <f>IFERROR(__xludf.DUMMYFUNCTION("""COMPUTED_VALUE"""),"AN #10")</f>
        <v>AN #10</v>
      </c>
      <c r="I1220" t="str">
        <f>IFERROR(__xludf.DUMMYFUNCTION("""COMPUTED_VALUE"""),"Rohin")</f>
        <v>Rohin</v>
      </c>
      <c r="J1220" t="str">
        <f>IFERROR(__xludf.DUMMYFUNCTION("""COMPUTED_VALUE"""),"This article, written by a professor from China, argues that the AI community has never been focused on ""strong AI"", and we have no real path forward to building ""strong AI"", and that it would be so dangerous that we should never do research around it"&amp;". The concept of ""strong AI"" here is a bit different from what we are used to -- I would probably call it human-like AGI, in that it would have consciousness, self-awareness, and emotions, and be as capable as a human.")</f>
        <v>This article, written by a professor from China, argues that the AI community has never been focused on "strong AI", and we have no real path forward to building "strong AI", and that it would be so dangerous that we should never do research around it. The concept of "strong AI" here is a bit different from what we are used to -- I would probably call it human-like AGI, in that it would have consciousness, self-awareness, and emotions, and be as capable as a human.</v>
      </c>
      <c r="K1220" t="str">
        <f>IFERROR(__xludf.DUMMYFUNCTION("""COMPUTED_VALUE"""),"This is an interesting position I haven't seen much in the West -- both that we can't build AGI, and that we shouldn't build it anyway. It's actually quite heartening to see an emphatic claim that we shouldn't build strong AI -- it seems like AI researche"&amp;"rs as a group may in fact be able to coordinate to develop AI safely. Of course, this is a single viewpoint and is not representative of all AI researchers in China.")</f>
        <v>This is an interesting position I haven't seen much in the West -- both that we can't build AGI, and that we shouldn't build it anyway. It's actually quite heartening to see an emphatic claim that we shouldn't build strong AI -- it seems like AI researchers as a group may in fact be able to coordinate to develop AI safely. Of course, this is a single viewpoint and is not representative of all AI researchers in China.</v>
      </c>
    </row>
    <row r="1221">
      <c r="A1221" t="str">
        <f>IFERROR(__xludf.DUMMYFUNCTION("""COMPUTED_VALUE"""),"Miscellaneous (Alignment)")</f>
        <v>Miscellaneous (Alignment)</v>
      </c>
      <c r="B1221" t="str">
        <f>IFERROR(__xludf.DUMMYFUNCTION("""COMPUTED_VALUE"""),"")</f>
        <v/>
      </c>
      <c r="C1221" s="3" t="str">
        <f>IFERROR(__xludf.DUMMYFUNCTION("""COMPUTED_VALUE"""),"Corrigibility as outside view")</f>
        <v>Corrigibility as outside view</v>
      </c>
      <c r="D1221" t="str">
        <f>IFERROR(__xludf.DUMMYFUNCTION("""COMPUTED_VALUE"""),"Alex Turner")</f>
        <v>Alex Turner</v>
      </c>
      <c r="E1221" t="str">
        <f>IFERROR(__xludf.DUMMYFUNCTION("""COMPUTED_VALUE"""),"Alignment Forum")</f>
        <v>Alignment Forum</v>
      </c>
      <c r="F1221">
        <f>IFERROR(__xludf.DUMMYFUNCTION("""COMPUTED_VALUE"""),2020.0)</f>
        <v>2020</v>
      </c>
      <c r="H1221" s="3" t="str">
        <f>IFERROR(__xludf.DUMMYFUNCTION("""COMPUTED_VALUE"""),"AN #99")</f>
        <v>AN #99</v>
      </c>
      <c r="I1221" t="str">
        <f>IFERROR(__xludf.DUMMYFUNCTION("""COMPUTED_VALUE"""),"Rohin")</f>
        <v>Rohin</v>
      </c>
      <c r="J1221" t="str">
        <f>IFERROR(__xludf.DUMMYFUNCTION("""COMPUTED_VALUE"""),"This post proposes thinking of the outside view as an aspect of &lt;@corrigible@&gt;(@Corrigibility@) reasoning. In particular, before an agent takes an action that it believes is right, it can simulate possible overseers with different values, and see whether "&amp;"the reasoning that led to this action would do the right thing in those situations as well. The agent should then only take the action if the action usually turns out well.
This is similar to how we might reason that it wouldn't be good for us to impose "&amp;"the rules we think would be best for everyone, even if we had the power to do so, because historically every instance of this happening has actually been bad.")</f>
        <v>This post proposes thinking of the outside view as an aspect of &lt;@corrigible@&gt;(@Corrigibility@) reasoning. In particular, before an agent takes an action that it believes is right, it can simulate possible overseers with different values, and see whether the reasoning that led to this action would do the right thing in those situations as well. The agent should then only take the action if the action usually turns out well.
This is similar to how we might reason that it wouldn't be good for us to impose the rules we think would be best for everyone, even if we had the power to do so, because historically every instance of this happening has actually been bad.</v>
      </c>
      <c r="K1221" t="str">
        <f>IFERROR(__xludf.DUMMYFUNCTION("""COMPUTED_VALUE"""),"I agree that this sort of ""outside-view"" reasoning seems good to have. In cases where we want our agent to be deferential even in a new situation where there isn't an outside view to defer to, the agent would have to construct this outside view via simu"&amp;"lation, which would probably be infeasibly computationally expensive. Nonetheless, this seems like a cool perspective and I'd like to see a more in-depth take on the idea.")</f>
        <v>I agree that this sort of "outside-view" reasoning seems good to have. In cases where we want our agent to be deferential even in a new situation where there isn't an outside view to defer to, the agent would have to construct this outside view via simulation, which would probably be infeasibly computationally expensive. Nonetheless, this seems like a cool perspective and I'd like to see a more in-depth take on the idea.</v>
      </c>
    </row>
    <row r="1222">
      <c r="A1222" t="str">
        <f>IFERROR(__xludf.DUMMYFUNCTION("""COMPUTED_VALUE"""),"Miscellaneous (Alignment)")</f>
        <v>Miscellaneous (Alignment)</v>
      </c>
      <c r="B1222" t="str">
        <f>IFERROR(__xludf.DUMMYFUNCTION("""COMPUTED_VALUE"""),"")</f>
        <v/>
      </c>
      <c r="C1222" s="3" t="str">
        <f>IFERROR(__xludf.DUMMYFUNCTION("""COMPUTED_VALUE"""),"Clarifying The Malignity of the Universal Prior: The Lexical Update")</f>
        <v>Clarifying The Malignity of the Universal Prior: The Lexical Update</v>
      </c>
      <c r="D1222" t="str">
        <f>IFERROR(__xludf.DUMMYFUNCTION("""COMPUTED_VALUE"""),"interstice")</f>
        <v>interstice</v>
      </c>
      <c r="E1222" t="str">
        <f>IFERROR(__xludf.DUMMYFUNCTION("""COMPUTED_VALUE"""),"LessWrong")</f>
        <v>LessWrong</v>
      </c>
      <c r="F1222">
        <f>IFERROR(__xludf.DUMMYFUNCTION("""COMPUTED_VALUE"""),2020.0)</f>
        <v>2020</v>
      </c>
      <c r="H1222" s="3" t="str">
        <f>IFERROR(__xludf.DUMMYFUNCTION("""COMPUTED_VALUE"""),"AN #83")</f>
        <v>AN #83</v>
      </c>
    </row>
    <row r="1223">
      <c r="A1223" t="str">
        <f>IFERROR(__xludf.DUMMYFUNCTION("""COMPUTED_VALUE"""),"Miscellaneous (Alignment)")</f>
        <v>Miscellaneous (Alignment)</v>
      </c>
      <c r="B1223" t="str">
        <f>IFERROR(__xludf.DUMMYFUNCTION("""COMPUTED_VALUE"""),"")</f>
        <v/>
      </c>
      <c r="C1223" s="3" t="str">
        <f>IFERROR(__xludf.DUMMYFUNCTION("""COMPUTED_VALUE"""),"Defining and Unpacking Transformative AI")</f>
        <v>Defining and Unpacking Transformative AI</v>
      </c>
      <c r="D1223" t="str">
        <f>IFERROR(__xludf.DUMMYFUNCTION("""COMPUTED_VALUE"""),"Ross Gruetzemacher, Jess Whittlestone")</f>
        <v>Ross Gruetzemacher, Jess Whittlestone</v>
      </c>
      <c r="E1223" t="str">
        <f>IFERROR(__xludf.DUMMYFUNCTION("""COMPUTED_VALUE"""),"arXiv")</f>
        <v>arXiv</v>
      </c>
      <c r="F1223">
        <f>IFERROR(__xludf.DUMMYFUNCTION("""COMPUTED_VALUE"""),2019.0)</f>
        <v>2019</v>
      </c>
      <c r="H1223" s="3" t="str">
        <f>IFERROR(__xludf.DUMMYFUNCTION("""COMPUTED_VALUE"""),"AN #82")</f>
        <v>AN #82</v>
      </c>
      <c r="I1223" t="str">
        <f>IFERROR(__xludf.DUMMYFUNCTION("""COMPUTED_VALUE"""),"Flo")</f>
        <v>Flo</v>
      </c>
      <c r="J1223" t="str">
        <f>IFERROR(__xludf.DUMMYFUNCTION("""COMPUTED_VALUE"""),"The notion of **transformative AI** (TAI) is used to highlight that even narrow AI systems can have large impacts on society. This paper offers a clearer definition of TAI and distinguishes it from **radical transformative AI** (RTAI). 
""Discontinuities"&amp;" or other anomalous patterns in metrics of human progress, as well as *irreversibility*  are common indicators of transformative change. TAI is then broadly defined as an AI technology, which leads to an irreversible change of some important aspects of so"&amp;"ciety, making it a (multi-dimensional) spectrum along the axes of **extremity**, **generality** and **fundamentality**. "" For example, advanced AI weapon systems might have strong implications for great power conflicts but limited effects on people's dai"&amp;"ly lives; extreme change of limited generality, similar to nuclear weapons. There are two levels: while TAI is comparable to general-purpose technologies (GPTs) like the internal combustion engine, RTAI leads to changes that are comparable to the agricult"&amp;"ural or industrial revolution. Both revolutions have been driven by GPTs like the domestication of plants and the steam engine. Similarly, we will likely see TAI before RTAI. The scenario where we don't is termed a **radical shift**.
Non-radical TAI coul"&amp;"d still contribute to existential risk in conjunction with other factors. Furthermore, if TAI precedes RTAI, our management of TAI can affect the risks RTAI will pose.")</f>
        <v>The notion of **transformative AI** (TAI) is used to highlight that even narrow AI systems can have large impacts on society. This paper offers a clearer definition of TAI and distinguishes it from **radical transformative AI** (RTAI). 
"Discontinuities or other anomalous patterns in metrics of human progress, as well as *irreversibility*  are common indicators of transformative change. TAI is then broadly defined as an AI technology, which leads to an irreversible change of some important aspects of society, making it a (multi-dimensional) spectrum along the axes of **extremity**, **generality** and **fundamentality**. " For example, advanced AI weapon systems might have strong implications for great power conflicts but limited effects on people's daily lives; extreme change of limited generality, similar to nuclear weapons. There are two levels: while TAI is comparable to general-purpose technologies (GPTs) like the internal combustion engine, RTAI leads to changes that are comparable to the agricultural or industrial revolution. Both revolutions have been driven by GPTs like the domestication of plants and the steam engine. Similarly, we will likely see TAI before RTAI. The scenario where we don't is termed a **radical shift**.
Non-radical TAI could still contribute to existential risk in conjunction with other factors. Furthermore, if TAI precedes RTAI, our management of TAI can affect the risks RTAI will pose.</v>
      </c>
      <c r="K1223" t="str">
        <f>IFERROR(__xludf.DUMMYFUNCTION("""COMPUTED_VALUE"""),"Focusing on the impacts on society instead of specific features of AI systems makes sense and I do believe that the shape of RTAI as well as the risks it poses will depend on the way we handle TAI at various levels. More precise terminology can also help "&amp;"to prevent misunderstandings, for example between people forecasting AI and decision makers.")</f>
        <v>Focusing on the impacts on society instead of specific features of AI systems makes sense and I do believe that the shape of RTAI as well as the risks it poses will depend on the way we handle TAI at various levels. More precise terminology can also help to prevent misunderstandings, for example between people forecasting AI and decision makers.</v>
      </c>
    </row>
    <row r="1224">
      <c r="A1224" t="str">
        <f>IFERROR(__xludf.DUMMYFUNCTION("""COMPUTED_VALUE"""),"Miscellaneous (Alignment)")</f>
        <v>Miscellaneous (Alignment)</v>
      </c>
      <c r="B1224" t="str">
        <f>IFERROR(__xludf.DUMMYFUNCTION("""COMPUTED_VALUE"""),"")</f>
        <v/>
      </c>
      <c r="C1224" s="3" t="str">
        <f>IFERROR(__xludf.DUMMYFUNCTION("""COMPUTED_VALUE"""),"Six AI Risk/Strategy Ideas")</f>
        <v>Six AI Risk/Strategy Ideas</v>
      </c>
      <c r="D1224" t="str">
        <f>IFERROR(__xludf.DUMMYFUNCTION("""COMPUTED_VALUE"""),"Wei Dai")</f>
        <v>Wei Dai</v>
      </c>
      <c r="E1224" t="str">
        <f>IFERROR(__xludf.DUMMYFUNCTION("""COMPUTED_VALUE"""),"Alignment Forum")</f>
        <v>Alignment Forum</v>
      </c>
      <c r="F1224">
        <f>IFERROR(__xludf.DUMMYFUNCTION("""COMPUTED_VALUE"""),2019.0)</f>
        <v>2019</v>
      </c>
      <c r="H1224" s="3" t="str">
        <f>IFERROR(__xludf.DUMMYFUNCTION("""COMPUTED_VALUE"""),"AN #82")</f>
        <v>AN #82</v>
      </c>
      <c r="I1224" t="str">
        <f>IFERROR(__xludf.DUMMYFUNCTION("""COMPUTED_VALUE"""),"Rohin")</f>
        <v>Rohin</v>
      </c>
      <c r="J1224" t="str">
        <f>IFERROR(__xludf.DUMMYFUNCTION("""COMPUTED_VALUE"""),"This post briefly presents three ways that power can become centralized in a world with &lt;@Comprehensive AI Services@&gt;(@Reframing Superintelligence: Comprehensive AI Services as General Intelligence@), argues that under risk aversion ""logical"" risks can "&amp;"be more concerning than physical risks because they are more correlated, proposes combining human imitations and oracles to remove the human in the loop and become competitive, and suggests doing research to generate evidence of difficulty of a particular"&amp;" strand of research.")</f>
        <v>This post briefly presents three ways that power can become centralized in a world with &lt;@Comprehensive AI Services@&gt;(@Reframing Superintelligence: Comprehensive AI Services as General Intelligence@), argues that under risk aversion "logical" risks can be more concerning than physical risks because they are more correlated, proposes combining human imitations and oracles to remove the human in the loop and become competitive, and suggests doing research to generate evidence of difficulty of a particular strand of research.</v>
      </c>
    </row>
    <row r="1225">
      <c r="A1225" t="str">
        <f>IFERROR(__xludf.DUMMYFUNCTION("""COMPUTED_VALUE"""),"Miscellaneous (Alignment)")</f>
        <v>Miscellaneous (Alignment)</v>
      </c>
      <c r="B1225" t="str">
        <f>IFERROR(__xludf.DUMMYFUNCTION("""COMPUTED_VALUE"""),"")</f>
        <v/>
      </c>
      <c r="C1225" s="3" t="str">
        <f>IFERROR(__xludf.DUMMYFUNCTION("""COMPUTED_VALUE"""),"Self-Fulfilling Prophecies Aren't Always About Self-Awareness")</f>
        <v>Self-Fulfilling Prophecies Aren't Always About Self-Awareness</v>
      </c>
      <c r="D1225" t="str">
        <f>IFERROR(__xludf.DUMMYFUNCTION("""COMPUTED_VALUE"""),"John Maxwell")</f>
        <v>John Maxwell</v>
      </c>
      <c r="E1225" t="str">
        <f>IFERROR(__xludf.DUMMYFUNCTION("""COMPUTED_VALUE"""),"Alignment Forum")</f>
        <v>Alignment Forum</v>
      </c>
      <c r="F1225">
        <f>IFERROR(__xludf.DUMMYFUNCTION("""COMPUTED_VALUE"""),2019.0)</f>
        <v>2019</v>
      </c>
      <c r="H1225" s="3" t="str">
        <f>IFERROR(__xludf.DUMMYFUNCTION("""COMPUTED_VALUE"""),"AN #75")</f>
        <v>AN #75</v>
      </c>
      <c r="I1225" t="str">
        <f>IFERROR(__xludf.DUMMYFUNCTION("""COMPUTED_VALUE"""),"Rohin")</f>
        <v>Rohin</v>
      </c>
      <c r="J1225" t="str">
        <f>IFERROR(__xludf.DUMMYFUNCTION("""COMPUTED_VALUE"""),"Could we prevent a superintelligent oracle from making self-fulfilling prophecies by preventing it from modeling itself? This post presents three scenarios in which self-fulfilling prophecies would still occur. For example, if instead of modeling itself, "&amp;"it models the fact that there's some AI system whose predictions frequently come true, it may try to predict what that AI system would say, and then say that. This would lead to self-fulfilling prophecies.")</f>
        <v>Could we prevent a superintelligent oracle from making self-fulfilling prophecies by preventing it from modeling itself? This post presents three scenarios in which self-fulfilling prophecies would still occur. For example, if instead of modeling itself, it models the fact that there's some AI system whose predictions frequently come true, it may try to predict what that AI system would say, and then say that. This would lead to self-fulfilling prophecies.</v>
      </c>
    </row>
    <row r="1226">
      <c r="A1226" t="str">
        <f>IFERROR(__xludf.DUMMYFUNCTION("""COMPUTED_VALUE"""),"Miscellaneous (Alignment)")</f>
        <v>Miscellaneous (Alignment)</v>
      </c>
      <c r="B1226" t="str">
        <f>IFERROR(__xludf.DUMMYFUNCTION("""COMPUTED_VALUE"""),"")</f>
        <v/>
      </c>
      <c r="C1226" t="str">
        <f>IFERROR(__xludf.DUMMYFUNCTION("""COMPUTED_VALUE"""),"[Analysing: Dangerous messages from future UFAI via Oracles](https://www.alignmentforum.org/posts/6WbLRLdmTL4JxxvCq/analysing-dangerous-messages-from-future-ufai-via-oracles) and [Breaking Oracles: hyperrationality and acausal trade](https://www.alignment"&amp;"forum.org/posts/42z4k8Co5BuHMBvER/breaking-oracles-hyperrationality-and-acausal-trade)")</f>
        <v>[Analysing: Dangerous messages from future UFAI via Oracles](https://www.alignmentforum.org/posts/6WbLRLdmTL4JxxvCq/analysing-dangerous-messages-from-future-ufai-via-oracles) and [Breaking Oracles: hyperrationality and acausal trade](https://www.alignmentforum.org/posts/42z4k8Co5BuHMBvER/breaking-oracles-hyperrationality-and-acausal-trade)</v>
      </c>
      <c r="D1226" t="str">
        <f>IFERROR(__xludf.DUMMYFUNCTION("""COMPUTED_VALUE"""),"Stuart Armstrong")</f>
        <v>Stuart Armstrong</v>
      </c>
      <c r="E1226" t="str">
        <f>IFERROR(__xludf.DUMMYFUNCTION("""COMPUTED_VALUE"""),"Alignment Forum")</f>
        <v>Alignment Forum</v>
      </c>
      <c r="F1226">
        <f>IFERROR(__xludf.DUMMYFUNCTION("""COMPUTED_VALUE"""),2019.0)</f>
        <v>2019</v>
      </c>
      <c r="H1226" s="3" t="str">
        <f>IFERROR(__xludf.DUMMYFUNCTION("""COMPUTED_VALUE"""),"AN #75")</f>
        <v>AN #75</v>
      </c>
      <c r="I1226" t="str">
        <f>IFERROR(__xludf.DUMMYFUNCTION("""COMPUTED_VALUE"""),"Rohin")</f>
        <v>Rohin</v>
      </c>
      <c r="J1226" t="str">
        <f>IFERROR(__xludf.DUMMYFUNCTION("""COMPUTED_VALUE"""),"These posts point out a problem with &lt;@counterfactual oracles@&gt;(@Self-confirming prophecies, and simplified Oracle designs@): a future misaligned agential AI system could commit to helping the oracle (e.g. by giving it maximal reward, or making its predic"&amp;"tions come true) even in the event of an erasure, as long as the oracle makes predictions that cause humans to build the agential AI system. Alternatively, multiple oracles could acausally cooperate with each other to build an agential AI system that will"&amp;" reward all oracles.")</f>
        <v>These posts point out a problem with &lt;@counterfactual oracles@&gt;(@Self-confirming prophecies, and simplified Oracle designs@): a future misaligned agential AI system could commit to helping the oracle (e.g. by giving it maximal reward, or making its predictions come true) even in the event of an erasure, as long as the oracle makes predictions that cause humans to build the agential AI system. Alternatively, multiple oracles could acausally cooperate with each other to build an agential AI system that will reward all oracles.</v>
      </c>
    </row>
    <row r="1227">
      <c r="A1227" t="str">
        <f>IFERROR(__xludf.DUMMYFUNCTION("""COMPUTED_VALUE"""),"Miscellaneous (Alignment)")</f>
        <v>Miscellaneous (Alignment)</v>
      </c>
      <c r="B1227" t="str">
        <f>IFERROR(__xludf.DUMMYFUNCTION("""COMPUTED_VALUE"""),"")</f>
        <v/>
      </c>
      <c r="C1227" s="3" t="str">
        <f>IFERROR(__xludf.DUMMYFUNCTION("""COMPUTED_VALUE"""),"Distance Functions are Hard")</f>
        <v>Distance Functions are Hard</v>
      </c>
      <c r="D1227" t="str">
        <f>IFERROR(__xludf.DUMMYFUNCTION("""COMPUTED_VALUE"""),"Grue_Slinky")</f>
        <v>Grue_Slinky</v>
      </c>
      <c r="E1227" t="str">
        <f>IFERROR(__xludf.DUMMYFUNCTION("""COMPUTED_VALUE"""),"Alignment Forum")</f>
        <v>Alignment Forum</v>
      </c>
      <c r="F1227">
        <f>IFERROR(__xludf.DUMMYFUNCTION("""COMPUTED_VALUE"""),2019.0)</f>
        <v>2019</v>
      </c>
      <c r="H1227" s="3" t="str">
        <f>IFERROR(__xludf.DUMMYFUNCTION("""COMPUTED_VALUE"""),"AN #63")</f>
        <v>AN #63</v>
      </c>
      <c r="I1227" t="str">
        <f>IFERROR(__xludf.DUMMYFUNCTION("""COMPUTED_VALUE"""),"Rohin")</f>
        <v>Rohin</v>
      </c>
      <c r="J1227" t="str">
        <f>IFERROR(__xludf.DUMMYFUNCTION("""COMPUTED_VALUE"""),"Many ideas in AI alignment require some sort of distance function. For example, in [Functional Decision Theory](https://arxiv.org/abs/1710.05060), we'd like to know how ""similar"" two algorithms are (which can influence whether or not we think we have """&amp;"logical control"" over them). This post argues that defining such distance functions is hard, because they rely on human concepts that are not easily formalizable, and the intuitive mathematical formalizations usually have some flaw.")</f>
        <v>Many ideas in AI alignment require some sort of distance function. For example, in [Functional Decision Theory](https://arxiv.org/abs/1710.05060), we'd like to know how "similar" two algorithms are (which can influence whether or not we think we have "logical control" over them). This post argues that defining such distance functions is hard, because they rely on human concepts that are not easily formalizable, and the intuitive mathematical formalizations usually have some flaw.</v>
      </c>
      <c r="K1227" t="str">
        <f>IFERROR(__xludf.DUMMYFUNCTION("""COMPUTED_VALUE"""),"I certainly agree that *defining* ""conceptual"" distance functions is hard. It has similar problems to saying ""write down a utility function that captures human values"" -- it's possible in theory but in practice we're not going to think of all the edge"&amp;" cases. However, it seems possible to learn distance functions rather than defining them; this is already done in perception and state estimation.")</f>
        <v>I certainly agree that *defining* "conceptual" distance functions is hard. It has similar problems to saying "write down a utility function that captures human values" -- it's possible in theory but in practice we're not going to think of all the edge cases. However, it seems possible to learn distance functions rather than defining them; this is already done in perception and state estimation.</v>
      </c>
    </row>
    <row r="1228">
      <c r="A1228" t="str">
        <f>IFERROR(__xludf.DUMMYFUNCTION("""COMPUTED_VALUE"""),"Miscellaneous (Alignment)")</f>
        <v>Miscellaneous (Alignment)</v>
      </c>
      <c r="B1228" t="str">
        <f>IFERROR(__xludf.DUMMYFUNCTION("""COMPUTED_VALUE"""),"")</f>
        <v/>
      </c>
      <c r="C1228" s="3" t="str">
        <f>IFERROR(__xludf.DUMMYFUNCTION("""COMPUTED_VALUE"""),"AI Alignment Podcast: On Consciousness, Qualia, and Meaning")</f>
        <v>AI Alignment Podcast: On Consciousness, Qualia, and Meaning</v>
      </c>
      <c r="D1228" t="str">
        <f>IFERROR(__xludf.DUMMYFUNCTION("""COMPUTED_VALUE"""),"Lucas Perry, Mike Johnson and Andrés Gómez Emilsson")</f>
        <v>Lucas Perry, Mike Johnson and Andrés Gómez Emilsson</v>
      </c>
      <c r="E1228" t="str">
        <f>IFERROR(__xludf.DUMMYFUNCTION("""COMPUTED_VALUE"""),"FLI Website")</f>
        <v>FLI Website</v>
      </c>
      <c r="F1228">
        <f>IFERROR(__xludf.DUMMYFUNCTION("""COMPUTED_VALUE"""),2019.0)</f>
        <v>2019</v>
      </c>
      <c r="H1228" s="3" t="str">
        <f>IFERROR(__xludf.DUMMYFUNCTION("""COMPUTED_VALUE"""),"AN #63")</f>
        <v>AN #63</v>
      </c>
    </row>
    <row r="1229">
      <c r="A1229" t="str">
        <f>IFERROR(__xludf.DUMMYFUNCTION("""COMPUTED_VALUE"""),"Miscellaneous (Alignment)")</f>
        <v>Miscellaneous (Alignment)</v>
      </c>
      <c r="B1229" t="str">
        <f>IFERROR(__xludf.DUMMYFUNCTION("""COMPUTED_VALUE"""),"")</f>
        <v/>
      </c>
      <c r="C1229" s="3" t="str">
        <f>IFERROR(__xludf.DUMMYFUNCTION("""COMPUTED_VALUE"""),"Self-confirming prophecies, and simplified Oracle designs")</f>
        <v>Self-confirming prophecies, and simplified Oracle designs</v>
      </c>
      <c r="D1229" t="str">
        <f>IFERROR(__xludf.DUMMYFUNCTION("""COMPUTED_VALUE"""),"Stuart Armstrong")</f>
        <v>Stuart Armstrong</v>
      </c>
      <c r="E1229" t="str">
        <f>IFERROR(__xludf.DUMMYFUNCTION("""COMPUTED_VALUE"""),"Alignment Forum")</f>
        <v>Alignment Forum</v>
      </c>
      <c r="F1229">
        <f>IFERROR(__xludf.DUMMYFUNCTION("""COMPUTED_VALUE"""),2019.0)</f>
        <v>2019</v>
      </c>
      <c r="H1229" s="3" t="str">
        <f>IFERROR(__xludf.DUMMYFUNCTION("""COMPUTED_VALUE"""),"AN #59")</f>
        <v>AN #59</v>
      </c>
      <c r="I1229" t="str">
        <f>IFERROR(__xludf.DUMMYFUNCTION("""COMPUTED_VALUE"""),"Rohin")</f>
        <v>Rohin</v>
      </c>
      <c r="J1229" t="str">
        <f>IFERROR(__xludf.DUMMYFUNCTION("""COMPUTED_VALUE"""),"This post presents a toy environment to model self-confirming predictions by oracles, and demonstrates the results of running a deluded oracle (that doesn't realize its predictions affect the world), a low-bandwidth oracle (that must choose from a small s"&amp;"et of possible answers), a high-bandwidth oracle (that can choose from a large set of answers) and a counterfactual oracle (that chooses the correct answer, _conditional_ on us not seeing the answer).")</f>
        <v>This post presents a toy environment to model self-confirming predictions by oracles, and demonstrates the results of running a deluded oracle (that doesn't realize its predictions affect the world), a low-bandwidth oracle (that must choose from a small set of possible answers), a high-bandwidth oracle (that can choose from a large set of answers) and a counterfactual oracle (that chooses the correct answer, _conditional_ on us not seeing the answer).</v>
      </c>
      <c r="M1229" t="str">
        <f>IFERROR(__xludf.DUMMYFUNCTION("""COMPUTED_VALUE"""),"[Oracles, sequence predictors, and self-confirming predictions](https://www.alignmentforum.org/posts/i2dNFgbjnqZBfeitT/oracles-sequence-predictors-and-self-confirming-predictions) ([AN #55](https://mailchi.mp/405e29e1f1cd/an-55-regulatory-markets-and-inte"&amp;"rnational-standards-as-a-means-of-ensuring-beneficial-ai)) and [Good and safe uses of AI Oracles](https://arxiv.org/abs/1711.05541)")</f>
        <v>[Oracles, sequence predictors, and self-confirming predictions](https://www.alignmentforum.org/posts/i2dNFgbjnqZBfeitT/oracles-sequence-predictors-and-self-confirming-predictions) ([AN #55](https://mailchi.mp/405e29e1f1cd/an-55-regulatory-markets-and-international-standards-as-a-means-of-ensuring-beneficial-ai)) and [Good and safe uses of AI Oracles](https://arxiv.org/abs/1711.05541)</v>
      </c>
    </row>
    <row r="1230">
      <c r="A1230" t="str">
        <f>IFERROR(__xludf.DUMMYFUNCTION("""COMPUTED_VALUE"""),"Miscellaneous (Alignment)")</f>
        <v>Miscellaneous (Alignment)</v>
      </c>
      <c r="B1230" t="str">
        <f>IFERROR(__xludf.DUMMYFUNCTION("""COMPUTED_VALUE"""),"")</f>
        <v/>
      </c>
      <c r="C1230" s="3" t="str">
        <f>IFERROR(__xludf.DUMMYFUNCTION("""COMPUTED_VALUE"""),"Existential Risks: A Philosophical Analysis")</f>
        <v>Existential Risks: A Philosophical Analysis</v>
      </c>
      <c r="D1230" t="str">
        <f>IFERROR(__xludf.DUMMYFUNCTION("""COMPUTED_VALUE"""),"Phil Torres")</f>
        <v>Phil Torres</v>
      </c>
      <c r="E1230" t="str">
        <f>IFERROR(__xludf.DUMMYFUNCTION("""COMPUTED_VALUE"""),"Inquiry: An Interdisciplinary Journal of Philosophy")</f>
        <v>Inquiry: An Interdisciplinary Journal of Philosophy</v>
      </c>
      <c r="F1230">
        <f>IFERROR(__xludf.DUMMYFUNCTION("""COMPUTED_VALUE"""),2019.0)</f>
        <v>2019</v>
      </c>
      <c r="H1230" s="3" t="str">
        <f>IFERROR(__xludf.DUMMYFUNCTION("""COMPUTED_VALUE"""),"AN #59")</f>
        <v>AN #59</v>
      </c>
      <c r="I1230" t="str">
        <f>IFERROR(__xludf.DUMMYFUNCTION("""COMPUTED_VALUE"""),"Rohin")</f>
        <v>Rohin</v>
      </c>
      <c r="J1230" t="str">
        <f>IFERROR(__xludf.DUMMYFUNCTION("""COMPUTED_VALUE"""),"The phrase ""existential risk"" is often used in different ways. This paper considers the pros and cons of five different definitions.")</f>
        <v>The phrase "existential risk" is often used in different ways. This paper considers the pros and cons of five different definitions.</v>
      </c>
      <c r="K1230" t="str">
        <f>IFERROR(__xludf.DUMMYFUNCTION("""COMPUTED_VALUE"""),"While this doesn't mention AI explicitly, I think it's useful to read anyway, because often which of the five concepts you use will affect what you think the important risks are.")</f>
        <v>While this doesn't mention AI explicitly, I think it's useful to read anyway, because often which of the five concepts you use will affect what you think the important risks are.</v>
      </c>
      <c r="M1230" s="3" t="str">
        <f>IFERROR(__xludf.DUMMYFUNCTION("""COMPUTED_VALUE"""),"PDF")</f>
        <v>PDF</v>
      </c>
    </row>
    <row r="1231">
      <c r="A1231" t="str">
        <f>IFERROR(__xludf.DUMMYFUNCTION("""COMPUTED_VALUE"""),"Miscellaneous (Alignment)")</f>
        <v>Miscellaneous (Alignment)</v>
      </c>
      <c r="B1231" t="str">
        <f>IFERROR(__xludf.DUMMYFUNCTION("""COMPUTED_VALUE"""),"")</f>
        <v/>
      </c>
      <c r="C1231" s="3" t="str">
        <f>IFERROR(__xludf.DUMMYFUNCTION("""COMPUTED_VALUE"""),"To first order, moral realism and moral anti-realism are the same thing")</f>
        <v>To first order, moral realism and moral anti-realism are the same thing</v>
      </c>
      <c r="D1231" t="str">
        <f>IFERROR(__xludf.DUMMYFUNCTION("""COMPUTED_VALUE"""),"Stuart Armstrong")</f>
        <v>Stuart Armstrong</v>
      </c>
      <c r="E1231" t="str">
        <f>IFERROR(__xludf.DUMMYFUNCTION("""COMPUTED_VALUE"""),"Alignment Forum")</f>
        <v>Alignment Forum</v>
      </c>
      <c r="F1231">
        <f>IFERROR(__xludf.DUMMYFUNCTION("""COMPUTED_VALUE"""),2019.0)</f>
        <v>2019</v>
      </c>
      <c r="H1231" s="3" t="str">
        <f>IFERROR(__xludf.DUMMYFUNCTION("""COMPUTED_VALUE"""),"AN #58")</f>
        <v>AN #58</v>
      </c>
    </row>
    <row r="1232">
      <c r="A1232" t="str">
        <f>IFERROR(__xludf.DUMMYFUNCTION("""COMPUTED_VALUE"""),"Miscellaneous (Alignment)")</f>
        <v>Miscellaneous (Alignment)</v>
      </c>
      <c r="B1232" t="str">
        <f>IFERROR(__xludf.DUMMYFUNCTION("""COMPUTED_VALUE"""),"")</f>
        <v/>
      </c>
      <c r="C1232" s="3" t="str">
        <f>IFERROR(__xludf.DUMMYFUNCTION("""COMPUTED_VALUE"""),"Reinforcement learning with imperceptible rewards")</f>
        <v>Reinforcement learning with imperceptible rewards</v>
      </c>
      <c r="D1232" t="str">
        <f>IFERROR(__xludf.DUMMYFUNCTION("""COMPUTED_VALUE"""),"Vanessa Kosoy")</f>
        <v>Vanessa Kosoy</v>
      </c>
      <c r="E1232" t="str">
        <f>IFERROR(__xludf.DUMMYFUNCTION("""COMPUTED_VALUE"""),"Alignment Forum")</f>
        <v>Alignment Forum</v>
      </c>
      <c r="F1232">
        <f>IFERROR(__xludf.DUMMYFUNCTION("""COMPUTED_VALUE"""),2019.0)</f>
        <v>2019</v>
      </c>
      <c r="H1232" s="3" t="str">
        <f>IFERROR(__xludf.DUMMYFUNCTION("""COMPUTED_VALUE"""),"AN #57")</f>
        <v>AN #57</v>
      </c>
      <c r="I1232" t="str">
        <f>IFERROR(__xludf.DUMMYFUNCTION("""COMPUTED_VALUE"""),"Rohin")</f>
        <v>Rohin</v>
      </c>
      <c r="J1232" t="str">
        <f>IFERROR(__xludf.DUMMYFUNCTION("""COMPUTED_VALUE"""),"Typically in reinforcement learning, the reward function is defined over _observations_ and actions, rather than directly on states, which ensures that the reward can always be calculated. However, in reality **we care about underlying aspects of the stat"&amp;"e that may not easily be computed from observations**. We can't guarantee sublinear regret, since if you are unsure about the reward in some unobservable part of the state that your actions nonetheless affect, then you can never learn the reward and appro"&amp;"ach optimality.
To fix this, we can work with rewards that are restricted to _instrumental states_ only. I don't understand exactly how these work, since I don't know the math used in the formalization, but I believe the idea is for the set of instrument"&amp;"al states to be defined such that for any two instrumental states, there exists some ""experiment"" that the agent can run in order to distinguish between the states in some finite time. The main point of this post is that we can establish a regret bound "&amp;"for MDPs (not POMDPs yet), assuming that there are no traps.")</f>
        <v>Typically in reinforcement learning, the reward function is defined over _observations_ and actions, rather than directly on states, which ensures that the reward can always be calculated. However, in reality **we care about underlying aspects of the state that may not easily be computed from observations**. We can't guarantee sublinear regret, since if you are unsure about the reward in some unobservable part of the state that your actions nonetheless affect, then you can never learn the reward and approach optimality.
To fix this, we can work with rewards that are restricted to _instrumental states_ only. I don't understand exactly how these work, since I don't know the math used in the formalization, but I believe the idea is for the set of instrumental states to be defined such that for any two instrumental states, there exists some "experiment" that the agent can run in order to distinguish between the states in some finite time. The main point of this post is that we can establish a regret bound for MDPs (not POMDPs yet), assuming that there are no traps.</v>
      </c>
    </row>
    <row r="1233">
      <c r="A1233" t="str">
        <f>IFERROR(__xludf.DUMMYFUNCTION("""COMPUTED_VALUE"""),"Miscellaneous (Alignment)")</f>
        <v>Miscellaneous (Alignment)</v>
      </c>
      <c r="B1233" t="str">
        <f>IFERROR(__xludf.DUMMYFUNCTION("""COMPUTED_VALUE"""),"")</f>
        <v/>
      </c>
      <c r="C1233" s="3" t="str">
        <f>IFERROR(__xludf.DUMMYFUNCTION("""COMPUTED_VALUE"""),"Human-Centered Artificial Intelligence and Machine Learning")</f>
        <v>Human-Centered Artificial Intelligence and Machine Learning</v>
      </c>
      <c r="D1233" t="str">
        <f>IFERROR(__xludf.DUMMYFUNCTION("""COMPUTED_VALUE"""),"Mark O. Riedl")</f>
        <v>Mark O. Riedl</v>
      </c>
      <c r="E1233" t="str">
        <f>IFERROR(__xludf.DUMMYFUNCTION("""COMPUTED_VALUE"""),"AAMAS '18 Proceedings of the 17th International Conference on Autonomous Agents and MultiAgent Systems")</f>
        <v>AAMAS '18 Proceedings of the 17th International Conference on Autonomous Agents and MultiAgent Systems</v>
      </c>
      <c r="F1233">
        <f>IFERROR(__xludf.DUMMYFUNCTION("""COMPUTED_VALUE"""),2019.0)</f>
        <v>2019</v>
      </c>
      <c r="H1233" s="3" t="str">
        <f>IFERROR(__xludf.DUMMYFUNCTION("""COMPUTED_VALUE"""),"AN #48")</f>
        <v>AN #48</v>
      </c>
    </row>
    <row r="1234">
      <c r="A1234" t="str">
        <f>IFERROR(__xludf.DUMMYFUNCTION("""COMPUTED_VALUE"""),"Miscellaneous (Alignment)")</f>
        <v>Miscellaneous (Alignment)</v>
      </c>
      <c r="B1234" t="str">
        <f>IFERROR(__xludf.DUMMYFUNCTION("""COMPUTED_VALUE"""),"")</f>
        <v/>
      </c>
      <c r="C1234" s="3" t="str">
        <f>IFERROR(__xludf.DUMMYFUNCTION("""COMPUTED_VALUE"""),"Would I think for ten thousand years?")</f>
        <v>Would I think for ten thousand years?</v>
      </c>
      <c r="D1234" t="str">
        <f>IFERROR(__xludf.DUMMYFUNCTION("""COMPUTED_VALUE"""),"Stuart Armstrong")</f>
        <v>Stuart Armstrong</v>
      </c>
      <c r="E1234" t="str">
        <f>IFERROR(__xludf.DUMMYFUNCTION("""COMPUTED_VALUE"""),"Alignment Forum")</f>
        <v>Alignment Forum</v>
      </c>
      <c r="F1234">
        <f>IFERROR(__xludf.DUMMYFUNCTION("""COMPUTED_VALUE"""),2019.0)</f>
        <v>2019</v>
      </c>
      <c r="H1234" s="3" t="str">
        <f>IFERROR(__xludf.DUMMYFUNCTION("""COMPUTED_VALUE"""),"AN #46")</f>
        <v>AN #46</v>
      </c>
      <c r="I1234" t="str">
        <f>IFERROR(__xludf.DUMMYFUNCTION("""COMPUTED_VALUE"""),"Rohin")</f>
        <v>Rohin</v>
      </c>
      <c r="J1234" t="str">
        <f>IFERROR(__xludf.DUMMYFUNCTION("""COMPUTED_VALUE"""),"Many ideas in AI safety involve delegating key decisions to simulations that can think longer. This post points out that you need to worry about value drift and other unforeseen problems in this situation. The comments also point out that there will likel"&amp;"y be differences between the simulation and the real world that could be problematic (e.g. what prevents the humans from going crazy from isolation?)")</f>
        <v>Many ideas in AI safety involve delegating key decisions to simulations that can think longer. This post points out that you need to worry about value drift and other unforeseen problems in this situation. The comments also point out that there will likely be differences between the simulation and the real world that could be problematic (e.g. what prevents the humans from going crazy from isolation?)</v>
      </c>
      <c r="K1234" t="str">
        <f>IFERROR(__xludf.DUMMYFUNCTION("""COMPUTED_VALUE"""),"Typically, if you argue that a simulation of you that thinks longer can't solve some problem X, the natural response is that that implies you couldn't solve X either. However, the differences between the simulation environment and real environment could m"&amp;"ake it be the case that in reality you could solve a problem that you couldn't in simulation (e.g. imagine the simulation didn't have access to the Internet). This suggests that if you wanted to do this you'd have to set up the simulation very carefully.")</f>
        <v>Typically, if you argue that a simulation of you that thinks longer can't solve some problem X, the natural response is that that implies you couldn't solve X either. However, the differences between the simulation environment and real environment could make it be the case that in reality you could solve a problem that you couldn't in simulation (e.g. imagine the simulation didn't have access to the Internet). This suggests that if you wanted to do this you'd have to set up the simulation very carefully.</v>
      </c>
    </row>
    <row r="1235">
      <c r="A1235" t="str">
        <f>IFERROR(__xludf.DUMMYFUNCTION("""COMPUTED_VALUE"""),"Miscellaneous (Alignment)")</f>
        <v>Miscellaneous (Alignment)</v>
      </c>
      <c r="B1235" t="str">
        <f>IFERROR(__xludf.DUMMYFUNCTION("""COMPUTED_VALUE"""),"")</f>
        <v/>
      </c>
      <c r="C1235" s="3" t="str">
        <f>IFERROR(__xludf.DUMMYFUNCTION("""COMPUTED_VALUE"""),"Can there be an indescribable hellworld?")</f>
        <v>Can there be an indescribable hellworld?</v>
      </c>
      <c r="D1235" t="str">
        <f>IFERROR(__xludf.DUMMYFUNCTION("""COMPUTED_VALUE"""),"Stuart Armstrong")</f>
        <v>Stuart Armstrong</v>
      </c>
      <c r="E1235" t="str">
        <f>IFERROR(__xludf.DUMMYFUNCTION("""COMPUTED_VALUE"""),"Alignment Forum")</f>
        <v>Alignment Forum</v>
      </c>
      <c r="F1235">
        <f>IFERROR(__xludf.DUMMYFUNCTION("""COMPUTED_VALUE"""),2019.0)</f>
        <v>2019</v>
      </c>
      <c r="H1235" s="3" t="str">
        <f>IFERROR(__xludf.DUMMYFUNCTION("""COMPUTED_VALUE"""),"AN #44")</f>
        <v>AN #44</v>
      </c>
      <c r="I1235" t="str">
        <f>IFERROR(__xludf.DUMMYFUNCTION("""COMPUTED_VALUE"""),"Richard")</f>
        <v>Richard</v>
      </c>
      <c r="J1235" t="str">
        <f>IFERROR(__xludf.DUMMYFUNCTION("""COMPUTED_VALUE"""),"This short post argues that it's always possible to explain why any given undesirable outcome doesn't satisfy our values (even if that explanation needs to be at a very high level), and so being able to make superintelligences debate in a trustworthy way "&amp;"is sufficient to make them safe.")</f>
        <v>This short post argues that it's always possible to explain why any given undesirable outcome doesn't satisfy our values (even if that explanation needs to be at a very high level), and so being able to make superintelligences debate in a trustworthy way is sufficient to make them safe.</v>
      </c>
    </row>
    <row r="1236">
      <c r="A1236" t="str">
        <f>IFERROR(__xludf.DUMMYFUNCTION("""COMPUTED_VALUE"""),"Miscellaneous (Alignment)")</f>
        <v>Miscellaneous (Alignment)</v>
      </c>
      <c r="B1236" t="str">
        <f>IFERROR(__xludf.DUMMYFUNCTION("""COMPUTED_VALUE"""),"")</f>
        <v/>
      </c>
      <c r="C1236" s="3" t="str">
        <f>IFERROR(__xludf.DUMMYFUNCTION("""COMPUTED_VALUE"""),"Assuming we've solved X, could we do Y...")</f>
        <v>Assuming we've solved X, could we do Y...</v>
      </c>
      <c r="D1236" t="str">
        <f>IFERROR(__xludf.DUMMYFUNCTION("""COMPUTED_VALUE"""),"Stuart Armstrong")</f>
        <v>Stuart Armstrong</v>
      </c>
      <c r="E1236" t="str">
        <f>IFERROR(__xludf.DUMMYFUNCTION("""COMPUTED_VALUE"""),"Alignment Forum")</f>
        <v>Alignment Forum</v>
      </c>
      <c r="F1236">
        <f>IFERROR(__xludf.DUMMYFUNCTION("""COMPUTED_VALUE"""),2018.0)</f>
        <v>2018</v>
      </c>
      <c r="H1236" s="3" t="str">
        <f>IFERROR(__xludf.DUMMYFUNCTION("""COMPUTED_VALUE"""),"AN #37")</f>
        <v>AN #37</v>
      </c>
      <c r="I1236" t="str">
        <f>IFERROR(__xludf.DUMMYFUNCTION("""COMPUTED_VALUE"""),"Rohin")</f>
        <v>Rohin</v>
      </c>
      <c r="J1236" t="str">
        <f>IFERROR(__xludf.DUMMYFUNCTION("""COMPUTED_VALUE"""),"We often want to make assumptions that sound intuitive but that we can't easily formalize, eg. ""assume we've solved the problem of determining human values"". However, such assumptions can often be interpreted as being very weak or very strong, and depen"&amp;"ding on the interpretation we could be assuming away the entire problem, or the assumption doesn't buy us anything. So, we should be more precise in our assumptions, or focus on only on some precise _properties_ of an assumption.")</f>
        <v>We often want to make assumptions that sound intuitive but that we can't easily formalize, eg. "assume we've solved the problem of determining human values". However, such assumptions can often be interpreted as being very weak or very strong, and depending on the interpretation we could be assuming away the entire problem, or the assumption doesn't buy us anything. So, we should be more precise in our assumptions, or focus on only on some precise _properties_ of an assumption.</v>
      </c>
      <c r="K1236" t="str">
        <f>IFERROR(__xludf.DUMMYFUNCTION("""COMPUTED_VALUE"""),"I think this argument applies well to the case where we are trying to _communicate_, but not so much to the case where I individually am thinking about a problem. (I'm making this claim about me specifically; I don't know if it generalizes to other people"&amp;".) Communication is hard and if the speaker uses some intuitive assumption, chances are the listener will interpret it differently from what the speaker intended, and so being very precise seems quite helpful. However, when I'm thinking through a problem "&amp;"myself and I make an assumption, I usually have a fairly detailed intuitive model of what I mean, such that if you ask me whether I'm assuming that problem X is solved by the assumption, I could answer that, even though I don't have a precise formulation "&amp;"of the assumption. Making the assumption more precise would be quite a lot of work, and probably would not improve my thinking on the topic that much, so I tend not to do it until I think there's some insight and want to make the argument more rigorous. I"&amp;"t seems to me that this is how most research progress happens: by individual researchers having intuitions that they then make rigorous and precise.")</f>
        <v>I think this argument applies well to the case where we are trying to _communicate_, but not so much to the case where I individually am thinking about a problem. (I'm making this claim about me specifically; I don't know if it generalizes to other people.) Communication is hard and if the speaker uses some intuitive assumption, chances are the listener will interpret it differently from what the speaker intended, and so being very precise seems quite helpful. However, when I'm thinking through a problem myself and I make an assumption, I usually have a fairly detailed intuitive model of what I mean, such that if you ask me whether I'm assuming that problem X is solved by the assumption, I could answer that, even though I don't have a precise formulation of the assumption. Making the assumption more precise would be quite a lot of work, and probably would not improve my thinking on the topic that much, so I tend not to do it until I think there's some insight and want to make the argument more rigorous. It seems to me that this is how most research progress happens: by individual researchers having intuitions that they then make rigorous and precise.</v>
      </c>
    </row>
    <row r="1237">
      <c r="A1237" t="str">
        <f>IFERROR(__xludf.DUMMYFUNCTION("""COMPUTED_VALUE"""),"Miscellaneous (Alignment)")</f>
        <v>Miscellaneous (Alignment)</v>
      </c>
      <c r="B1237" t="str">
        <f>IFERROR(__xludf.DUMMYFUNCTION("""COMPUTED_VALUE"""),"")</f>
        <v/>
      </c>
      <c r="C1237" s="3" t="str">
        <f>IFERROR(__xludf.DUMMYFUNCTION("""COMPUTED_VALUE"""),"AI Alignment Podcast: Moral Uncertainty and the Path to AI Alignment")</f>
        <v>AI Alignment Podcast: Moral Uncertainty and the Path to AI Alignment</v>
      </c>
      <c r="D1237" t="str">
        <f>IFERROR(__xludf.DUMMYFUNCTION("""COMPUTED_VALUE"""),"Lucas Perry and William MacAskill")</f>
        <v>Lucas Perry and William MacAskill</v>
      </c>
      <c r="E1237" t="str">
        <f>IFERROR(__xludf.DUMMYFUNCTION("""COMPUTED_VALUE"""),"FLI Website")</f>
        <v>FLI Website</v>
      </c>
      <c r="F1237">
        <f>IFERROR(__xludf.DUMMYFUNCTION("""COMPUTED_VALUE"""),2018.0)</f>
        <v>2018</v>
      </c>
      <c r="H1237" s="3" t="str">
        <f>IFERROR(__xludf.DUMMYFUNCTION("""COMPUTED_VALUE"""),"AN #25")</f>
        <v>AN #25</v>
      </c>
      <c r="I1237" t="str">
        <f>IFERROR(__xludf.DUMMYFUNCTION("""COMPUTED_VALUE"""),"Richard")</f>
        <v>Richard</v>
      </c>
      <c r="J1237" t="str">
        <f>IFERROR(__xludf.DUMMYFUNCTION("""COMPUTED_VALUE"""),"Initially, Will articulates arguments for moral realism (the idea that there are objectively true moral facts) and moral uncertainty (the idea that we should assign credences to different moral theories being correct). Later, the discussion turns to the r"&amp;"elevance of these views to AI safety. Will distinguishes the control problem (ensuring AIs do what we say), from the problem of aligning AI with human values, from the problem of aligning AI with moral truth. Observing humans isn't sufficient to learn val"&amp;"ues, since people can be self-destructive or otherwise misguided. Perhaps AI could extrapolate the values an idealised version of each person would endorse; however, this procedure seems under-defined.
On the moral truth side, Will worries that most educ"&amp;"ated people are moral relativists or subjectivists and so they won't sufficiently prioritise aligning AI with moral truth. He advocates for a period of long philosophical reflection once we've reduced existential risk to near zero, to figure out which fut"&amp;"ure would be best. Careful ethical reasoning during this period will be particularly important since small mistakes might be magnified massively when implemented on an astronomical scale; however, he acknowledges that global dynamics make such a proposal "&amp;"unlikely to succeed. On a brighter note, AGI might make great advances in ethics, which could allow us to make the future much more morally valuable.")</f>
        <v>Initially, Will articulates arguments for moral realism (the idea that there are objectively true moral facts) and moral uncertainty (the idea that we should assign credences to different moral theories being correct). Later, the discussion turns to the relevance of these views to AI safety. Will distinguishes the control problem (ensuring AIs do what we say), from the problem of aligning AI with human values, from the problem of aligning AI with moral truth. Observing humans isn't sufficient to learn values, since people can be self-destructive or otherwise misguided. Perhaps AI could extrapolate the values an idealised version of each person would endorse; however, this procedure seems under-defined.
On the moral truth side, Will worries that most educated people are moral relativists or subjectivists and so they won't sufficiently prioritise aligning AI with moral truth. He advocates for a period of long philosophical reflection once we've reduced existential risk to near zero, to figure out which future would be best. Careful ethical reasoning during this period will be particularly important since small mistakes might be magnified massively when implemented on an astronomical scale; however, he acknowledges that global dynamics make such a proposal unlikely to succeed. On a brighter note, AGI might make great advances in ethics, which could allow us to make the future much more morally valuable.</v>
      </c>
      <c r="K1237" t="str">
        <f>IFERROR(__xludf.DUMMYFUNCTION("""COMPUTED_VALUE"""),"I think moral uncertainty is an important and overdue idea in ethics. I also agree that the idea of extrapolating an idealised form of people's preferences is not well-defined. However, I'm very skeptical about Will's arguments about moral realism. In par"&amp;"ticular, I think that saying that nothing matters at all without moral realism is exactly the sort of type error which Eliezer argued against [here](https://www.lesswrong.com/posts/yA4gF5KrboK2m2Xu7/how-an-algorithm-feels-from-inside).
I'm more sympathet"&amp;"ic to the idea that we should have a period of long reflection before committing to actions on an astronomical scale; this seems like a good idea if you take moral uncertainty at all seriously.")</f>
        <v>I think moral uncertainty is an important and overdue idea in ethics. I also agree that the idea of extrapolating an idealised form of people's preferences is not well-defined. However, I'm very skeptical about Will's arguments about moral realism. In particular, I think that saying that nothing matters at all without moral realism is exactly the sort of type error which Eliezer argued against [here](https://www.lesswrong.com/posts/yA4gF5KrboK2m2Xu7/how-an-algorithm-feels-from-inside).
I'm more sympathetic to the idea that we should have a period of long reflection before committing to actions on an astronomical scale; this seems like a good idea if you take moral uncertainty at all seriously.</v>
      </c>
    </row>
    <row r="1238">
      <c r="A1238" t="str">
        <f>IFERROR(__xludf.DUMMYFUNCTION("""COMPUTED_VALUE"""),"Miscellaneous (Alignment)")</f>
        <v>Miscellaneous (Alignment)</v>
      </c>
      <c r="B1238" t="str">
        <f>IFERROR(__xludf.DUMMYFUNCTION("""COMPUTED_VALUE"""),"")</f>
        <v/>
      </c>
      <c r="C1238" s="3" t="str">
        <f>IFERROR(__xludf.DUMMYFUNCTION("""COMPUTED_VALUE"""),"Does Your Model Know the Digit 6 Is Not a Cat? A Less Biased Evaluation of ""Outlier"" Detectors")</f>
        <v>Does Your Model Know the Digit 6 Is Not a Cat? A Less Biased Evaluation of "Outlier" Detectors</v>
      </c>
      <c r="D1238" t="str">
        <f>IFERROR(__xludf.DUMMYFUNCTION("""COMPUTED_VALUE"""),"Alireza Shafaei, Mark Schmidt, James J. Little")</f>
        <v>Alireza Shafaei, Mark Schmidt, James J. Little</v>
      </c>
      <c r="E1238" t="str">
        <f>IFERROR(__xludf.DUMMYFUNCTION("""COMPUTED_VALUE"""),"EuroSys '18 Proceedings of the Thirteenth EuroSys Conference, Article No. 18")</f>
        <v>EuroSys '18 Proceedings of the Thirteenth EuroSys Conference, Article No. 18</v>
      </c>
      <c r="F1238">
        <f>IFERROR(__xludf.DUMMYFUNCTION("""COMPUTED_VALUE"""),2018.0)</f>
        <v>2018</v>
      </c>
      <c r="H1238" s="3" t="str">
        <f>IFERROR(__xludf.DUMMYFUNCTION("""COMPUTED_VALUE"""),"AN #25")</f>
        <v>AN #25</v>
      </c>
    </row>
    <row r="1239">
      <c r="A1239" t="str">
        <f>IFERROR(__xludf.DUMMYFUNCTION("""COMPUTED_VALUE"""),"Miscellaneous (Alignment)")</f>
        <v>Miscellaneous (Alignment)</v>
      </c>
      <c r="B1239" t="str">
        <f>IFERROR(__xludf.DUMMYFUNCTION("""COMPUTED_VALUE"""),"")</f>
        <v/>
      </c>
      <c r="C1239" s="3" t="str">
        <f>IFERROR(__xludf.DUMMYFUNCTION("""COMPUTED_VALUE"""),"(A -&gt; B) -&gt; A")</f>
        <v>(A -&gt; B) -&gt; A</v>
      </c>
      <c r="D1239" t="str">
        <f>IFERROR(__xludf.DUMMYFUNCTION("""COMPUTED_VALUE"""),"Scott Garrabrant")</f>
        <v>Scott Garrabrant</v>
      </c>
      <c r="E1239" t="str">
        <f>IFERROR(__xludf.DUMMYFUNCTION("""COMPUTED_VALUE"""),"Alignment Forum")</f>
        <v>Alignment Forum</v>
      </c>
      <c r="F1239">
        <f>IFERROR(__xludf.DUMMYFUNCTION("""COMPUTED_VALUE"""),2018.0)</f>
        <v>2018</v>
      </c>
      <c r="H1239" s="3" t="str">
        <f>IFERROR(__xludf.DUMMYFUNCTION("""COMPUTED_VALUE"""),"AN #24")</f>
        <v>AN #24</v>
      </c>
      <c r="I1239" t="str">
        <f>IFERROR(__xludf.DUMMYFUNCTION("""COMPUTED_VALUE"""),"Rohin")</f>
        <v>Rohin</v>
      </c>
      <c r="J1239" t="str">
        <f>IFERROR(__xludf.DUMMYFUNCTION("""COMPUTED_VALUE"""),"This blog post has some thoughts on the type (A -&gt; B) -&gt; A, which can be thought of as the type of an agent. Rather than summarize the post, which seems hard, I'm going to say things about this type inspired by the post, and then you can decide whether to"&amp;" read the post.")</f>
        <v>This blog post has some thoughts on the type (A -&gt; B) -&gt; A, which can be thought of as the type of an agent. Rather than summarize the post, which seems hard, I'm going to say things about this type inspired by the post, and then you can decide whether to read the post.</v>
      </c>
      <c r="K1239" t="str">
        <f>IFERROR(__xludf.DUMMYFUNCTION("""COMPUTED_VALUE"""),"Intuitively, this type says that given something that maps A to B, you can get an A. If you think of (A -&gt; B) as an environment where A is the action and B is the effect, then this type is a function that says which actions you should take. Note that the "&amp;"goal, which would be an element of B, is not passed in explicitly, so the goal must be inside of the function of type (A -&gt; B) -&gt; A, similar to our typical views of what an ""agent"" is. If you only assume that you know what A and B are, but you know noth"&amp;"ing else, to do anything interesting you would be doing black box optimization -- that is, you get some f of type (A -&gt; B) that you know nothing about, and so you just keep computing f(a) for different a ∈ A, looking for a particular b ∈ B. Perhaps you bu"&amp;"ild a model of the function f and then do something more abstract with your model to find a good a ∈ A. (The post mentions a similar idea by noting that argmax has this type signature.) The post also has some thoughts about game theory that are interestin"&amp;"g.")</f>
        <v>Intuitively, this type says that given something that maps A to B, you can get an A. If you think of (A -&gt; B) as an environment where A is the action and B is the effect, then this type is a function that says which actions you should take. Note that the goal, which would be an element of B, is not passed in explicitly, so the goal must be inside of the function of type (A -&gt; B) -&gt; A, similar to our typical views of what an "agent" is. If you only assume that you know what A and B are, but you know nothing else, to do anything interesting you would be doing black box optimization -- that is, you get some f of type (A -&gt; B) that you know nothing about, and so you just keep computing f(a) for different a ∈ A, looking for a particular b ∈ B. Perhaps you build a model of the function f and then do something more abstract with your model to find a good a ∈ A. (The post mentions a similar idea by noting that argmax has this type signature.) The post also has some thoughts about game theory that are interesting.</v>
      </c>
    </row>
    <row r="1240">
      <c r="A1240" t="str">
        <f>IFERROR(__xludf.DUMMYFUNCTION("""COMPUTED_VALUE"""),"Miscellaneous (Alignment)")</f>
        <v>Miscellaneous (Alignment)</v>
      </c>
      <c r="B1240" t="str">
        <f>IFERROR(__xludf.DUMMYFUNCTION("""COMPUTED_VALUE"""),"")</f>
        <v/>
      </c>
      <c r="C1240" s="3" t="str">
        <f>IFERROR(__xludf.DUMMYFUNCTION("""COMPUTED_VALUE"""),"Key Concepts in AI Safety")</f>
        <v>Key Concepts in AI Safety</v>
      </c>
      <c r="D1240" t="str">
        <f>IFERROR(__xludf.DUMMYFUNCTION("""COMPUTED_VALUE"""),"Tim G. J. Rudner, Helen Toner")</f>
        <v>Tim G. J. Rudner, Helen Toner</v>
      </c>
      <c r="E1240" t="str">
        <f>IFERROR(__xludf.DUMMYFUNCTION("""COMPUTED_VALUE"""),"CSET Website")</f>
        <v>CSET Website</v>
      </c>
      <c r="F1240">
        <f>IFERROR(__xludf.DUMMYFUNCTION("""COMPUTED_VALUE"""),2021.0)</f>
        <v>2021</v>
      </c>
      <c r="H1240" s="3" t="str">
        <f>IFERROR(__xludf.DUMMYFUNCTION("""COMPUTED_VALUE"""),"AN #143")</f>
        <v>AN #143</v>
      </c>
      <c r="I1240" t="str">
        <f>IFERROR(__xludf.DUMMYFUNCTION("""COMPUTED_VALUE"""),"Rohin")</f>
        <v>Rohin</v>
      </c>
      <c r="J1240" t="str">
        <f>IFERROR(__xludf.DUMMYFUNCTION("""COMPUTED_VALUE"""),"This overview from CSET gives a brief introduction to AI safety using the &lt;@specification, robustness, and assurance (SRA) framework@&gt;(@Building safe artificial intelligence: specification, robustness, and assurance@). Follow-up reports cover [interpretab"&amp;"ility](https://cset.georgetown.edu/research/key-concepts-in-ai-safety-interpretability-in-machine-learning/) and [adversarial examples / robustness](https://cset.georgetown.edu/research/key-concepts-in-ai-safety-robustness-and-adversarial-examples/). I do"&amp;"n’t expect these to be novel to readers of this newsletter -- I include them in case anyone wants a brief overview, as well as to provide links to AI safety reports that will likely be read by government officials.")</f>
        <v>This overview from CSET gives a brief introduction to AI safety using the &lt;@specification, robustness, and assurance (SRA) framework@&gt;(@Building safe artificial intelligence: specification, robustness, and assurance@). Follow-up reports cover [interpretability](https://cset.georgetown.edu/research/key-concepts-in-ai-safety-interpretability-in-machine-learning/) and [adversarial examples / robustness](https://cset.georgetown.edu/research/key-concepts-in-ai-safety-robustness-and-adversarial-examples/). I don’t expect these to be novel to readers of this newsletter -- I include them in case anyone wants a brief overview, as well as to provide links to AI safety reports that will likely be read by government officials.</v>
      </c>
    </row>
    <row r="1241">
      <c r="A1241" t="str">
        <f>IFERROR(__xludf.DUMMYFUNCTION("""COMPUTED_VALUE"""),"Miscellaneous (Alignment)")</f>
        <v>Miscellaneous (Alignment)</v>
      </c>
      <c r="B1241" t="str">
        <f>IFERROR(__xludf.DUMMYFUNCTION("""COMPUTED_VALUE"""),"")</f>
        <v/>
      </c>
      <c r="C1241" s="3" t="str">
        <f>IFERROR(__xludf.DUMMYFUNCTION("""COMPUTED_VALUE"""),"Epistemological Framing for AI Alignment Research")</f>
        <v>Epistemological Framing for AI Alignment Research</v>
      </c>
      <c r="D1241" t="str">
        <f>IFERROR(__xludf.DUMMYFUNCTION("""COMPUTED_VALUE"""),"Adam Shimi")</f>
        <v>Adam Shimi</v>
      </c>
      <c r="E1241" t="str">
        <f>IFERROR(__xludf.DUMMYFUNCTION("""COMPUTED_VALUE"""),"Alignment Forum")</f>
        <v>Alignment Forum</v>
      </c>
      <c r="F1241">
        <f>IFERROR(__xludf.DUMMYFUNCTION("""COMPUTED_VALUE"""),2021.0)</f>
        <v>2021</v>
      </c>
      <c r="H1241" s="3" t="str">
        <f>IFERROR(__xludf.DUMMYFUNCTION("""COMPUTED_VALUE"""),"AN #141")</f>
        <v>AN #141</v>
      </c>
      <c r="I1241" t="str">
        <f>IFERROR(__xludf.DUMMYFUNCTION("""COMPUTED_VALUE"""),"Rohin")</f>
        <v>Rohin</v>
      </c>
      <c r="J1241" t="str">
        <f>IFERROR(__xludf.DUMMYFUNCTION("""COMPUTED_VALUE"""),"This post recommends that we think about AI alignment research in the following framework:
1. Defining the problem and its terms: for example, we might want to define “agency”, “optimization”, “AI”, and “well-behaved”.
2. Exploring these definitions, to "&amp;"see what they entail.
3. Solving the now well-defined problem.
This is explicitly _not_ a paradigm, but rather a framework in which we can think about possible paradigms for AI safety. A specific paradigm would choose a specific problem formulation and d"&amp;"efinition (or at least something significantly more concrete than “solve AI safety”). However, we are not yet sufficiently deconfused to be able to commit to a specific paradigm; hence this overarching framework.")</f>
        <v>This post recommends that we think about AI alignment research in the following framework:
1. Defining the problem and its terms: for example, we might want to define “agency”, “optimization”, “AI”, and “well-behaved”.
2. Exploring these definitions, to see what they entail.
3. Solving the now well-defined problem.
This is explicitly _not_ a paradigm, but rather a framework in which we can think about possible paradigms for AI safety. A specific paradigm would choose a specific problem formulation and definition (or at least something significantly more concrete than “solve AI safety”). However, we are not yet sufficiently deconfused to be able to commit to a specific paradigm; hence this overarching framework.</v>
      </c>
    </row>
    <row r="1242">
      <c r="A1242" t="str">
        <f>IFERROR(__xludf.DUMMYFUNCTION("""COMPUTED_VALUE"""),"Miscellaneous (Alignment)")</f>
        <v>Miscellaneous (Alignment)</v>
      </c>
      <c r="B1242" t="str">
        <f>IFERROR(__xludf.DUMMYFUNCTION("""COMPUTED_VALUE"""),"")</f>
        <v/>
      </c>
      <c r="C1242" s="3" t="str">
        <f>IFERROR(__xludf.DUMMYFUNCTION("""COMPUTED_VALUE"""),"The Challenge of Value Alignment: from Fairer Algorithms to AI Safety")</f>
        <v>The Challenge of Value Alignment: from Fairer Algorithms to AI Safety</v>
      </c>
      <c r="D1242" t="str">
        <f>IFERROR(__xludf.DUMMYFUNCTION("""COMPUTED_VALUE"""),"Iason Gabriel, Vafa Ghazavi")</f>
        <v>Iason Gabriel, Vafa Ghazavi</v>
      </c>
      <c r="E1242" t="str">
        <f>IFERROR(__xludf.DUMMYFUNCTION("""COMPUTED_VALUE"""),"arXiv")</f>
        <v>arXiv</v>
      </c>
      <c r="F1242">
        <f>IFERROR(__xludf.DUMMYFUNCTION("""COMPUTED_VALUE"""),2021.0)</f>
        <v>2021</v>
      </c>
      <c r="H1242" s="3" t="str">
        <f>IFERROR(__xludf.DUMMYFUNCTION("""COMPUTED_VALUE"""),"AN #137")</f>
        <v>AN #137</v>
      </c>
      <c r="I1242" t="str">
        <f>IFERROR(__xludf.DUMMYFUNCTION("""COMPUTED_VALUE"""),"Rohin")</f>
        <v>Rohin</v>
      </c>
      <c r="J1242" t="str">
        <f>IFERROR(__xludf.DUMMYFUNCTION("""COMPUTED_VALUE"""),"This book chapter provides an introduction to AI alignment from a philosophical lens.")</f>
        <v>This book chapter provides an introduction to AI alignment from a philosophical lens.</v>
      </c>
    </row>
    <row r="1243">
      <c r="A1243" t="str">
        <f>IFERROR(__xludf.DUMMYFUNCTION("""COMPUTED_VALUE"""),"Miscellaneous (Alignment)")</f>
        <v>Miscellaneous (Alignment)</v>
      </c>
      <c r="B1243" t="str">
        <f>IFERROR(__xludf.DUMMYFUNCTION("""COMPUTED_VALUE"""),"")</f>
        <v/>
      </c>
      <c r="C1243" s="3" t="str">
        <f>IFERROR(__xludf.DUMMYFUNCTION("""COMPUTED_VALUE"""),"The date of AI Takeover is not the day the AI takes over")</f>
        <v>The date of AI Takeover is not the day the AI takes over</v>
      </c>
      <c r="D1243" t="str">
        <f>IFERROR(__xludf.DUMMYFUNCTION("""COMPUTED_VALUE"""),"Daniel Kokotajlo")</f>
        <v>Daniel Kokotajlo</v>
      </c>
      <c r="E1243" t="str">
        <f>IFERROR(__xludf.DUMMYFUNCTION("""COMPUTED_VALUE"""),"Alignment Forum")</f>
        <v>Alignment Forum</v>
      </c>
      <c r="F1243">
        <f>IFERROR(__xludf.DUMMYFUNCTION("""COMPUTED_VALUE"""),2020.0)</f>
        <v>2020</v>
      </c>
      <c r="H1243" s="3" t="str">
        <f>IFERROR(__xludf.DUMMYFUNCTION("""COMPUTED_VALUE"""),"AN #123")</f>
        <v>AN #123</v>
      </c>
      <c r="I1243" t="str">
        <f>IFERROR(__xludf.DUMMYFUNCTION("""COMPUTED_VALUE"""),"Rohin")</f>
        <v>Rohin</v>
      </c>
      <c r="J1243" t="str">
        <f>IFERROR(__xludf.DUMMYFUNCTION("""COMPUTED_VALUE"""),"This post points out that when making decisions based on AGI timelines, the relevant date is not when an AI would actually take over the world, but instead the last point at which we could have done anything about it.")</f>
        <v>This post points out that when making decisions based on AGI timelines, the relevant date is not when an AI would actually take over the world, but instead the last point at which we could have done anything about it.</v>
      </c>
    </row>
    <row r="1244">
      <c r="A1244" t="str">
        <f>IFERROR(__xludf.DUMMYFUNCTION("""COMPUTED_VALUE"""),"Miscellaneous (Alignment)")</f>
        <v>Miscellaneous (Alignment)</v>
      </c>
      <c r="B1244" t="str">
        <f>IFERROR(__xludf.DUMMYFUNCTION("""COMPUTED_VALUE"""),"")</f>
        <v/>
      </c>
      <c r="C1244" s="3" t="str">
        <f>IFERROR(__xludf.DUMMYFUNCTION("""COMPUTED_VALUE"""),"Knowledge, manipulation, and free will")</f>
        <v>Knowledge, manipulation, and free will</v>
      </c>
      <c r="D1244" t="str">
        <f>IFERROR(__xludf.DUMMYFUNCTION("""COMPUTED_VALUE"""),"Stuart Armstrong")</f>
        <v>Stuart Armstrong</v>
      </c>
      <c r="E1244" t="str">
        <f>IFERROR(__xludf.DUMMYFUNCTION("""COMPUTED_VALUE"""),"Alignment Forum")</f>
        <v>Alignment Forum</v>
      </c>
      <c r="F1244">
        <f>IFERROR(__xludf.DUMMYFUNCTION("""COMPUTED_VALUE"""),2020.0)</f>
        <v>2020</v>
      </c>
      <c r="H1244" s="3" t="str">
        <f>IFERROR(__xludf.DUMMYFUNCTION("""COMPUTED_VALUE"""),"AN #122")</f>
        <v>AN #122</v>
      </c>
      <c r="I1244" t="str">
        <f>IFERROR(__xludf.DUMMYFUNCTION("""COMPUTED_VALUE"""),"Rohin")</f>
        <v>Rohin</v>
      </c>
      <c r="J1244" t="str">
        <f>IFERROR(__xludf.DUMMYFUNCTION("""COMPUTED_VALUE"""),"This post considers the concepts of free will, manipulation, and coercion in the setting where we have a superintelligent AI system that is able to predict human behavior very accurately. The main point I’d highlight is that the concept of manipulation se"&amp;"ems pretty hard to pin down, since anything the AI system does probably does affect the human in some way that the AI system could predict and so could count as “manipulation”.")</f>
        <v>This post considers the concepts of free will, manipulation, and coercion in the setting where we have a superintelligent AI system that is able to predict human behavior very accurately. The main point I’d highlight is that the concept of manipulation seems pretty hard to pin down, since anything the AI system does probably does affect the human in some way that the AI system could predict and so could count as “manipulation”.</v>
      </c>
    </row>
    <row r="1245">
      <c r="A1245" t="str">
        <f>IFERROR(__xludf.DUMMYFUNCTION("""COMPUTED_VALUE"""),"Miscellaneous (Alignment)")</f>
        <v>Miscellaneous (Alignment)</v>
      </c>
      <c r="B1245" t="str">
        <f>IFERROR(__xludf.DUMMYFUNCTION("""COMPUTED_VALUE"""),"")</f>
        <v/>
      </c>
      <c r="C1245" s="3" t="str">
        <f>IFERROR(__xludf.DUMMYFUNCTION("""COMPUTED_VALUE"""),"Locality of goals")</f>
        <v>Locality of goals</v>
      </c>
      <c r="D1245" t="str">
        <f>IFERROR(__xludf.DUMMYFUNCTION("""COMPUTED_VALUE"""),"Adam Shimi")</f>
        <v>Adam Shimi</v>
      </c>
      <c r="E1245" t="str">
        <f>IFERROR(__xludf.DUMMYFUNCTION("""COMPUTED_VALUE"""),"Alignment Forum")</f>
        <v>Alignment Forum</v>
      </c>
      <c r="F1245">
        <f>IFERROR(__xludf.DUMMYFUNCTION("""COMPUTED_VALUE"""),2020.0)</f>
        <v>2020</v>
      </c>
      <c r="H1245" s="3" t="str">
        <f>IFERROR(__xludf.DUMMYFUNCTION("""COMPUTED_VALUE"""),"AN #107")</f>
        <v>AN #107</v>
      </c>
      <c r="I1245" t="str">
        <f>IFERROR(__xludf.DUMMYFUNCTION("""COMPUTED_VALUE"""),"Rohin")</f>
        <v>Rohin</v>
      </c>
      <c r="J1245" t="str">
        <f>IFERROR(__xludf.DUMMYFUNCTION("""COMPUTED_VALUE"""),"This post introduces the concept of the _locality_ of a goal, that is, how “far” away the target of the goal is. For example, a thermometer’s “goal” is very local: it “wants” to regulate the temperature of this room, and doesn’t “care” about the temperatu"&amp;"re of the neighboring house. In contrast, a paperclip maximizer has extremely nonlocal goals, as it “cares” about paperclips anywhere in the universe. We can also consider whether the goal depends on the agent’s internals, its input, its output, and/or th"&amp;"e environment.
The concept is useful because for extremely local goals (usually goals about the internals or the input) we would expect wireheading or tampering, whereas for extremely nonlocal goals, we would instead expect convergent instrumental subgoa"&amp;"ls like resource acquisition.")</f>
        <v>This post introduces the concept of the _locality_ of a goal, that is, how “far” away the target of the goal is. For example, a thermometer’s “goal” is very local: it “wants” to regulate the temperature of this room, and doesn’t “care” about the temperature of the neighboring house. In contrast, a paperclip maximizer has extremely nonlocal goals, as it “cares” about paperclips anywhere in the universe. We can also consider whether the goal depends on the agent’s internals, its input, its output, and/or the environment.
The concept is useful because for extremely local goals (usually goals about the internals or the input) we would expect wireheading or tampering, whereas for extremely nonlocal goals, we would instead expect convergent instrumental subgoals like resource acquisition.</v>
      </c>
    </row>
    <row r="1246">
      <c r="A1246" t="str">
        <f>IFERROR(__xludf.DUMMYFUNCTION("""COMPUTED_VALUE"""),"Miscellaneous (Alignment)")</f>
        <v>Miscellaneous (Alignment)</v>
      </c>
      <c r="B1246" t="str">
        <f>IFERROR(__xludf.DUMMYFUNCTION("""COMPUTED_VALUE"""),"")</f>
        <v/>
      </c>
      <c r="C1246" s="3" t="str">
        <f>IFERROR(__xludf.DUMMYFUNCTION("""COMPUTED_VALUE"""),"Goals and short descriptions")</f>
        <v>Goals and short descriptions</v>
      </c>
      <c r="D1246" t="str">
        <f>IFERROR(__xludf.DUMMYFUNCTION("""COMPUTED_VALUE"""),"Michele Campolo")</f>
        <v>Michele Campolo</v>
      </c>
      <c r="E1246" t="str">
        <f>IFERROR(__xludf.DUMMYFUNCTION("""COMPUTED_VALUE"""),"Alignment Forum")</f>
        <v>Alignment Forum</v>
      </c>
      <c r="F1246">
        <f>IFERROR(__xludf.DUMMYFUNCTION("""COMPUTED_VALUE"""),2020.0)</f>
        <v>2020</v>
      </c>
      <c r="H1246" s="3" t="str">
        <f>IFERROR(__xludf.DUMMYFUNCTION("""COMPUTED_VALUE"""),"AN #107")</f>
        <v>AN #107</v>
      </c>
      <c r="I1246" t="str">
        <f>IFERROR(__xludf.DUMMYFUNCTION("""COMPUTED_VALUE"""),"Rohin")</f>
        <v>Rohin</v>
      </c>
      <c r="J1246" t="str">
        <f>IFERROR(__xludf.DUMMYFUNCTION("""COMPUTED_VALUE"""),"This post argues that a distinguishing factor of goal-directed policies is that they have low Kolmogorov complexity, relative to e.g. a lookup table that assigns a randomly selected action to each observation. It then relates this to [quantilizers](https:"&amp;"//intelligence.org/files/QuantilizersSaferAlternative.pdf) ([AN #48](https://mailchi.mp/3091c6e9405c/alignment-newsletter-48)) and &lt;@mesa optimization@&gt;(@Risks from Learned Optimization in Advanced Machine Learning Systems@).")</f>
        <v>This post argues that a distinguishing factor of goal-directed policies is that they have low Kolmogorov complexity, relative to e.g. a lookup table that assigns a randomly selected action to each observation. It then relates this to [quantilizers](https://intelligence.org/files/QuantilizersSaferAlternative.pdf) ([AN #48](https://mailchi.mp/3091c6e9405c/alignment-newsletter-48)) and &lt;@mesa optimization@&gt;(@Risks from Learned Optimization in Advanced Machine Learning Systems@).</v>
      </c>
      <c r="K1246" t="str">
        <f>IFERROR(__xludf.DUMMYFUNCTION("""COMPUTED_VALUE"""),"This seems reasonable to me as an aspect of goal-directedness. Note that it is not a sufficient condition. For example, the policy that always chooses action A has extremely low complexity, but I would not call it goal-directed.")</f>
        <v>This seems reasonable to me as an aspect of goal-directedness. Note that it is not a sufficient condition. For example, the policy that always chooses action A has extremely low complexity, but I would not call it goal-directed.</v>
      </c>
    </row>
    <row r="1247">
      <c r="A1247" t="str">
        <f>IFERROR(__xludf.DUMMYFUNCTION("""COMPUTED_VALUE"""),"Miscellaneous (Alignment)")</f>
        <v>Miscellaneous (Alignment)</v>
      </c>
      <c r="B1247" t="str">
        <f>IFERROR(__xludf.DUMMYFUNCTION("""COMPUTED_VALUE"""),"")</f>
        <v/>
      </c>
      <c r="C1247" s="3" t="str">
        <f>IFERROR(__xludf.DUMMYFUNCTION("""COMPUTED_VALUE"""),"Preparing for ""The Talk"" with AI projects")</f>
        <v>Preparing for "The Talk" with AI projects</v>
      </c>
      <c r="D1247" t="str">
        <f>IFERROR(__xludf.DUMMYFUNCTION("""COMPUTED_VALUE"""),"Daniel Kokotajlo")</f>
        <v>Daniel Kokotajlo</v>
      </c>
      <c r="E1247" t="str">
        <f>IFERROR(__xludf.DUMMYFUNCTION("""COMPUTED_VALUE"""),"Alignment Forum")</f>
        <v>Alignment Forum</v>
      </c>
      <c r="F1247">
        <f>IFERROR(__xludf.DUMMYFUNCTION("""COMPUTED_VALUE"""),2020.0)</f>
        <v>2020</v>
      </c>
      <c r="H1247" s="3" t="str">
        <f>IFERROR(__xludf.DUMMYFUNCTION("""COMPUTED_VALUE"""),"AN #105")</f>
        <v>AN #105</v>
      </c>
      <c r="I1247" t="str">
        <f>IFERROR(__xludf.DUMMYFUNCTION("""COMPUTED_VALUE"""),"Rohin")</f>
        <v>Rohin</v>
      </c>
      <c r="J1247" t="str">
        <f>IFERROR(__xludf.DUMMYFUNCTION("""COMPUTED_VALUE"""),"At some point in the future, it seems plausible that there will be a conversation in which people decide whether or not to deploy a potentially risky AI system. So one class of interventions to consider is interventions that make such conversations go wel"&amp;"l. This includes raising awareness about specific problems and risks, but could also include identifying people who are likely to be involved in such conversations _and_ concerned about AI risk, and helping them prepare for such conversations through trai"&amp;"ning, resources, and practice. This latter intervention hasn't been done yet: some simple examples of potential interventions would be generating official lists of AI safety problems and solutions which can be pointed to in such conversations, or doing """&amp;"practice runs"" of these conversations.")</f>
        <v>At some point in the future, it seems plausible that there will be a conversation in which people decide whether or not to deploy a potentially risky AI system. So one class of interventions to consider is interventions that make such conversations go well. This includes raising awareness about specific problems and risks, but could also include identifying people who are likely to be involved in such conversations _and_ concerned about AI risk, and helping them prepare for such conversations through training, resources, and practice. This latter intervention hasn't been done yet: some simple examples of potential interventions would be generating official lists of AI safety problems and solutions which can be pointed to in such conversations, or doing "practice runs" of these conversations.</v>
      </c>
      <c r="K1247" t="str">
        <f>IFERROR(__xludf.DUMMYFUNCTION("""COMPUTED_VALUE"""),"I certainly agree that we should be thinking about how we can convince key decision makers of the level of risk of the systems they are building (whatever that level of risk is). I think that on the current margin it's much more likely that this is best d"&amp;"one through better estimation and explanation of risks with AI systems, but it seems likely that the interventions laid out here will become more important in the future.")</f>
        <v>I certainly agree that we should be thinking about how we can convince key decision makers of the level of risk of the systems they are building (whatever that level of risk is). I think that on the current margin it's much more likely that this is best done through better estimation and explanation of risks with AI systems, but it seems likely that the interventions laid out here will become more important in the future.</v>
      </c>
    </row>
    <row r="1248">
      <c r="A1248" t="str">
        <f>IFERROR(__xludf.DUMMYFUNCTION("""COMPUTED_VALUE"""),"Miscellaneous (Alignment)")</f>
        <v>Miscellaneous (Alignment)</v>
      </c>
      <c r="B1248" t="str">
        <f>IFERROR(__xludf.DUMMYFUNCTION("""COMPUTED_VALUE"""),"")</f>
        <v/>
      </c>
      <c r="C1248" s="3" t="str">
        <f>IFERROR(__xludf.DUMMYFUNCTION("""COMPUTED_VALUE"""),"Bootstrapped Alignment")</f>
        <v>Bootstrapped Alignment</v>
      </c>
      <c r="D1248" t="str">
        <f>IFERROR(__xludf.DUMMYFUNCTION("""COMPUTED_VALUE"""),"G Gordon Worley III")</f>
        <v>G Gordon Worley III</v>
      </c>
      <c r="E1248" t="str">
        <f>IFERROR(__xludf.DUMMYFUNCTION("""COMPUTED_VALUE"""),"Alignment Forum")</f>
        <v>Alignment Forum</v>
      </c>
      <c r="F1248">
        <f>IFERROR(__xludf.DUMMYFUNCTION("""COMPUTED_VALUE"""),2021.0)</f>
        <v>2021</v>
      </c>
      <c r="I1248" t="str">
        <f>IFERROR(__xludf.DUMMYFUNCTION("""COMPUTED_VALUE"""),"Rohin")</f>
        <v>Rohin</v>
      </c>
      <c r="J1248" t="str">
        <f>IFERROR(__xludf.DUMMYFUNCTION("""COMPUTED_VALUE"""),"This post distinguishes between three kinds of “alignment”:
1. Not building an AI system at all,
2. Building Friendly AI that will remain perfectly aligned for all time and capability levels,
3. _Bootstrapped alignment_, in which we build AI systems that "&amp;"may not be perfectly aligned but are at least aligned enough that we can use them to build perfectly aligned systems.
The post argues that optimization-based approaches can’t lead to perfect alignment, because there will always eventually be Goodhart eff"&amp;"ects.")</f>
        <v>This post distinguishes between three kinds of “alignment”:
1. Not building an AI system at all,
2. Building Friendly AI that will remain perfectly aligned for all time and capability levels,
3. _Bootstrapped alignment_, in which we build AI systems that may not be perfectly aligned but are at least aligned enough that we can use them to build perfectly aligned systems.
The post argues that optimization-based approaches can’t lead to perfect alignment, because there will always eventually be Goodhart effects.</v>
      </c>
    </row>
    <row r="1249">
      <c r="A1249" t="str">
        <f>IFERROR(__xludf.DUMMYFUNCTION("""COMPUTED_VALUE"""),"Miscellaneous (Alignment)")</f>
        <v>Miscellaneous (Alignment)</v>
      </c>
      <c r="B1249" t="str">
        <f>IFERROR(__xludf.DUMMYFUNCTION("""COMPUTED_VALUE"""),"")</f>
        <v/>
      </c>
      <c r="C1249" s="3" t="str">
        <f>IFERROR(__xludf.DUMMYFUNCTION("""COMPUTED_VALUE"""),"More on the Linear Utility Hypothesis and the Leverage Prior")</f>
        <v>More on the Linear Utility Hypothesis and the Leverage Prior</v>
      </c>
      <c r="E1249" t="str">
        <f>IFERROR(__xludf.DUMMYFUNCTION("""COMPUTED_VALUE"""),"LessWrong")</f>
        <v>LessWrong</v>
      </c>
      <c r="H1249" s="3" t="str">
        <f>IFERROR(__xludf.DUMMYFUNCTION("""COMPUTED_VALUE"""),"Recon #4")</f>
        <v>Recon #4</v>
      </c>
      <c r="L1249" s="3" t="str">
        <f>IFERROR(__xludf.DUMMYFUNCTION("""COMPUTED_VALUE"""),"Against the Linear Utility Hypothesis and the Leverage Penalty")</f>
        <v>Against the Linear Utility Hypothesis and the Leverage Penalty</v>
      </c>
    </row>
    <row r="1250">
      <c r="A1250" t="str">
        <f>IFERROR(__xludf.DUMMYFUNCTION("""COMPUTED_VALUE"""),"Miscellaneous (Alignment)")</f>
        <v>Miscellaneous (Alignment)</v>
      </c>
      <c r="B1250" t="str">
        <f>IFERROR(__xludf.DUMMYFUNCTION("""COMPUTED_VALUE"""),"")</f>
        <v/>
      </c>
      <c r="C1250" s="3" t="str">
        <f>IFERROR(__xludf.DUMMYFUNCTION("""COMPUTED_VALUE"""),"Formal Metaethics and Metasemantics for AI Alignment")</f>
        <v>Formal Metaethics and Metasemantics for AI Alignment</v>
      </c>
      <c r="D1250" t="str">
        <f>IFERROR(__xludf.DUMMYFUNCTION("""COMPUTED_VALUE"""),"June Ku")</f>
        <v>June Ku</v>
      </c>
      <c r="E1250" t="str">
        <f>IFERROR(__xludf.DUMMYFUNCTION("""COMPUTED_VALUE"""),"Author's Website")</f>
        <v>Author's Website</v>
      </c>
      <c r="F1250">
        <f>IFERROR(__xludf.DUMMYFUNCTION("""COMPUTED_VALUE"""),2020.0)</f>
        <v>2020</v>
      </c>
      <c r="H1250" s="3" t="str">
        <f>IFERROR(__xludf.DUMMYFUNCTION("""COMPUTED_VALUE"""),"AN #98")</f>
        <v>AN #98</v>
      </c>
      <c r="I1250" t="str">
        <f>IFERROR(__xludf.DUMMYFUNCTION("""COMPUTED_VALUE"""),"Rohin")</f>
        <v>Rohin</v>
      </c>
      <c r="J1250" t="str">
        <f>IFERROR(__xludf.DUMMYFUNCTION("""COMPUTED_VALUE"""),"This website presents in great detail a process by which an agent might use data from human brains in order to infer a utility function for a single human (also spelling out what assumptions need to be made along the way), and then how it could combine th"&amp;"e utility functions from different humans to arrive at ""a fully technical ethical goal function"". Emphasis is placed on solving the philosophical problems of metaethics and mental content. Quoting the website, they ""suppose that unlimited computation a"&amp;"nd a complete low-level causal model of the world and the adult human brains in it are available"".")</f>
        <v>This website presents in great detail a process by which an agent might use data from human brains in order to infer a utility function for a single human (also spelling out what assumptions need to be made along the way), and then how it could combine the utility functions from different humans to arrive at "a fully technical ethical goal function". Emphasis is placed on solving the philosophical problems of metaethics and mental content. Quoting the website, they "suppose that unlimited computation and a complete low-level causal model of the world and the adult human brains in it are available".</v>
      </c>
    </row>
    <row r="1251">
      <c r="A1251" t="str">
        <f>IFERROR(__xludf.DUMMYFUNCTION("""COMPUTED_VALUE"""),"Miscellaneous (Alignment)")</f>
        <v>Miscellaneous (Alignment)</v>
      </c>
      <c r="B1251" t="str">
        <f>IFERROR(__xludf.DUMMYFUNCTION("""COMPUTED_VALUE"""),"")</f>
        <v/>
      </c>
      <c r="C1251" s="3" t="str">
        <f>IFERROR(__xludf.DUMMYFUNCTION("""COMPUTED_VALUE"""),"Approaches to Deploying a Safe Artificial Moral Agent")</f>
        <v>Approaches to Deploying a Safe Artificial Moral Agent</v>
      </c>
      <c r="D1251" t="str">
        <f>IFERROR(__xludf.DUMMYFUNCTION("""COMPUTED_VALUE"""),"Olivier Couttolenc")</f>
        <v>Olivier Couttolenc</v>
      </c>
      <c r="E1251" t="str">
        <f>IFERROR(__xludf.DUMMYFUNCTION("""COMPUTED_VALUE"""),"Montreal AI Ethics Institute Website")</f>
        <v>Montreal AI Ethics Institute Website</v>
      </c>
      <c r="F1251">
        <f>IFERROR(__xludf.DUMMYFUNCTION("""COMPUTED_VALUE"""),2020.0)</f>
        <v>2020</v>
      </c>
      <c r="H1251" s="3" t="str">
        <f>IFERROR(__xludf.DUMMYFUNCTION("""COMPUTED_VALUE"""),"AN #98")</f>
        <v>AN #98</v>
      </c>
      <c r="I1251" t="str">
        <f>IFERROR(__xludf.DUMMYFUNCTION("""COMPUTED_VALUE"""),"Rohin")</f>
        <v>Rohin</v>
      </c>
      <c r="J1251" t="str">
        <f>IFERROR(__xludf.DUMMYFUNCTION("""COMPUTED_VALUE"""),"This post investigates which of the current moral theories would most reduce existential risk if we programmed it into an AI system, and settles on Aristotelian virtue ethics (over utilitarianism and Kant's categorical imperative).")</f>
        <v>This post investigates which of the current moral theories would most reduce existential risk if we programmed it into an AI system, and settles on Aristotelian virtue ethics (over utilitarianism and Kant's categorical imperative).</v>
      </c>
    </row>
    <row r="1252">
      <c r="A1252" t="str">
        <f>IFERROR(__xludf.DUMMYFUNCTION("""COMPUTED_VALUE"""),"Miscellaneous (Alignment)")</f>
        <v>Miscellaneous (Alignment)</v>
      </c>
      <c r="B1252" t="str">
        <f>IFERROR(__xludf.DUMMYFUNCTION("""COMPUTED_VALUE"""),"")</f>
        <v/>
      </c>
      <c r="C1252" s="3" t="str">
        <f>IFERROR(__xludf.DUMMYFUNCTION("""COMPUTED_VALUE"""),"A Psychopathological Approach to Safety Engineering in AI and AGI")</f>
        <v>A Psychopathological Approach to Safety Engineering in AI and AGI</v>
      </c>
      <c r="D1252" t="str">
        <f>IFERROR(__xludf.DUMMYFUNCTION("""COMPUTED_VALUE"""),"Vahid Behzadan, Arslan Munir, Roman V. Yampolskiy")</f>
        <v>Vahid Behzadan, Arslan Munir, Roman V. Yampolskiy</v>
      </c>
      <c r="E1252" t="str">
        <f>IFERROR(__xludf.DUMMYFUNCTION("""COMPUTED_VALUE"""),"International Conference on Computer Safety, Reliability, and Security 2018")</f>
        <v>International Conference on Computer Safety, Reliability, and Security 2018</v>
      </c>
      <c r="F1252">
        <f>IFERROR(__xludf.DUMMYFUNCTION("""COMPUTED_VALUE"""),2018.0)</f>
        <v>2018</v>
      </c>
      <c r="H1252" s="3" t="str">
        <f>IFERROR(__xludf.DUMMYFUNCTION("""COMPUTED_VALUE"""),"AN #8")</f>
        <v>AN #8</v>
      </c>
      <c r="I1252" t="str">
        <f>IFERROR(__xludf.DUMMYFUNCTION("""COMPUTED_VALUE"""),"Rohin")</f>
        <v>Rohin</v>
      </c>
      <c r="J1252" t="str">
        <f>IFERROR(__xludf.DUMMYFUNCTION("""COMPUTED_VALUE"""),"Since AGI research aims for cognitive functions that are similar to humans, they will be vulnerable to similar psychological issues. Some problems can be recast in this light -- for example, wireheading can be thought of as delusional or addictive behavio"&amp;"r. This framework suggests new solutions to AI safety issues -- for example, analogous to behavioral therapy, we can retrain a malfunctioning agent in controlled environments to remove the negative effects of earlier experiences.")</f>
        <v>Since AGI research aims for cognitive functions that are similar to humans, they will be vulnerable to similar psychological issues. Some problems can be recast in this light -- for example, wireheading can be thought of as delusional or addictive behavior. This framework suggests new solutions to AI safety issues -- for example, analogous to behavioral therapy, we can retrain a malfunctioning agent in controlled environments to remove the negative effects of earlier experiences.</v>
      </c>
      <c r="K1252" t="str">
        <f>IFERROR(__xludf.DUMMYFUNCTION("""COMPUTED_VALUE"""),"The analogy is interesting but I'm not sure what to take away from the paper, and I think there are also big disanalogies. The biggest one is that we have to communicate our goals to an AI, whereas humans come equipped with some goals from birth (though a"&amp;"rguably most of our goals come from the environment we grow up in). I'd be interested in seeing future work from this agenda, since I don't know how I could do work on the agenda laid out in this paper.")</f>
        <v>The analogy is interesting but I'm not sure what to take away from the paper, and I think there are also big disanalogies. The biggest one is that we have to communicate our goals to an AI, whereas humans come equipped with some goals from birth (though arguably most of our goals come from the environment we grow up in). I'd be interested in seeing future work from this agenda, since I don't know how I could do work on the agenda laid out in this paper.</v>
      </c>
    </row>
    <row r="1253">
      <c r="A1253" t="str">
        <f>IFERROR(__xludf.DUMMYFUNCTION("""COMPUTED_VALUE"""),"Miscellaneous (Alignment)")</f>
        <v>Miscellaneous (Alignment)</v>
      </c>
      <c r="B1253" t="str">
        <f>IFERROR(__xludf.DUMMYFUNCTION("""COMPUTED_VALUE"""),"")</f>
        <v/>
      </c>
      <c r="C1253" t="str">
        <f>IFERROR(__xludf.DUMMYFUNCTION("""COMPUTED_VALUE"""),"[The Unavoidable Problem of Self-Improvement in AI](https://futureoflife.org/2019/03/19/the-unavoidable-problem-of-self-improvement-in-ai-an-interview-with-ramana-kumar-part-1/) and [The Problem of Self-Referential Reasoning in Self-Improving AI](https://"&amp;"futureoflife.org/2019/03/21/the-problem-of-self-referential-reasoning-in-self-improving-ai-an-interview-with-ramana-kumar-part-2/)")</f>
        <v>[The Unavoidable Problem of Self-Improvement in AI](https://futureoflife.org/2019/03/19/the-unavoidable-problem-of-self-improvement-in-ai-an-interview-with-ramana-kumar-part-1/) and [The Problem of Self-Referential Reasoning in Self-Improving AI](https://futureoflife.org/2019/03/21/the-problem-of-self-referential-reasoning-in-self-improving-ai-an-interview-with-ramana-kumar-part-2/)</v>
      </c>
      <c r="D1253" t="str">
        <f>IFERROR(__xludf.DUMMYFUNCTION("""COMPUTED_VALUE"""),"Jolene Creighton and Ramana Kumar")</f>
        <v>Jolene Creighton and Ramana Kumar</v>
      </c>
      <c r="E1253" t="str">
        <f>IFERROR(__xludf.DUMMYFUNCTION("""COMPUTED_VALUE"""),"FLI Website")</f>
        <v>FLI Website</v>
      </c>
      <c r="F1253">
        <f>IFERROR(__xludf.DUMMYFUNCTION("""COMPUTED_VALUE"""),2019.0)</f>
        <v>2019</v>
      </c>
      <c r="H1253" s="3" t="str">
        <f>IFERROR(__xludf.DUMMYFUNCTION("""COMPUTED_VALUE"""),"AN #52")</f>
        <v>AN #52</v>
      </c>
      <c r="I1253" t="str">
        <f>IFERROR(__xludf.DUMMYFUNCTION("""COMPUTED_VALUE"""),"Rohin")</f>
        <v>Rohin</v>
      </c>
      <c r="J1253" t="str">
        <f>IFERROR(__xludf.DUMMYFUNCTION("""COMPUTED_VALUE"""),"These articles introduce the thinking around AI self-improvement, and the problem of how to ensure that future, more intelligent versions of an AI system are just as safe as the original system. This cannot be easily done in the case of proof-based system"&amp;"s, due to Godel's incompleteness theorem. Some existing work on the problem: [Botworld](https://intelligence.org/files/Botworld.pdf), [Vingean reflection](https://intelligence.org/files/VingeanReflection.pdf), and [Logical induction](https://intelligence."&amp;"org/files/LogicalInduction.pdf).")</f>
        <v>These articles introduce the thinking around AI self-improvement, and the problem of how to ensure that future, more intelligent versions of an AI system are just as safe as the original system. This cannot be easily done in the case of proof-based systems, due to Godel's incompleteness theorem. Some existing work on the problem: [Botworld](https://intelligence.org/files/Botworld.pdf), [Vingean reflection](https://intelligence.org/files/VingeanReflection.pdf), and [Logical induction](https://intelligence.org/files/LogicalInduction.pdf).</v>
      </c>
    </row>
    <row r="1254">
      <c r="A1254" t="str">
        <f>IFERROR(__xludf.DUMMYFUNCTION("""COMPUTED_VALUE"""),"Miscellaneous (Alignment)")</f>
        <v>Miscellaneous (Alignment)</v>
      </c>
      <c r="B1254" t="str">
        <f>IFERROR(__xludf.DUMMYFUNCTION("""COMPUTED_VALUE"""),"")</f>
        <v/>
      </c>
      <c r="C1254" s="3" t="str">
        <f>IFERROR(__xludf.DUMMYFUNCTION("""COMPUTED_VALUE"""),"Understanding Agent Incentives with Causal Influence Diagrams")</f>
        <v>Understanding Agent Incentives with Causal Influence Diagrams</v>
      </c>
      <c r="D1254" t="str">
        <f>IFERROR(__xludf.DUMMYFUNCTION("""COMPUTED_VALUE"""),"Tom Everitt")</f>
        <v>Tom Everitt</v>
      </c>
      <c r="E1254" t="str">
        <f>IFERROR(__xludf.DUMMYFUNCTION("""COMPUTED_VALUE"""),"DeepMind Safety Blog")</f>
        <v>DeepMind Safety Blog</v>
      </c>
      <c r="F1254">
        <f>IFERROR(__xludf.DUMMYFUNCTION("""COMPUTED_VALUE"""),2019.0)</f>
        <v>2019</v>
      </c>
      <c r="H1254" s="3" t="str">
        <f>IFERROR(__xludf.DUMMYFUNCTION("""COMPUTED_VALUE"""),"AN #49")</f>
        <v>AN #49</v>
      </c>
      <c r="I1254" t="str">
        <f>IFERROR(__xludf.DUMMYFUNCTION("""COMPUTED_VALUE"""),"Rohin")</f>
        <v>Rohin</v>
      </c>
      <c r="J1254" t="str">
        <f>IFERROR(__xludf.DUMMYFUNCTION("""COMPUTED_VALUE"""),"This post and associated paper model an agent's decision process using a causal influence diagram -- think of a Bayes net, and then imagine that you add nodes corresponding to actions and utilities. A major benefit of Bayes nets is that the criterion of d"&amp;"-separation can be used to determine whether two nodes are conditionally independent. Once we add actions and utilities, we can also analyze whether observing or intervening on nodes would lead the agent to achieve higher expected utility. The authors der"&amp;"ive criteria resembling d-separation for identifying each of these cases, which they call observation incentives (for nodes whose value the agent would like to know) and intervention incentives (for nodes whose value the agent would like to change). They "&amp;"use observation incentives to show how to analyze whether a particular decision is fair or not (that is, whether it depended on a sensitive feature that should not be used, like gender). Intervention incentives are used to establish the security of [count"&amp;"erfactual oracles](https://arxiv.org/abs/1711.05541) more simply and rigorously.")</f>
        <v>This post and associated paper model an agent's decision process using a causal influence diagram -- think of a Bayes net, and then imagine that you add nodes corresponding to actions and utilities. A major benefit of Bayes nets is that the criterion of d-separation can be used to determine whether two nodes are conditionally independent. Once we add actions and utilities, we can also analyze whether observing or intervening on nodes would lead the agent to achieve higher expected utility. The authors derive criteria resembling d-separation for identifying each of these cases, which they call observation incentives (for nodes whose value the agent would like to know) and intervention incentives (for nodes whose value the agent would like to change). They use observation incentives to show how to analyze whether a particular decision is fair or not (that is, whether it depended on a sensitive feature that should not be used, like gender). Intervention incentives are used to establish the security of [counterfactual oracles](https://arxiv.org/abs/1711.05541) more simply and rigorously.</v>
      </c>
      <c r="K1254" t="str">
        <f>IFERROR(__xludf.DUMMYFUNCTION("""COMPUTED_VALUE"""),"These criteria are theoretically quite nice, but I'm not sure how they relate to the broader picture. Is the hope that we will be able to elicit the causal influence diagram an AI system is using, or something like it? Or perhaps that we will be able to c"&amp;"reate a causal influence diagram of the environment, and these criteria can tell us which nodes we should be particularly interested in? Maybe the goal was simply to understand agent incentives better, with the expectation that more knowledge would help i"&amp;"n some as-yet-unknown way? None of these seem very compelling to me, but the authors might have something in mind I haven't thought of.")</f>
        <v>These criteria are theoretically quite nice, but I'm not sure how they relate to the broader picture. Is the hope that we will be able to elicit the causal influence diagram an AI system is using, or something like it? Or perhaps that we will be able to create a causal influence diagram of the environment, and these criteria can tell us which nodes we should be particularly interested in? Maybe the goal was simply to understand agent incentives better, with the expectation that more knowledge would help in some as-yet-unknown way? None of these seem very compelling to me, but the authors might have something in mind I haven't thought of.</v>
      </c>
    </row>
    <row r="1255">
      <c r="A1255" t="str">
        <f>IFERROR(__xludf.DUMMYFUNCTION("""COMPUTED_VALUE"""),"Miscellaneous (Alignment)")</f>
        <v>Miscellaneous (Alignment)</v>
      </c>
      <c r="B1255" t="str">
        <f>IFERROR(__xludf.DUMMYFUNCTION("""COMPUTED_VALUE"""),"")</f>
        <v/>
      </c>
      <c r="C1255" s="3" t="str">
        <f>IFERROR(__xludf.DUMMYFUNCTION("""COMPUTED_VALUE"""),"Beliefs at different timescales")</f>
        <v>Beliefs at different timescales</v>
      </c>
      <c r="D1255" t="str">
        <f>IFERROR(__xludf.DUMMYFUNCTION("""COMPUTED_VALUE"""),"Nisan")</f>
        <v>Nisan</v>
      </c>
      <c r="E1255" t="str">
        <f>IFERROR(__xludf.DUMMYFUNCTION("""COMPUTED_VALUE"""),"Alignment Forum")</f>
        <v>Alignment Forum</v>
      </c>
      <c r="F1255">
        <f>IFERROR(__xludf.DUMMYFUNCTION("""COMPUTED_VALUE"""),2018.0)</f>
        <v>2018</v>
      </c>
      <c r="H1255" s="3" t="str">
        <f>IFERROR(__xludf.DUMMYFUNCTION("""COMPUTED_VALUE"""),"AN #32")</f>
        <v>AN #32</v>
      </c>
    </row>
    <row r="1256">
      <c r="A1256" t="str">
        <f>IFERROR(__xludf.DUMMYFUNCTION("""COMPUTED_VALUE"""),"Miscellaneous (Alignment)")</f>
        <v>Miscellaneous (Alignment)</v>
      </c>
      <c r="B1256" t="str">
        <f>IFERROR(__xludf.DUMMYFUNCTION("""COMPUTED_VALUE"""),"")</f>
        <v/>
      </c>
      <c r="C1256" s="3" t="str">
        <f>IFERROR(__xludf.DUMMYFUNCTION("""COMPUTED_VALUE"""),"Misbehaving AIs can't always be easily stopped!")</f>
        <v>Misbehaving AIs can't always be easily stopped!</v>
      </c>
      <c r="D1256" t="str">
        <f>IFERROR(__xludf.DUMMYFUNCTION("""COMPUTED_VALUE"""),"El Mahdi El Mhamdi")</f>
        <v>El Mahdi El Mhamdi</v>
      </c>
      <c r="E1256" t="str">
        <f>IFERROR(__xludf.DUMMYFUNCTION("""COMPUTED_VALUE"""),"YouTube")</f>
        <v>YouTube</v>
      </c>
      <c r="F1256">
        <f>IFERROR(__xludf.DUMMYFUNCTION("""COMPUTED_VALUE"""),2018.0)</f>
        <v>2018</v>
      </c>
      <c r="H1256" s="3" t="str">
        <f>IFERROR(__xludf.DUMMYFUNCTION("""COMPUTED_VALUE"""),"AN #28")</f>
        <v>AN #28</v>
      </c>
    </row>
    <row r="1257">
      <c r="A1257" t="str">
        <f>IFERROR(__xludf.DUMMYFUNCTION("""COMPUTED_VALUE"""),"Miscellaneous (Alignment)")</f>
        <v>Miscellaneous (Alignment)</v>
      </c>
      <c r="B1257" t="str">
        <f>IFERROR(__xludf.DUMMYFUNCTION("""COMPUTED_VALUE"""),"")</f>
        <v/>
      </c>
      <c r="C1257" s="3" t="str">
        <f>IFERROR(__xludf.DUMMYFUNCTION("""COMPUTED_VALUE"""),"Petrov corrigibility")</f>
        <v>Petrov corrigibility</v>
      </c>
      <c r="D1257" t="str">
        <f>IFERROR(__xludf.DUMMYFUNCTION("""COMPUTED_VALUE"""),"Stuart Armstrong")</f>
        <v>Stuart Armstrong</v>
      </c>
      <c r="E1257" t="str">
        <f>IFERROR(__xludf.DUMMYFUNCTION("""COMPUTED_VALUE"""),"Alignment Forum")</f>
        <v>Alignment Forum</v>
      </c>
      <c r="F1257">
        <f>IFERROR(__xludf.DUMMYFUNCTION("""COMPUTED_VALUE"""),2018.0)</f>
        <v>2018</v>
      </c>
      <c r="H1257" s="3" t="str">
        <f>IFERROR(__xludf.DUMMYFUNCTION("""COMPUTED_VALUE"""),"AN #24")</f>
        <v>AN #24</v>
      </c>
      <c r="I1257" t="str">
        <f>IFERROR(__xludf.DUMMYFUNCTION("""COMPUTED_VALUE"""),"Rohin")</f>
        <v>Rohin</v>
      </c>
      <c r="J1257" t="str">
        <f>IFERROR(__xludf.DUMMYFUNCTION("""COMPUTED_VALUE"""),"There can be situations where a human asks an AI for guidance, and the AI's action then determines what the human's preferences are. In such a situation, taking either action is incorrigible and so the AI should say ""there is no corrigible action to take"&amp;""". But what if saying that would itself predictably change the human's decision? In that case, even that would not be corrigible.
There is also a comment chain discussing whether how this notion of corrigibility/alignment differs from the notion Paul Ch"&amp;"ristiano talks about [here](https://ai-alignment.com/clarifying-ai-alignment-cec47cd69dd6).")</f>
        <v>There can be situations where a human asks an AI for guidance, and the AI's action then determines what the human's preferences are. In such a situation, taking either action is incorrigible and so the AI should say "there is no corrigible action to take". But what if saying that would itself predictably change the human's decision? In that case, even that would not be corrigible.
There is also a comment chain discussing whether how this notion of corrigibility/alignment differs from the notion Paul Christiano talks about [here](https://ai-alignment.com/clarifying-ai-alignment-cec47cd69dd6).</v>
      </c>
      <c r="K1257" t="str">
        <f>IFERROR(__xludf.DUMMYFUNCTION("""COMPUTED_VALUE"""),"I've written enough opinions about this version of corrigibility, I think I'd just be repeating myself. You can look through Stuart's recent posts and find my comments there if you really want (eg. [here](https://www.lesswrong.com/posts/T5ZyNq3fzN59aQG5y/"&amp;"the-limits-of-corrigibility)).")</f>
        <v>I've written enough opinions about this version of corrigibility, I think I'd just be repeating myself. You can look through Stuart's recent posts and find my comments there if you really want (eg. [here](https://www.lesswrong.com/posts/T5ZyNq3fzN59aQG5y/the-limits-of-corrigibility)).</v>
      </c>
    </row>
    <row r="1258">
      <c r="A1258" t="str">
        <f>IFERROR(__xludf.DUMMYFUNCTION("""COMPUTED_VALUE"""),"Miscellaneous (Alignment)")</f>
        <v>Miscellaneous (Alignment)</v>
      </c>
      <c r="B1258" t="str">
        <f>IFERROR(__xludf.DUMMYFUNCTION("""COMPUTED_VALUE"""),"")</f>
        <v/>
      </c>
      <c r="C1258" s="3" t="str">
        <f>IFERROR(__xludf.DUMMYFUNCTION("""COMPUTED_VALUE"""),"Book Review: AI Safety and Security")</f>
        <v>Book Review: AI Safety and Security</v>
      </c>
      <c r="D1258" t="str">
        <f>IFERROR(__xludf.DUMMYFUNCTION("""COMPUTED_VALUE"""),"Michaël Trazzi")</f>
        <v>Michaël Trazzi</v>
      </c>
      <c r="E1258" t="str">
        <f>IFERROR(__xludf.DUMMYFUNCTION("""COMPUTED_VALUE"""),"LessWrong")</f>
        <v>LessWrong</v>
      </c>
      <c r="F1258">
        <f>IFERROR(__xludf.DUMMYFUNCTION("""COMPUTED_VALUE"""),2018.0)</f>
        <v>2018</v>
      </c>
      <c r="H1258" s="3" t="str">
        <f>IFERROR(__xludf.DUMMYFUNCTION("""COMPUTED_VALUE"""),"AN #21")</f>
        <v>AN #21</v>
      </c>
      <c r="I1258" t="str">
        <f>IFERROR(__xludf.DUMMYFUNCTION("""COMPUTED_VALUE"""),"Rohin")</f>
        <v>Rohin</v>
      </c>
      <c r="J1258" t="str">
        <f>IFERROR(__xludf.DUMMYFUNCTION("""COMPUTED_VALUE"""),"A review of the new AI Safety and Security book. It goes through each of the papers, giving a short summary of each and some comments (similar to this newsletter).")</f>
        <v>A review of the new AI Safety and Security book. It goes through each of the papers, giving a short summary of each and some comments (similar to this newsletter).</v>
      </c>
      <c r="K1258" t="str">
        <f>IFERROR(__xludf.DUMMYFUNCTION("""COMPUTED_VALUE"""),"I take a very different approach to AI safety, so it was nice to read a summary of what other people are thinking about. Based on the summaries, it sounds like most of the essays that focused on AGI were anthropomorphizing AGI more than I would like (thou"&amp;"gh of course I haven't actually read the book).")</f>
        <v>I take a very different approach to AI safety, so it was nice to read a summary of what other people are thinking about. Based on the summaries, it sounds like most of the essays that focused on AGI were anthropomorphizing AGI more than I would like (though of course I haven't actually read the book).</v>
      </c>
    </row>
    <row r="1259">
      <c r="A1259" t="str">
        <f>IFERROR(__xludf.DUMMYFUNCTION("""COMPUTED_VALUE"""),"Miscellaneous (Alignment)")</f>
        <v>Miscellaneous (Alignment)</v>
      </c>
      <c r="B1259" t="str">
        <f>IFERROR(__xludf.DUMMYFUNCTION("""COMPUTED_VALUE"""),"")</f>
        <v/>
      </c>
      <c r="C1259" s="3" t="str">
        <f>IFERROR(__xludf.DUMMYFUNCTION("""COMPUTED_VALUE"""),"Safely and usefully spectating on AIs optimizing over toy worlds")</f>
        <v>Safely and usefully spectating on AIs optimizing over toy worlds</v>
      </c>
      <c r="D1259" t="str">
        <f>IFERROR(__xludf.DUMMYFUNCTION("""COMPUTED_VALUE"""),"Alex Mennen")</f>
        <v>Alex Mennen</v>
      </c>
      <c r="E1259" t="str">
        <f>IFERROR(__xludf.DUMMYFUNCTION("""COMPUTED_VALUE"""),"LessWrong")</f>
        <v>LessWrong</v>
      </c>
      <c r="F1259">
        <f>IFERROR(__xludf.DUMMYFUNCTION("""COMPUTED_VALUE"""),2018.0)</f>
        <v>2018</v>
      </c>
      <c r="H1259" s="3" t="str">
        <f>IFERROR(__xludf.DUMMYFUNCTION("""COMPUTED_VALUE"""),"AN #18")</f>
        <v>AN #18</v>
      </c>
      <c r="I1259" t="str">
        <f>IFERROR(__xludf.DUMMYFUNCTION("""COMPUTED_VALUE"""),"Rohin")</f>
        <v>Rohin</v>
      </c>
      <c r="J1259" t="str">
        <f>IFERROR(__xludf.DUMMYFUNCTION("""COMPUTED_VALUE"""),"One way to achieve safety would be to build an AI that optimizes in a virtual world running on a computer, and doesn't care about the physical world. Even if it realizes that it can break out and eg. get more compute, these sorts of changes to the physica"&amp;"l world would not be helpful for the purpose of optimizing the abstract computational object that is the virtual world. However, if we take the results of the AI and build them in the real world, that causes a distributional shift from the toy world to th"&amp;"e real world that could be catastrophic. For example, if the AI created another agent in the toy world that did reasonable things in the toy world, when we bring it to the real world it may realize that it can instead manipulate humans in order to do thin"&amp;"gs.")</f>
        <v>One way to achieve safety would be to build an AI that optimizes in a virtual world running on a computer, and doesn't care about the physical world. Even if it realizes that it can break out and eg. get more compute, these sorts of changes to the physical world would not be helpful for the purpose of optimizing the abstract computational object that is the virtual world. However, if we take the results of the AI and build them in the real world, that causes a distributional shift from the toy world to the real world that could be catastrophic. For example, if the AI created another agent in the toy world that did reasonable things in the toy world, when we bring it to the real world it may realize that it can instead manipulate humans in order to do things.</v>
      </c>
      <c r="K1259" t="str">
        <f>IFERROR(__xludf.DUMMYFUNCTION("""COMPUTED_VALUE"""),"It's not obvious to me, even on the ""optimizing an abstract computational process"" model, why an AI would not want get more compute -- it can use this compute for itself, without changing the abstract computational process it is optimizing, and it will "&amp;"probably do better. It seems that if you want to get this to work, you need to have the AI want to compute the result of running _itself_ without any modification or extra compute on the virtual world. This feels very hard to me. Separately, I also find i"&amp;"t hard to imagine us building a virtual world that is similar enough to the real world that we are able to transfer solutions between the two, even with some finetuning in the real world.")</f>
        <v>It's not obvious to me, even on the "optimizing an abstract computational process" model, why an AI would not want get more compute -- it can use this compute for itself, without changing the abstract computational process it is optimizing, and it will probably do better. It seems that if you want to get this to work, you need to have the AI want to compute the result of running _itself_ without any modification or extra compute on the virtual world. This feels very hard to me. Separately, I also find it hard to imagine us building a virtual world that is similar enough to the real world that we are able to transfer solutions between the two, even with some finetuning in the real world.</v>
      </c>
    </row>
    <row r="1260">
      <c r="A1260" t="str">
        <f>IFERROR(__xludf.DUMMYFUNCTION("""COMPUTED_VALUE"""),"Miscellaneous (Alignment)")</f>
        <v>Miscellaneous (Alignment)</v>
      </c>
      <c r="B1260" t="str">
        <f>IFERROR(__xludf.DUMMYFUNCTION("""COMPUTED_VALUE"""),"")</f>
        <v/>
      </c>
      <c r="C1260" s="3" t="str">
        <f>IFERROR(__xludf.DUMMYFUNCTION("""COMPUTED_VALUE"""),"Exploring AI Safety in Degrees: Generality, Capability and Control")</f>
        <v>Exploring AI Safety in Degrees: Generality, Capability and Control</v>
      </c>
      <c r="D1260" t="str">
        <f>IFERROR(__xludf.DUMMYFUNCTION("""COMPUTED_VALUE"""),"John Burden, José Hernández-Orallo")</f>
        <v>John Burden, José Hernández-Orallo</v>
      </c>
      <c r="E1260" t="str">
        <f>IFERROR(__xludf.DUMMYFUNCTION("""COMPUTED_VALUE"""),"SafeAI 2020")</f>
        <v>SafeAI 2020</v>
      </c>
      <c r="F1260">
        <f>IFERROR(__xludf.DUMMYFUNCTION("""COMPUTED_VALUE"""),2020.0)</f>
        <v>2020</v>
      </c>
      <c r="G1260" t="str">
        <f>IFERROR(__xludf.DUMMYFUNCTION("""COMPUTED_VALUE"""),"Haydn Belfield")</f>
        <v>Haydn Belfield</v>
      </c>
      <c r="H1260" s="3" t="str">
        <f>IFERROR(__xludf.DUMMYFUNCTION("""COMPUTED_VALUE"""),"AN #117")</f>
        <v>AN #117</v>
      </c>
      <c r="I1260" t="str">
        <f>IFERROR(__xludf.DUMMYFUNCTION("""COMPUTED_VALUE"""),"Rohin")</f>
        <v>Rohin</v>
      </c>
      <c r="J1260" t="str">
        <f>IFERROR(__xludf.DUMMYFUNCTION("""COMPUTED_VALUE"""),"This paper argues that we should decompose the notion of “intelligence” in order to talk more precisely about AI risk, and in particular suggests focusing on _generality_, _capability_, and _control_. We can think of capability as the expected performance"&amp;" of the system across a wide variety of tasks. For a fixed level of capability, generality can be thought of as how well the capability is distributed across different tasks. Finally, control refers to the degree to which the system is reliable and delibe"&amp;"rate in its actions. The paper qualitatively discusses how these characteristics could interact with risk, and shows an example quantitative definition for a simple toy environment.")</f>
        <v>This paper argues that we should decompose the notion of “intelligence” in order to talk more precisely about AI risk, and in particular suggests focusing on _generality_, _capability_, and _control_. We can think of capability as the expected performance of the system across a wide variety of tasks. For a fixed level of capability, generality can be thought of as how well the capability is distributed across different tasks. Finally, control refers to the degree to which the system is reliable and deliberate in its actions. The paper qualitatively discusses how these characteristics could interact with risk, and shows an example quantitative definition for a simple toy environment.</v>
      </c>
    </row>
    <row r="1261">
      <c r="A1261" t="str">
        <f>IFERROR(__xludf.DUMMYFUNCTION("""COMPUTED_VALUE"""),"Miscellaneous (Alignment)")</f>
        <v>Miscellaneous (Alignment)</v>
      </c>
      <c r="B1261" t="str">
        <f>IFERROR(__xludf.DUMMYFUNCTION("""COMPUTED_VALUE"""),"")</f>
        <v/>
      </c>
      <c r="C1261" s="3" t="str">
        <f>IFERROR(__xludf.DUMMYFUNCTION("""COMPUTED_VALUE"""),"Guide Me: Interacting with Deep Networks")</f>
        <v>Guide Me: Interacting with Deep Networks</v>
      </c>
      <c r="D1261" t="str">
        <f>IFERROR(__xludf.DUMMYFUNCTION("""COMPUTED_VALUE"""),"Christian Rupprecht, Iro Laina, Nassir Navab, Gregory D. Hager, Federico Tombari")</f>
        <v>Christian Rupprecht, Iro Laina, Nassir Navab, Gregory D. Hager, Federico Tombari</v>
      </c>
      <c r="E1261" t="str">
        <f>IFERROR(__xludf.DUMMYFUNCTION("""COMPUTED_VALUE"""),"ICLR 2019")</f>
        <v>ICLR 2019</v>
      </c>
      <c r="F1261">
        <f>IFERROR(__xludf.DUMMYFUNCTION("""COMPUTED_VALUE"""),2018.0)</f>
        <v>2018</v>
      </c>
      <c r="H1261" s="3" t="str">
        <f>IFERROR(__xludf.DUMMYFUNCTION("""COMPUTED_VALUE"""),"AN #1")</f>
        <v>AN #1</v>
      </c>
    </row>
    <row r="1262">
      <c r="A1262" t="str">
        <f>IFERROR(__xludf.DUMMYFUNCTION("""COMPUTED_VALUE"""),"Miscellaneous (Alignment)")</f>
        <v>Miscellaneous (Alignment)</v>
      </c>
      <c r="B1262" t="str">
        <f>IFERROR(__xludf.DUMMYFUNCTION("""COMPUTED_VALUE"""),"")</f>
        <v/>
      </c>
      <c r="C1262" s="3" t="str">
        <f>IFERROR(__xludf.DUMMYFUNCTION("""COMPUTED_VALUE"""),"Wireheading is in the eye of the beholder")</f>
        <v>Wireheading is in the eye of the beholder</v>
      </c>
      <c r="D1262" t="str">
        <f>IFERROR(__xludf.DUMMYFUNCTION("""COMPUTED_VALUE"""),"Stuart Armstrong")</f>
        <v>Stuart Armstrong</v>
      </c>
      <c r="E1262" t="str">
        <f>IFERROR(__xludf.DUMMYFUNCTION("""COMPUTED_VALUE"""),"Alignment Forum")</f>
        <v>Alignment Forum</v>
      </c>
      <c r="F1262">
        <f>IFERROR(__xludf.DUMMYFUNCTION("""COMPUTED_VALUE"""),2019.0)</f>
        <v>2019</v>
      </c>
      <c r="H1262" t="str">
        <f>IFERROR(__xludf.DUMMYFUNCTION("""COMPUTED_VALUE"""),"N/A")</f>
        <v>N/A</v>
      </c>
    </row>
    <row r="1263">
      <c r="A1263" t="str">
        <f>IFERROR(__xludf.DUMMYFUNCTION("""COMPUTED_VALUE"""),"Miscellaneous (Alignment)")</f>
        <v>Miscellaneous (Alignment)</v>
      </c>
      <c r="B1263" t="str">
        <f>IFERROR(__xludf.DUMMYFUNCTION("""COMPUTED_VALUE"""),"")</f>
        <v/>
      </c>
      <c r="C1263" s="3" t="str">
        <f>IFERROR(__xludf.DUMMYFUNCTION("""COMPUTED_VALUE"""),"Three ways that ""Sufficiently optimized agents appear coherent"" can be false")</f>
        <v>Three ways that "Sufficiently optimized agents appear coherent" can be false</v>
      </c>
      <c r="D1263" t="str">
        <f>IFERROR(__xludf.DUMMYFUNCTION("""COMPUTED_VALUE"""),"Wei Dai")</f>
        <v>Wei Dai</v>
      </c>
      <c r="E1263" t="str">
        <f>IFERROR(__xludf.DUMMYFUNCTION("""COMPUTED_VALUE"""),"Alignment Forum")</f>
        <v>Alignment Forum</v>
      </c>
      <c r="F1263">
        <f>IFERROR(__xludf.DUMMYFUNCTION("""COMPUTED_VALUE"""),2019.0)</f>
        <v>2019</v>
      </c>
      <c r="H1263" s="3" t="str">
        <f>IFERROR(__xludf.DUMMYFUNCTION("""COMPUTED_VALUE"""),"AN #52")</f>
        <v>AN #52</v>
      </c>
      <c r="I1263" t="str">
        <f>IFERROR(__xludf.DUMMYFUNCTION("""COMPUTED_VALUE"""),"Rohin")</f>
        <v>Rohin</v>
      </c>
      <c r="J1263" t="str">
        <f>IFERROR(__xludf.DUMMYFUNCTION("""COMPUTED_VALUE"""),"This post talks about three ways that agents could not appear coherent, where here ""coherent"" means ""optimizing for a _reasonable_ goal"". First, if due to distributional shift the agent is put into situations it has never encountered before, it may no"&amp;"t act coherently. Second, we may want to ""force"" the agent to pretend as though compute is very expensive, even if this is not the case, in order to keep them bounded. Finally, we may explicitly try to keep the agent incoherent -- for example, populatio"&amp;"n ethics has impossibility results that show that any coherent agent must bite some bullet that we don't want to bite, and so we may instead elect to keep the agent incoherent instead. (See &lt;@Impossibility and Uncertainty Theorems in AI Value Alignment@&gt;("&amp;"@Impossibility and Uncertainty Theorems in AI Value Alignment (or why your AGI should not have a utility function)@).)")</f>
        <v>This post talks about three ways that agents could not appear coherent, where here "coherent" means "optimizing for a _reasonable_ goal". First, if due to distributional shift the agent is put into situations it has never encountered before, it may not act coherently. Second, we may want to "force" the agent to pretend as though compute is very expensive, even if this is not the case, in order to keep them bounded. Finally, we may explicitly try to keep the agent incoherent -- for example, population ethics has impossibility results that show that any coherent agent must bite some bullet that we don't want to bite, and so we may instead elect to keep the agent incoherent instead. (See &lt;@Impossibility and Uncertainty Theorems in AI Value Alignment@&gt;(@Impossibility and Uncertainty Theorems in AI Value Alignment (or why your AGI should not have a utility function)@).)</v>
      </c>
    </row>
    <row r="1264">
      <c r="A1264" t="str">
        <f>IFERROR(__xludf.DUMMYFUNCTION("""COMPUTED_VALUE"""),"Miscellaneous (Alignment)")</f>
        <v>Miscellaneous (Alignment)</v>
      </c>
      <c r="B1264" t="str">
        <f>IFERROR(__xludf.DUMMYFUNCTION("""COMPUTED_VALUE"""),"")</f>
        <v/>
      </c>
      <c r="C1264" s="3" t="str">
        <f>IFERROR(__xludf.DUMMYFUNCTION("""COMPUTED_VALUE"""),"AI Alignment Podcast: On Becoming a Moral Realist")</f>
        <v>AI Alignment Podcast: On Becoming a Moral Realist</v>
      </c>
      <c r="D1264" t="str">
        <f>IFERROR(__xludf.DUMMYFUNCTION("""COMPUTED_VALUE"""),"Lucas Perry and Peter Singer")</f>
        <v>Lucas Perry and Peter Singer</v>
      </c>
      <c r="E1264" t="str">
        <f>IFERROR(__xludf.DUMMYFUNCTION("""COMPUTED_VALUE"""),"FLI Website")</f>
        <v>FLI Website</v>
      </c>
      <c r="F1264">
        <f>IFERROR(__xludf.DUMMYFUNCTION("""COMPUTED_VALUE"""),2018.0)</f>
        <v>2018</v>
      </c>
      <c r="H1264" s="3" t="str">
        <f>IFERROR(__xludf.DUMMYFUNCTION("""COMPUTED_VALUE"""),"AN #29")</f>
        <v>AN #29</v>
      </c>
      <c r="I1264" t="str">
        <f>IFERROR(__xludf.DUMMYFUNCTION("""COMPUTED_VALUE"""),"Rohin")</f>
        <v>Rohin</v>
      </c>
      <c r="J1264" t="str">
        <f>IFERROR(__xludf.DUMMYFUNCTION("""COMPUTED_VALUE"""),"There's a fair amount of complexity in this podcast, and I'm not an expert on moral philosophy, but here's an *oversimplified* summary anyway. First, in the same way that we can reach mathematical truths through reason, we can also arrive at moral truths "&amp;"through reason, which suggests that they are true facts about the universe (a moral realist view). Second, preference utilitarianism has the problem of figuring out which preferences you want to respect, which isn't a problem with hedonic utilitarianism. "&amp;"Before and after the interview, Lucas argues that moral philosophy is important for AI alignment. Any strategic research ""smuggles"" in some values, and many technical safety problems, such as preference aggregation, would benefit from a knowledge of mor"&amp;"al philosophy. Most importantly, given our current lack of consensus on moral philosophy, we should be very wary of locking in our values when we build powerful AI.")</f>
        <v>There's a fair amount of complexity in this podcast, and I'm not an expert on moral philosophy, but here's an *oversimplified* summary anyway. First, in the same way that we can reach mathematical truths through reason, we can also arrive at moral truths through reason, which suggests that they are true facts about the universe (a moral realist view). Second, preference utilitarianism has the problem of figuring out which preferences you want to respect, which isn't a problem with hedonic utilitarianism. Before and after the interview, Lucas argues that moral philosophy is important for AI alignment. Any strategic research "smuggles" in some values, and many technical safety problems, such as preference aggregation, would benefit from a knowledge of moral philosophy. Most importantly, given our current lack of consensus on moral philosophy, we should be very wary of locking in our values when we build powerful AI.</v>
      </c>
      <c r="K1264" t="str">
        <f>IFERROR(__xludf.DUMMYFUNCTION("""COMPUTED_VALUE"""),"I'm not convinced that we should be thinking a lot more about moral philosophy. While I agree that locking in a set of values would likely be quite bad, I think this means that researchers should not hardcode a set of values, or create an AI that infers s"&amp;"ome values and then can never change them. It's not clear to me why studying more moral philosophy helps us with this goal. For the other points, it seems not too important to get preference aggregation or particular strategic approaches exactly perfect a"&amp;"s long as we don't lock in values -- as an analogy, we typically don't argue that politicians should be experts on moral philosophy, even though they aggregate preferences and have large impacts on society.")</f>
        <v>I'm not convinced that we should be thinking a lot more about moral philosophy. While I agree that locking in a set of values would likely be quite bad, I think this means that researchers should not hardcode a set of values, or create an AI that infers some values and then can never change them. It's not clear to me why studying more moral philosophy helps us with this goal. For the other points, it seems not too important to get preference aggregation or particular strategic approaches exactly perfect as long as we don't lock in values -- as an analogy, we typically don't argue that politicians should be experts on moral philosophy, even though they aggregate preferences and have large impacts on society.</v>
      </c>
    </row>
    <row r="1265">
      <c r="A1265" t="str">
        <f>IFERROR(__xludf.DUMMYFUNCTION("""COMPUTED_VALUE"""),"Miscellaneous (Alignment)")</f>
        <v>Miscellaneous (Alignment)</v>
      </c>
      <c r="B1265" t="str">
        <f>IFERROR(__xludf.DUMMYFUNCTION("""COMPUTED_VALUE"""),"")</f>
        <v/>
      </c>
      <c r="C1265" s="3" t="str">
        <f>IFERROR(__xludf.DUMMYFUNCTION("""COMPUTED_VALUE"""),"Building Safer AGI by introducing Artificial Stupidity")</f>
        <v>Building Safer AGI by introducing Artificial Stupidity</v>
      </c>
      <c r="D1265" t="str">
        <f>IFERROR(__xludf.DUMMYFUNCTION("""COMPUTED_VALUE"""),"Michaël Trazzi, Roman V. Yampolskiy")</f>
        <v>Michaël Trazzi, Roman V. Yampolskiy</v>
      </c>
      <c r="E1265" t="str">
        <f>IFERROR(__xludf.DUMMYFUNCTION("""COMPUTED_VALUE"""),"arXiv")</f>
        <v>arXiv</v>
      </c>
      <c r="F1265">
        <f>IFERROR(__xludf.DUMMYFUNCTION("""COMPUTED_VALUE"""),2018.0)</f>
        <v>2018</v>
      </c>
      <c r="H1265" s="3" t="str">
        <f>IFERROR(__xludf.DUMMYFUNCTION("""COMPUTED_VALUE"""),"AN #20")</f>
        <v>AN #20</v>
      </c>
    </row>
    <row r="1266">
      <c r="A1266" t="str">
        <f>IFERROR(__xludf.DUMMYFUNCTION("""COMPUTED_VALUE"""),"Miscellaneous (Alignment)")</f>
        <v>Miscellaneous (Alignment)</v>
      </c>
      <c r="B1266" t="str">
        <f>IFERROR(__xludf.DUMMYFUNCTION("""COMPUTED_VALUE"""),"")</f>
        <v/>
      </c>
      <c r="C1266" s="3" t="str">
        <f>IFERROR(__xludf.DUMMYFUNCTION("""COMPUTED_VALUE"""),"Sandboxing by Physical Simulation?")</f>
        <v>Sandboxing by Physical Simulation?</v>
      </c>
      <c r="D1266" t="str">
        <f>IFERROR(__xludf.DUMMYFUNCTION("""COMPUTED_VALUE"""),"moridinamael")</f>
        <v>moridinamael</v>
      </c>
      <c r="E1266" t="str">
        <f>IFERROR(__xludf.DUMMYFUNCTION("""COMPUTED_VALUE"""),"LessWrong")</f>
        <v>LessWrong</v>
      </c>
      <c r="F1266">
        <f>IFERROR(__xludf.DUMMYFUNCTION("""COMPUTED_VALUE"""),2018.0)</f>
        <v>2018</v>
      </c>
      <c r="H1266" s="3" t="str">
        <f>IFERROR(__xludf.DUMMYFUNCTION("""COMPUTED_VALUE"""),"AN #18")</f>
        <v>AN #18</v>
      </c>
    </row>
    <row r="1267">
      <c r="A1267" t="str">
        <f>IFERROR(__xludf.DUMMYFUNCTION("""COMPUTED_VALUE"""),"Miscellaneous (Alignment)")</f>
        <v>Miscellaneous (Alignment)</v>
      </c>
      <c r="B1267" t="str">
        <f>IFERROR(__xludf.DUMMYFUNCTION("""COMPUTED_VALUE"""),"")</f>
        <v/>
      </c>
      <c r="C1267" s="3" t="str">
        <f>IFERROR(__xludf.DUMMYFUNCTION("""COMPUTED_VALUE"""),"Papers from AI and Society: Ethics, Safety and Trustworthiness in Intelligent Agents")</f>
        <v>Papers from AI and Society: Ethics, Safety and Trustworthiness in Intelligent Agents</v>
      </c>
      <c r="E1267" t="str">
        <f>IFERROR(__xludf.DUMMYFUNCTION("""COMPUTED_VALUE"""),"AAAI: AI and Society: Ethics, Safety and Trustworthiness in Intelligent Agents")</f>
        <v>AAAI: AI and Society: Ethics, Safety and Trustworthiness in Intelligent Agents</v>
      </c>
      <c r="F1267">
        <f>IFERROR(__xludf.DUMMYFUNCTION("""COMPUTED_VALUE"""),2018.0)</f>
        <v>2018</v>
      </c>
      <c r="H1267" s="3" t="str">
        <f>IFERROR(__xludf.DUMMYFUNCTION("""COMPUTED_VALUE"""),"AN #1")</f>
        <v>AN #1</v>
      </c>
    </row>
    <row r="1268">
      <c r="A1268" t="str">
        <f>IFERROR(__xludf.DUMMYFUNCTION("""COMPUTED_VALUE"""),"Miscellaneous (Capabilities)")</f>
        <v>Miscellaneous (Capabilities)</v>
      </c>
      <c r="B1268" t="str">
        <f>IFERROR(__xludf.DUMMYFUNCTION("""COMPUTED_VALUE"""),"")</f>
        <v/>
      </c>
      <c r="C1268" s="3" t="str">
        <f>IFERROR(__xludf.DUMMYFUNCTION("""COMPUTED_VALUE"""),"The Blessings of Multiple Causes")</f>
        <v>The Blessings of Multiple Causes</v>
      </c>
      <c r="D1268" t="str">
        <f>IFERROR(__xludf.DUMMYFUNCTION("""COMPUTED_VALUE"""),"Yixin Wang, David M. Blei")</f>
        <v>Yixin Wang, David M. Blei</v>
      </c>
      <c r="E1268" t="str">
        <f>IFERROR(__xludf.DUMMYFUNCTION("""COMPUTED_VALUE"""),"arXiv")</f>
        <v>arXiv</v>
      </c>
      <c r="F1268">
        <f>IFERROR(__xludf.DUMMYFUNCTION("""COMPUTED_VALUE"""),2018.0)</f>
        <v>2018</v>
      </c>
      <c r="H1268" s="3" t="str">
        <f>IFERROR(__xludf.DUMMYFUNCTION("""COMPUTED_VALUE"""),"AN #8")</f>
        <v>AN #8</v>
      </c>
    </row>
    <row r="1269">
      <c r="A1269" t="str">
        <f>IFERROR(__xludf.DUMMYFUNCTION("""COMPUTED_VALUE"""),"Miscellaneous (Capabilities)")</f>
        <v>Miscellaneous (Capabilities)</v>
      </c>
      <c r="B1269" t="str">
        <f>IFERROR(__xludf.DUMMYFUNCTION("""COMPUTED_VALUE"""),"")</f>
        <v/>
      </c>
      <c r="C1269" s="3" t="str">
        <f>IFERROR(__xludf.DUMMYFUNCTION("""COMPUTED_VALUE"""),"How artificial intelligence is changing science")</f>
        <v>How artificial intelligence is changing science</v>
      </c>
      <c r="D1269" t="str">
        <f>IFERROR(__xludf.DUMMYFUNCTION("""COMPUTED_VALUE"""),"Nathan Collins")</f>
        <v>Nathan Collins</v>
      </c>
      <c r="E1269" t="str">
        <f>IFERROR(__xludf.DUMMYFUNCTION("""COMPUTED_VALUE"""),"Stanford Website")</f>
        <v>Stanford Website</v>
      </c>
      <c r="F1269">
        <f>IFERROR(__xludf.DUMMYFUNCTION("""COMPUTED_VALUE"""),2018.0)</f>
        <v>2018</v>
      </c>
      <c r="H1269" s="3" t="str">
        <f>IFERROR(__xludf.DUMMYFUNCTION("""COMPUTED_VALUE"""),"AN #7")</f>
        <v>AN #7</v>
      </c>
      <c r="I1269" t="str">
        <f>IFERROR(__xludf.DUMMYFUNCTION("""COMPUTED_VALUE"""),"Rohin")</f>
        <v>Rohin</v>
      </c>
      <c r="J1269" t="str">
        <f>IFERROR(__xludf.DUMMYFUNCTION("""COMPUTED_VALUE"""),"AI is being used in many different projects across many different fields at Stanford. This post has a list of a whole bunch of scientific projects that AI is helping with.")</f>
        <v>AI is being used in many different projects across many different fields at Stanford. This post has a list of a whole bunch of scientific projects that AI is helping with.</v>
      </c>
    </row>
    <row r="1270">
      <c r="A1270" t="str">
        <f>IFERROR(__xludf.DUMMYFUNCTION("""COMPUTED_VALUE"""),"Miscellaneous (Capabilities)")</f>
        <v>Miscellaneous (Capabilities)</v>
      </c>
      <c r="B1270" t="str">
        <f>IFERROR(__xludf.DUMMYFUNCTION("""COMPUTED_VALUE"""),"")</f>
        <v/>
      </c>
      <c r="C1270" s="3" t="str">
        <f>IFERROR(__xludf.DUMMYFUNCTION("""COMPUTED_VALUE"""),"Talk to Books")</f>
        <v>Talk to Books</v>
      </c>
      <c r="E1270" t="str">
        <f>IFERROR(__xludf.DUMMYFUNCTION("""COMPUTED_VALUE"""),"Google Books")</f>
        <v>Google Books</v>
      </c>
      <c r="F1270">
        <f>IFERROR(__xludf.DUMMYFUNCTION("""COMPUTED_VALUE"""),2018.0)</f>
        <v>2018</v>
      </c>
      <c r="H1270" s="3" t="str">
        <f>IFERROR(__xludf.DUMMYFUNCTION("""COMPUTED_VALUE"""),"AN #3")</f>
        <v>AN #3</v>
      </c>
      <c r="I1270" t="str">
        <f>IFERROR(__xludf.DUMMYFUNCTION("""COMPUTED_VALUE"""),"Rohin")</f>
        <v>Rohin</v>
      </c>
      <c r="J1270" t="str">
        <f>IFERROR(__xludf.DUMMYFUNCTION("""COMPUTED_VALUE"""),"See [Import AI](https://jack-clark.net/2018/04/16/import-ai-90-training-massive-networks-via-codistillation-talking-to-books-via-a-new-google-ai-experiment-and-why-the-acm-thinks-researchers-should-consider-the-downsides-of-research/).")</f>
        <v>See [Import AI](https://jack-clark.net/2018/04/16/import-ai-90-training-massive-networks-via-codistillation-talking-to-books-via-a-new-google-ai-experiment-and-why-the-acm-thinks-researchers-should-consider-the-downsides-of-research/).</v>
      </c>
    </row>
    <row r="1271">
      <c r="A1271" t="str">
        <f>IFERROR(__xludf.DUMMYFUNCTION("""COMPUTED_VALUE"""),"Miscellaneous (Capabilities)")</f>
        <v>Miscellaneous (Capabilities)</v>
      </c>
      <c r="B1271" t="str">
        <f>IFERROR(__xludf.DUMMYFUNCTION("""COMPUTED_VALUE"""),"")</f>
        <v/>
      </c>
      <c r="C1271" s="3" t="str">
        <f>IFERROR(__xludf.DUMMYFUNCTION("""COMPUTED_VALUE"""),"Winner's Curse?")</f>
        <v>Winner's Curse?</v>
      </c>
      <c r="D1271" t="str">
        <f>IFERROR(__xludf.DUMMYFUNCTION("""COMPUTED_VALUE"""),"D. Sculley, Jasper Snoek, Ali Rahimi, Alex Wiltschko")</f>
        <v>D. Sculley, Jasper Snoek, Ali Rahimi, Alex Wiltschko</v>
      </c>
      <c r="E1271" t="str">
        <f>IFERROR(__xludf.DUMMYFUNCTION("""COMPUTED_VALUE"""),"OpenReview")</f>
        <v>OpenReview</v>
      </c>
      <c r="F1271">
        <f>IFERROR(__xludf.DUMMYFUNCTION("""COMPUTED_VALUE"""),2018.0)</f>
        <v>2018</v>
      </c>
      <c r="H1271" s="3" t="str">
        <f>IFERROR(__xludf.DUMMYFUNCTION("""COMPUTED_VALUE"""),"AN #21")</f>
        <v>AN #21</v>
      </c>
      <c r="I1271" t="str">
        <f>IFERROR(__xludf.DUMMYFUNCTION("""COMPUTED_VALUE"""),"Rohin")</f>
        <v>Rohin</v>
      </c>
      <c r="J1271" t="str">
        <f>IFERROR(__xludf.DUMMYFUNCTION("""COMPUTED_VALUE"""),"A short paper arguing that we need more empirical rigor in ML, identifying some structural incentives that push against this and suggesting solutions.")</f>
        <v>A short paper arguing that we need more empirical rigor in ML, identifying some structural incentives that push against this and suggesting solutions.</v>
      </c>
      <c r="K1271" t="str">
        <f>IFERROR(__xludf.DUMMYFUNCTION("""COMPUTED_VALUE"""),"While this isn't very relevant to technical alignment, it does seem important to have more rigor in ML, since ML researchers are likely to be the ones building advanced AI.")</f>
        <v>While this isn't very relevant to technical alignment, it does seem important to have more rigor in ML, since ML researchers are likely to be the ones building advanced AI.</v>
      </c>
    </row>
    <row r="1272">
      <c r="A1272" t="str">
        <f>IFERROR(__xludf.DUMMYFUNCTION("""COMPUTED_VALUE"""),"Multiagent RL")</f>
        <v>Multiagent RL</v>
      </c>
      <c r="B1272" t="str">
        <f>IFERROR(__xludf.DUMMYFUNCTION("""COMPUTED_VALUE"""),"Highlight")</f>
        <v>Highlight</v>
      </c>
      <c r="C1272" s="3" t="str">
        <f>IFERROR(__xludf.DUMMYFUNCTION("""COMPUTED_VALUE"""),"Generally capable agents emerge from open-ended play")</f>
        <v>Generally capable agents emerge from open-ended play</v>
      </c>
      <c r="D1272" t="str">
        <f>IFERROR(__xludf.DUMMYFUNCTION("""COMPUTED_VALUE"""),"Open-Ended Learning Team, Adam Stooke, Anuj Mahajan, Catarina Barros, Charlie Deck, Jakob Bauer, Jakub Sygnowski, Maja Trebacz, Max Jaderberg, Michael Mathieu, Nat McAleese, Nathalie Bradley-Schmieg, Nathaniel Wong, Nicolas Porcel, Roberta Raileanu, Steph"&amp;" Hughes-Fitt, Valentin Dalibard, Wojciech Marian Czarnecki")</f>
        <v>Open-Ended Learning Team, Adam Stooke, Anuj Mahajan, Catarina Barros, Charlie Deck, Jakob Bauer, Jakub Sygnowski, Maja Trebacz, Max Jaderberg, Michael Mathieu, Nat McAleese, Nathalie Bradley-Schmieg, Nathaniel Wong, Nicolas Porcel, Roberta Raileanu, Steph Hughes-Fitt, Valentin Dalibard, Wojciech Marian Czarnecki</v>
      </c>
      <c r="E1272" t="str">
        <f>IFERROR(__xludf.DUMMYFUNCTION("""COMPUTED_VALUE"""),"arXiv")</f>
        <v>arXiv</v>
      </c>
      <c r="F1272">
        <f>IFERROR(__xludf.DUMMYFUNCTION("""COMPUTED_VALUE"""),2021.0)</f>
        <v>2021</v>
      </c>
      <c r="H1272" s="3" t="str">
        <f>IFERROR(__xludf.DUMMYFUNCTION("""COMPUTED_VALUE"""),"AN #159")</f>
        <v>AN #159</v>
      </c>
      <c r="I1272" t="str">
        <f>IFERROR(__xludf.DUMMYFUNCTION("""COMPUTED_VALUE"""),"Zach")</f>
        <v>Zach</v>
      </c>
      <c r="J1272" t="str">
        <f>IFERROR(__xludf.DUMMYFUNCTION("""COMPUTED_VALUE"""),"Artificial intelligence agents have become successful at games when trained for each game separately. However, it has proven challenging to build agents that can play _previously unseen_ games. This paper makes progress on this challenge in three primary "&amp;"areas: creating rich simulated environments and tasks, training agents with attention mechanisms over internal states, and evaluating agents over a variety of games. The authors show that agents trained with goal-based attention in their proposed environm"&amp;"ent (XLand) succeed at a range of novel, unseen tasks with no additional training required. Moreover, such agents appear to use general tactics such as decision-making, tool use, and experimentation during game-play episodes.
The authors argue that train"&amp;"ing-data generation is a central challenge to training general RL agents (an argument we’ve seen before with &lt;@POET@&gt;(@Paired Open-Ended Trailblazer (POET): Endlessly Generating Increasingly Complex and Diverse Learning Environments and Their Solutions@) "&amp;"and &lt;@PAIRED@&gt;(@Emergent Complexity and Zero-shot Transfer via Unsupervised Environment Design@)). They propose the training environment XLand to address this. XLand includes many multiplayer games within consistent, human-relatable 3D worlds and allows f"&amp;"or dynamic agent learning through the procedural generation of tasks which are split into three components: world, agents, and goals. The inclusion of other agents makes this a partially observable environment. Goals are defined with Boolean formulas. Eac"&amp;"h goal is a combination of options and every option is a combination of atomic predicates. For example, in hide-and-seek one player has the goal see(me,opponent) and the other player not(see(opponent,me)). The space of worlds and games are shown to be bot"&amp;"h vast and smooth, which supports training.
The agents themselves are trained using deep-RL combined with a goal-attention module (GOAT). The per-timestep observations of the agent are ego-centric RGB images, proprioception values indicating forces, and "&amp;"the goal of the agent. The GOAT works by processing this information with a recurrent network and then using a goal-attention module to select hidden states that are most relevant to achieving a high return. This is determined by estimating the expected r"&amp;"eturn if the agent focused on an option until the end of the episode.
As with many other major deep-RL projects, it is important to have a good curriculum, where more and more challenging tasks are introduced over time. The obvious method of choosing tas"&amp;"ks with the lowest reward doesn’t work, because the returns from different games are non-comparable. To address this, an iterative notion of improvement is proposed, and scores are given as percentiles relative to a population. This is similar in spirit t"&amp;"o the &lt;@AlphaStar League@&gt;(@AlphaStar: Mastering the Real-Time Strategy Game StarCraft II@). Following this, game-theoretic notions such as Pareto dominance can be used to compare agents and to determine how challenging a task is, which can then be used t"&amp;"o create a curriculum.
Five generations of agents are trained, each of which is used in the next generation to create opponents and relative comparisons for defining the curriculum. Early in training, the authors find that adding an intrinsic reward base"&amp;"d on self-play is important to achieve good performance. This encourages agents to achieve non-zero rewards in as many games as possible, which the authors call “participation”. The authors also conduct an ablation study and find that dynamic task generat"&amp;"ion, population-based methods, and the GOAT module have a significant positive impact on performance.
The agents produced during training have desirable generalization capability. They can compete in games that were not seen before in training. Moreover,"&amp;" fine-tuning dramatically improves the performance of agents in tasks where training from scratch completely fails. A number of case studies are also presented to explore emergent agent behavior. In one experiment, an agent is asked to match a colored sha"&amp;"pe and another environment feature such as a shape or floor panel. At the start of the episode, the agent decides to carry a black pyramid to an orange floor, but then after seeing a yellow sphere changes options and places the two shapes together. This s"&amp;"hows that the agent has robust option evaluation capability. In other experiments, the agents show the capacity to create ramps to move to higher levels in the world environment. Additionally, agents seem capable of experimentation. In one instance, the a"&amp;"gent is tasked with producing a specific configuration of differently colored cube objects. The agent demonstrates trial-and-error and goes through several different configurations until it finds one it evaluates highly.
There are limitations to the agen"&amp;"t capabilities. While agents can use ramps in certain situations they fail to use ramps more generally. For example, they frequently fail to use ramps to cross gaps. Additionally, agents generally fail to create more than a single ramp. Agents also strugg"&amp;"le to play cooperative games involving following not seen during training. This suggests that experimentation does not extend to co-player behavior. More broadly, whether or not co-player agents decide to cooperate is dependent on the population the agent"&amp;"s interacted with during training. In general, the authors find that agents are more likely to cooperate when both agents have roughly equal performance or capability.")</f>
        <v>Artificial intelligence agents have become successful at games when trained for each game separately. However, it has proven challenging to build agents that can play _previously unseen_ games. This paper makes progress on this challenge in three primary areas: creating rich simulated environments and tasks, training agents with attention mechanisms over internal states, and evaluating agents over a variety of games. The authors show that agents trained with goal-based attention in their proposed environment (XLand) succeed at a range of novel, unseen tasks with no additional training required. Moreover, such agents appear to use general tactics such as decision-making, tool use, and experimentation during game-play episodes.
The authors argue that training-data generation is a central challenge to training general RL agents (an argument we’ve seen before with &lt;@POET@&gt;(@Paired Open-Ended Trailblazer (POET): Endlessly Generating Increasingly Complex and Diverse Learning Environments and Their Solutions@) and &lt;@PAIRED@&gt;(@Emergent Complexity and Zero-shot Transfer via Unsupervised Environment Design@)). They propose the training environment XLand to address this. XLand includes many multiplayer games within consistent, human-relatable 3D worlds and allows for dynamic agent learning through the procedural generation of tasks which are split into three components: world, agents, and goals. The inclusion of other agents makes this a partially observable environment. Goals are defined with Boolean formulas. Each goal is a combination of options and every option is a combination of atomic predicates. For example, in hide-and-seek one player has the goal see(me,opponent) and the other player not(see(opponent,me)). The space of worlds and games are shown to be both vast and smooth, which supports training.
The agents themselves are trained using deep-RL combined with a goal-attention module (GOAT). The per-timestep observations of the agent are ego-centric RGB images, proprioception values indicating forces, and the goal of the agent. The GOAT works by processing this information with a recurrent network and then using a goal-attention module to select hidden states that are most relevant to achieving a high return. This is determined by estimating the expected return if the agent focused on an option until the end of the episode.
As with many other major deep-RL projects, it is important to have a good curriculum, where more and more challenging tasks are introduced over time. The obvious method of choosing tasks with the lowest reward doesn’t work, because the returns from different games are non-comparable. To address this, an iterative notion of improvement is proposed, and scores are given as percentiles relative to a population. This is similar in spirit to the &lt;@AlphaStar League@&gt;(@AlphaStar: Mastering the Real-Time Strategy Game StarCraft II@). Following this, game-theoretic notions such as Pareto dominance can be used to compare agents and to determine how challenging a task is, which can then be used to create a curriculum.
Five generations of agents are trained, each of which is used in the next generation to create opponents and relative comparisons for defining the curriculum. Early in training, the authors find that adding an intrinsic reward based on self-play is important to achieve good performance. This encourages agents to achieve non-zero rewards in as many games as possible, which the authors call “participation”. The authors also conduct an ablation study and find that dynamic task generation, population-based methods, and the GOAT module have a significant positive impact on performance.
The agents produced during training have desirable generalization capability. They can compete in games that were not seen before in training. Moreover, fine-tuning dramatically improves the performance of agents in tasks where training from scratch completely fails. A number of case studies are also presented to explore emergent agent behavior. In one experiment, an agent is asked to match a colored shape and another environment feature such as a shape or floor panel. At the start of the episode, the agent decides to carry a black pyramid to an orange floor, but then after seeing a yellow sphere changes options and places the two shapes together. This shows that the agent has robust option evaluation capability. In other experiments, the agents show the capacity to create ramps to move to higher levels in the world environment. Additionally, agents seem capable of experimentation. In one instance, the agent is tasked with producing a specific configuration of differently colored cube objects. The agent demonstrates trial-and-error and goes through several different configurations until it finds one it evaluates highly.
There are limitations to the agent capabilities. While agents can use ramps in certain situations they fail to use ramps more generally. For example, they frequently fail to use ramps to cross gaps. Additionally, agents generally fail to create more than a single ramp. Agents also struggle to play cooperative games involving following not seen during training. This suggests that experimentation does not extend to co-player behavior. More broadly, whether or not co-player agents decide to cooperate is dependent on the population the agents interacted with during training. In general, the authors find that agents are more likely to cooperate when both agents have roughly equal performance or capability.</v>
      </c>
      <c r="K1272" t="str">
        <f>IFERROR(__xludf.DUMMYFUNCTION("""COMPUTED_VALUE"""),"This is a fairly complicated paper, but the authors do a reasonable job of organizing the presentation of results. In particular, the analysis of agent behavior and their neural representations is well done. At a higher level, I found it interesting that "&amp;"the authors partially reject the idea of evaluating agents with just expected returns. I broadly agree with the authors that the evaluation of agents across multi-player tasks is an open problem without an immediate solution. With respect to agent capabil"&amp;"ity, I found the section on experimentation to be most interesting. In particular, I look forward to seeing more research on how attention mechanisms catalyze such behavior.
**Rohin's opinion:** One of my models about deep learning is “Diversity is all y"&amp;"ou need”. Suppose you’re training for some task for which there’s a relevant feature F (such as the color of the goal pyramid). If F only ever takes on a single value in your training data (you only ever go to yellow pyramids), then the learned model can "&amp;"be specialized to that particular value of F, rather than learning a more general computation that works for arbitrary values of F. Instead, you need F to vary a lot during training (consider pyramids that are yellow, blue, green, red, orange, black, etc)"&amp;" if you want your model to generalize to new values of F at test time. That is, your model will be zero-shot robust to changes in a feature F if and only if your training data was diverse along the axis of feature F.  (To be clear, this isn’t literally tr"&amp;"ue, it is more like a first-order main effect.)
Some evidence supporting this model:
- The approach in this paper explicitly has diversity in the objective and the world, and so the resulting model works zero-shot on new objectives of a similar type and "&amp;"can be finetuned quickly.
- In contrast, the similar &lt;@hide and seek project@&gt;(@Emergent Tool Use from Multi-Agent Interaction@) did not have diversity in the objective, had distinctly less diversity in the world, and instead got diversity from emergent s"&amp;"trategies for multiagent interaction (but there were fewer than 10 such strategies). Correspondingly, the resulting agents could not be quickly finetuned.
- My understanding is that in image recognition, models trained on larger, more diverse datasets bec"&amp;"ome significantly more robust.
Based on this model, I would make the following predictions about agents in XLand:
- They will not generalize to objectives that can’t be expressed in the predicate language used at training time, such as “move all the pyra"&amp;"mids near each other”. (In some sense this is obvious, since the agents have never seen the word “all” and so can’t know what it means.)
- They will not work in any environment outside of XLand (unless that environment looks very very similar to XLand).
I"&amp;"n particular, I reject the idea that these agents have learned “general strategies for problem solving” or something like that, such that we should expect them to work in other contexts as well, perhaps with a little finetuning. I think they have learned "&amp;"general strategies for solving a specific class of games in XLand.
You might get the impression that I don’t like this research. That’s not the case at all — it is interesting and impressive, and it suggests that we could take the same techniques and app"&amp;"ly them in broader, more realistic domains where the resulting agents could be economically useful. Rather, I expect my readership to overupdate on this result and think that we’ve now reached agents that can do “general planning” or some such, and I want"&amp;" to push against that.")</f>
        <v>This is a fairly complicated paper, but the authors do a reasonable job of organizing the presentation of results. In particular, the analysis of agent behavior and their neural representations is well done. At a higher level, I found it interesting that the authors partially reject the idea of evaluating agents with just expected returns. I broadly agree with the authors that the evaluation of agents across multi-player tasks is an open problem without an immediate solution. With respect to agent capability, I found the section on experimentation to be most interesting. In particular, I look forward to seeing more research on how attention mechanisms catalyze such behavior.
**Rohin's opinion:** One of my models about deep learning is “Diversity is all you need”. Suppose you’re training for some task for which there’s a relevant feature F (such as the color of the goal pyramid). If F only ever takes on a single value in your training data (you only ever go to yellow pyramids), then the learned model can be specialized to that particular value of F, rather than learning a more general computation that works for arbitrary values of F. Instead, you need F to vary a lot during training (consider pyramids that are yellow, blue, green, red, orange, black, etc) if you want your model to generalize to new values of F at test time. That is, your model will be zero-shot robust to changes in a feature F if and only if your training data was diverse along the axis of feature F.  (To be clear, this isn’t literally true, it is more like a first-order main effect.)
Some evidence supporting this model:
- The approach in this paper explicitly has diversity in the objective and the world, and so the resulting model works zero-shot on new objectives of a similar type and can be finetuned quickly.
- In contrast, the similar &lt;@hide and seek project@&gt;(@Emergent Tool Use from Multi-Agent Interaction@) did not have diversity in the objective, had distinctly less diversity in the world, and instead got diversity from emergent strategies for multiagent interaction (but there were fewer than 10 such strategies). Correspondingly, the resulting agents could not be quickly finetuned.
- My understanding is that in image recognition, models trained on larger, more diverse datasets become significantly more robust.
Based on this model, I would make the following predictions about agents in XLand:
- They will not generalize to objectives that can’t be expressed in the predicate language used at training time, such as “move all the pyramids near each other”. (In some sense this is obvious, since the agents have never seen the word “all” and so can’t know what it means.)
- They will not work in any environment outside of XLand (unless that environment looks very very similar to XLand).
In particular, I reject the idea that these agents have learned “general strategies for problem solving” or something like that, such that we should expect them to work in other contexts as well, perhaps with a little finetuning. I think they have learned general strategies for solving a specific class of games in XLand.
You might get the impression that I don’t like this research. That’s not the case at all — it is interesting and impressive, and it suggests that we could take the same techniques and apply them in broader, more realistic domains where the resulting agents could be economically useful. Rather, I expect my readership to overupdate on this result and think that we’ve now reached agents that can do “general planning” or some such, and I want to push against that.</v>
      </c>
    </row>
    <row r="1273">
      <c r="A1273" t="str">
        <f>IFERROR(__xludf.DUMMYFUNCTION("""COMPUTED_VALUE"""),"Multiagent RL")</f>
        <v>Multiagent RL</v>
      </c>
      <c r="B1273" t="str">
        <f>IFERROR(__xludf.DUMMYFUNCTION("""COMPUTED_VALUE"""),"")</f>
        <v/>
      </c>
      <c r="C1273" s="3" t="str">
        <f>IFERROR(__xludf.DUMMYFUNCTION("""COMPUTED_VALUE"""),"Scalable Evaluation of Multi-Agent Reinforcement Learning with Melting Pot")</f>
        <v>Scalable Evaluation of Multi-Agent Reinforcement Learning with Melting Pot</v>
      </c>
      <c r="D1273" t="str">
        <f>IFERROR(__xludf.DUMMYFUNCTION("""COMPUTED_VALUE"""),"Joel Z. Leibo*, Edgar Duéñez-Guzmán*, Alexander Sasha Vezhnevets*, John P. Agapiou*, Peter Sunehag, Raphael Koster, Jayd Matyas, Charles Beattie, Igor Mordatch, Thore Graepel")</f>
        <v>Joel Z. Leibo*, Edgar Duéñez-Guzmán*, Alexander Sasha Vezhnevets*, John P. Agapiou*, Peter Sunehag, Raphael Koster, Jayd Matyas, Charles Beattie, Igor Mordatch, Thore Graepel</v>
      </c>
      <c r="E1273" t="str">
        <f>IFERROR(__xludf.DUMMYFUNCTION("""COMPUTED_VALUE"""),"arXiv")</f>
        <v>arXiv</v>
      </c>
      <c r="F1273">
        <f>IFERROR(__xludf.DUMMYFUNCTION("""COMPUTED_VALUE"""),2021.0)</f>
        <v>2021</v>
      </c>
      <c r="H1273" s="3" t="str">
        <f>IFERROR(__xludf.DUMMYFUNCTION("""COMPUTED_VALUE"""),"AN #159")</f>
        <v>AN #159</v>
      </c>
      <c r="I1273" t="str">
        <f>IFERROR(__xludf.DUMMYFUNCTION("""COMPUTED_VALUE"""),"Rohin")</f>
        <v>Rohin</v>
      </c>
      <c r="J1273" t="str">
        <f>IFERROR(__xludf.DUMMYFUNCTION("""COMPUTED_VALUE"""),"In supervised learning, the test dataset is different from the training dataset, and thus evaluates how well the learned model generalizes (within distribution). So far, we mostly haven't done this with reinforcement learning: the test environment is typi"&amp;"cally identical to the training environment. This is because it would be very challenging -- you would have to design a large number of environments and then split them into a train and test set; each environment would take a very long time to create (unl"&amp;"ike in, say, image classification, where it takes a few seconds to label an image).
The core insight of this paper is that when evaluating a multiagent RL algorithm, you can get a “force multiplier” by taking a single multiagent environment (called a “su"&amp;"bstrate”) and “filling in” some of the agent slots with agents that are automatically created using RL to create a “scenario” for evaluation. For example, in the &lt;@Capture the Flag substrate@&gt;(@Capture the Flag: the emergence of complex cooperative agents"&amp;"@), in one scenario we fill in all but one of the agents using agents trained by A3C, which means that the remaining agent (to be supplied by the algorithm being evaluated) must cooperate with previously-unseen agents on its team, to play against previous"&amp;"ly-unseen opponents. Scenarios can fall in three main categories:
1. **Resident mode:** The agents created by the multiagent RL algorithm under evaluation outnumber the background “filled-in” agents. This primarily tests whether the agents created by the"&amp;" multiagent RL algorithm can cooperate with each other, even in the presence of perturbations by a small number of background agents.
2. **Visitor mode:** The background agents outnumber the agents created by the algorithm under evaluation. This often tes"&amp;"ts whether the new agents can follow existing norms in the background population.
3. **Universalization mode:** A _single_ agent is sampled from the algorithm and used to fill _all_ the slots in the substrate, effectively evaluating whether the policy is "&amp;"universalizable.
The authors use this approach to create Melting Pot, a benchmark for evaluating multiagent RL algorithms that can produce populations of agents (i.e. most multiagent RL algorithms). Crucially, the algorithm being evaluated is _not_ permi"&amp;"tted to see the agents in any specific scenario in advance; this is thus a test of generalization to new opponents. (It is allowed unlimited access to the substrate.) They use ~20 different substrates and create ~5 scenarios for each substrate, giving a t"&amp;"otal of ~100 scenarios on which the multiagent RL algorithm can be evaluated. (If you exclude the universalization mode, which doesn’t involve background agents and so may not be a test of generalization, then there are ~80 scenarios.) These cover both co"&amp;"mpetitive, collaborative, and mixed-motive scenarios.")</f>
        <v>In supervised learning, the test dataset is different from the training dataset, and thus evaluates how well the learned model generalizes (within distribution). So far, we mostly haven't done this with reinforcement learning: the test environment is typically identical to the training environment. This is because it would be very challenging -- you would have to design a large number of environments and then split them into a train and test set; each environment would take a very long time to create (unlike in, say, image classification, where it takes a few seconds to label an image).
The core insight of this paper is that when evaluating a multiagent RL algorithm, you can get a “force multiplier” by taking a single multiagent environment (called a “substrate”) and “filling in” some of the agent slots with agents that are automatically created using RL to create a “scenario” for evaluation. For example, in the &lt;@Capture the Flag substrate@&gt;(@Capture the Flag: the emergence of complex cooperative agents@), in one scenario we fill in all but one of the agents using agents trained by A3C, which means that the remaining agent (to be supplied by the algorithm being evaluated) must cooperate with previously-unseen agents on its team, to play against previously-unseen opponents. Scenarios can fall in three main categories:
1. **Resident mode:** The agents created by the multiagent RL algorithm under evaluation outnumber the background “filled-in” agents. This primarily tests whether the agents created by the multiagent RL algorithm can cooperate with each other, even in the presence of perturbations by a small number of background agents.
2. **Visitor mode:** The background agents outnumber the agents created by the algorithm under evaluation. This often tests whether the new agents can follow existing norms in the background population.
3. **Universalization mode:** A _single_ agent is sampled from the algorithm and used to fill _all_ the slots in the substrate, effectively evaluating whether the policy is universalizable.
The authors use this approach to create Melting Pot, a benchmark for evaluating multiagent RL algorithms that can produce populations of agents (i.e. most multiagent RL algorithms). Crucially, the algorithm being evaluated is _not_ permitted to see the agents in any specific scenario in advance; this is thus a test of generalization to new opponents. (It is allowed unlimited access to the substrate.) They use ~20 different substrates and create ~5 scenarios for each substrate, giving a total of ~100 scenarios on which the multiagent RL algorithm can be evaluated. (If you exclude the universalization mode, which doesn’t involve background agents and so may not be a test of generalization, then there are ~80 scenarios.) These cover both competitive, collaborative, and mixed-motive scenarios.</v>
      </c>
      <c r="K1273" t="str">
        <f>IFERROR(__xludf.DUMMYFUNCTION("""COMPUTED_VALUE"""),"You might wonder why Melting Pot is just used for evaluation, rather than as a training suite: given the diversity of scenarios in Melting Pot, shouldn’t you get similar benefits as in the highlighted post? The answer is that there isn’t nearly enough div"&amp;"ersity, as there are only ~100 scenarios across ~20 substrates. For comparison, &lt;@ProcGen@&gt;(@Procgen Benchmark@) requires 500-10,000 levels to get decent generalization performance. Both ProcGen and XLand are more like a single substrate for which we can "&amp;"procedurally generate an unlimited number of scenarios. Both have _more_ diversity than Melting Pot, in a _narrower_ domain; this is why training on XLand or ProcGen can lead to good generalization but you wouldn’t expect the same to occur from training o"&amp;"n Melting Pot.
Given that you can’t get the generalization from simply training on something similar to Melting Pot, the generalization capability will instead have to come from some algorithmic insight or by finding some other way of pretraining agents "&amp;"on a wide diversity of substrates and scenarios. For example, you might figure out a way to procedurally generate a large, diverse set of possible background agents for each of the substrates.
(If you’re wondering why this argument doesn’t apply to super"&amp;"vised learning, it’s because in supervised learning the training set has many thousands or even millions of examples, sampled from the same distribution as the test set, and so you have the necessary diversity for generalization to work.)")</f>
        <v>You might wonder why Melting Pot is just used for evaluation, rather than as a training suite: given the diversity of scenarios in Melting Pot, shouldn’t you get similar benefits as in the highlighted post? The answer is that there isn’t nearly enough diversity, as there are only ~100 scenarios across ~20 substrates. For comparison, &lt;@ProcGen@&gt;(@Procgen Benchmark@) requires 500-10,000 levels to get decent generalization performance. Both ProcGen and XLand are more like a single substrate for which we can procedurally generate an unlimited number of scenarios. Both have _more_ diversity than Melting Pot, in a _narrower_ domain; this is why training on XLand or ProcGen can lead to good generalization but you wouldn’t expect the same to occur from training on Melting Pot.
Given that you can’t get the generalization from simply training on something similar to Melting Pot, the generalization capability will instead have to come from some algorithmic insight or by finding some other way of pretraining agents on a wide diversity of substrates and scenarios. For example, you might figure out a way to procedurally generate a large, diverse set of possible background agents for each of the substrates.
(If you’re wondering why this argument doesn’t apply to supervised learning, it’s because in supervised learning the training set has many thousands or even millions of examples, sampled from the same distribution as the test set, and so you have the necessary diversity for generalization to work.)</v>
      </c>
    </row>
    <row r="1274">
      <c r="A1274" t="str">
        <f>IFERROR(__xludf.DUMMYFUNCTION("""COMPUTED_VALUE"""),"Multiagent RL")</f>
        <v>Multiagent RL</v>
      </c>
      <c r="B1274" t="str">
        <f>IFERROR(__xludf.DUMMYFUNCTION("""COMPUTED_VALUE"""),"")</f>
        <v/>
      </c>
      <c r="C1274" s="3" t="str">
        <f>IFERROR(__xludf.DUMMYFUNCTION("""COMPUTED_VALUE"""),"Emergent Complexity and Zero-shot Transfer via Unsupervised Environment Design")</f>
        <v>Emergent Complexity and Zero-shot Transfer via Unsupervised Environment Design</v>
      </c>
      <c r="D1274" t="str">
        <f>IFERROR(__xludf.DUMMYFUNCTION("""COMPUTED_VALUE"""),"Michael Dennis*, Natasha Jaques*, Eugene Vinitsky, Alexandre Bayen, Stuart Russell, Andrew Critch, Sergey Levine")</f>
        <v>Michael Dennis*, Natasha Jaques*, Eugene Vinitsky, Alexandre Bayen, Stuart Russell, Andrew Critch, Sergey Levine</v>
      </c>
      <c r="E1274" t="str">
        <f>IFERROR(__xludf.DUMMYFUNCTION("""COMPUTED_VALUE"""),"NeurIPS 2020")</f>
        <v>NeurIPS 2020</v>
      </c>
      <c r="F1274">
        <f>IFERROR(__xludf.DUMMYFUNCTION("""COMPUTED_VALUE"""),2020.0)</f>
        <v>2020</v>
      </c>
      <c r="H1274" s="3" t="str">
        <f>IFERROR(__xludf.DUMMYFUNCTION("""COMPUTED_VALUE"""),"AN #136")</f>
        <v>AN #136</v>
      </c>
      <c r="I1274" t="str">
        <f>IFERROR(__xludf.DUMMYFUNCTION("""COMPUTED_VALUE"""),"Rohin")</f>
        <v>Rohin</v>
      </c>
      <c r="J1274" t="str">
        <f>IFERROR(__xludf.DUMMYFUNCTION("""COMPUTED_VALUE"""),"One argument for AI risk is that we have to specify some aspects of the training procedure, and if these are poorly specified, then bad outcomes may result. Typically we think of bad specification of the reward function as the risk, but this can also appl"&amp;"y to environments: if we train a system in a simulated environment, then it may fail if the simulation is insufficiently similar to the real environment.
A typical approach would be _domain randomization_: we randomly vary some parameters that control th"&amp;"e behavior of the environment. Unfortunately, this can often create environments that are too easy: in a maze environment, this approach often doesn’t have enough walls. Another approach could be to choose the environment adversarially, so that the agent "&amp;"learns the skills needed for hard environments. Unfortunately, this can often make the environment unsolvable: in the maze environment, the goal may be unreachable from the initial position.
The key idea of this paper is a method to create environments t"&amp;"hat are just on the edge of the agent’s abilities, by finding an environment that maximizes the _agent’s regret_: how poorly the agent performs, relative to how well _it could have done_. To operationalize how well the agent “could have done”, we also tra"&amp;"in an _antagonist agent_, and we then choose an environment that the antagonist performs well on but the protagonist performs poorly on. This results in environments that are solvable but challenging for the protagonist.")</f>
        <v>One argument for AI risk is that we have to specify some aspects of the training procedure, and if these are poorly specified, then bad outcomes may result. Typically we think of bad specification of the reward function as the risk, but this can also apply to environments: if we train a system in a simulated environment, then it may fail if the simulation is insufficiently similar to the real environment.
A typical approach would be _domain randomization_: we randomly vary some parameters that control the behavior of the environment. Unfortunately, this can often create environments that are too easy: in a maze environment, this approach often doesn’t have enough walls. Another approach could be to choose the environment adversarially, so that the agent learns the skills needed for hard environments. Unfortunately, this can often make the environment unsolvable: in the maze environment, the goal may be unreachable from the initial position.
The key idea of this paper is a method to create environments that are just on the edge of the agent’s abilities, by finding an environment that maximizes the _agent’s regret_: how poorly the agent performs, relative to how well _it could have done_. To operationalize how well the agent “could have done”, we also train an _antagonist agent_, and we then choose an environment that the antagonist performs well on but the protagonist performs poorly on. This results in environments that are solvable but challenging for the protagonist.</v>
      </c>
    </row>
    <row r="1275">
      <c r="A1275" t="str">
        <f>IFERROR(__xludf.DUMMYFUNCTION("""COMPUTED_VALUE"""),"News")</f>
        <v>News</v>
      </c>
      <c r="B1275" t="str">
        <f>IFERROR(__xludf.DUMMYFUNCTION("""COMPUTED_VALUE"""),"Highlight")</f>
        <v>Highlight</v>
      </c>
      <c r="C1275" s="3" t="str">
        <f>IFERROR(__xludf.DUMMYFUNCTION("""COMPUTED_VALUE"""),"Call for contributors to the Alignment Newsletter")</f>
        <v>Call for contributors to the Alignment Newsletter</v>
      </c>
      <c r="D1275" t="str">
        <f>IFERROR(__xludf.DUMMYFUNCTION("""COMPUTED_VALUE"""),"Rohin Shah")</f>
        <v>Rohin Shah</v>
      </c>
      <c r="E1275" t="str">
        <f>IFERROR(__xludf.DUMMYFUNCTION("""COMPUTED_VALUE"""),"Alignment Forum")</f>
        <v>Alignment Forum</v>
      </c>
      <c r="F1275">
        <f>IFERROR(__xludf.DUMMYFUNCTION("""COMPUTED_VALUE"""),2019.0)</f>
        <v>2019</v>
      </c>
      <c r="H1275" s="3" t="str">
        <f>IFERROR(__xludf.DUMMYFUNCTION("""COMPUTED_VALUE"""),"AN #62")</f>
        <v>AN #62</v>
      </c>
      <c r="I1275" t="str">
        <f>IFERROR(__xludf.DUMMYFUNCTION("""COMPUTED_VALUE"""),"Rohin")</f>
        <v>Rohin</v>
      </c>
      <c r="J1275" t="str">
        <f>IFERROR(__xludf.DUMMYFUNCTION("""COMPUTED_VALUE"""),"I'm looking for content creators and a publisher for this newsletter! Apply by September 6.")</f>
        <v>I'm looking for content creators and a publisher for this newsletter! Apply by September 6.</v>
      </c>
    </row>
    <row r="1276">
      <c r="A1276" t="str">
        <f>IFERROR(__xludf.DUMMYFUNCTION("""COMPUTED_VALUE"""),"News")</f>
        <v>News</v>
      </c>
      <c r="B1276" t="str">
        <f>IFERROR(__xludf.DUMMYFUNCTION("""COMPUTED_VALUE"""),"Highlight")</f>
        <v>Highlight</v>
      </c>
      <c r="C1276" s="3" t="str">
        <f>IFERROR(__xludf.DUMMYFUNCTION("""COMPUTED_VALUE"""),"Introducing the AI Alignment Forum (FAQ)")</f>
        <v>Introducing the AI Alignment Forum (FAQ)</v>
      </c>
      <c r="D1276" t="str">
        <f>IFERROR(__xludf.DUMMYFUNCTION("""COMPUTED_VALUE"""),"habryka")</f>
        <v>habryka</v>
      </c>
      <c r="E1276" t="str">
        <f>IFERROR(__xludf.DUMMYFUNCTION("""COMPUTED_VALUE"""),"Alignment Forum")</f>
        <v>Alignment Forum</v>
      </c>
      <c r="F1276">
        <f>IFERROR(__xludf.DUMMYFUNCTION("""COMPUTED_VALUE"""),2018.0)</f>
        <v>2018</v>
      </c>
      <c r="H1276" s="3" t="str">
        <f>IFERROR(__xludf.DUMMYFUNCTION("""COMPUTED_VALUE"""),"AN #31")</f>
        <v>AN #31</v>
      </c>
      <c r="I1276" t="str">
        <f>IFERROR(__xludf.DUMMYFUNCTION("""COMPUTED_VALUE"""),"Rohin")</f>
        <v>Rohin</v>
      </c>
      <c r="J1276" t="str">
        <f>IFERROR(__xludf.DUMMYFUNCTION("""COMPUTED_VALUE"""),"The Alignment Forum has officially launched! It aims to be the single online hub for researchers to have conversations about all the ideas in the field, while also helping new researchers get up to speed. While posting is restricted to members, all conten"&amp;"t is cross-posted to LessWrong, where anyone can engage with it. In addition, for the next few weeks there will be a daily post from one of three new sequences on embedded agency, iterated amplification, and value learning.")</f>
        <v>The Alignment Forum has officially launched! It aims to be the single online hub for researchers to have conversations about all the ideas in the field, while also helping new researchers get up to speed. While posting is restricted to members, all content is cross-posted to LessWrong, where anyone can engage with it. In addition, for the next few weeks there will be a daily post from one of three new sequences on embedded agency, iterated amplification, and value learning.</v>
      </c>
      <c r="K1276" t="str">
        <f>IFERROR(__xludf.DUMMYFUNCTION("""COMPUTED_VALUE"""),"I'm excited for this forum, and will be collating the value learning sequence for its launch. Since these sequences are meant to teach some of the key ideas in AI alignment, I would probably end up highlighting every single post. Instead of that, I'm goin"&amp;"g to create new categories for each sequence and summarize them each week within the category, but *you should treat them as if I had highlighted them*.")</f>
        <v>I'm excited for this forum, and will be collating the value learning sequence for its launch. Since these sequences are meant to teach some of the key ideas in AI alignment, I would probably end up highlighting every single post. Instead of that, I'm going to create new categories for each sequence and summarize them each week within the category, but *you should treat them as if I had highlighted them*.</v>
      </c>
    </row>
    <row r="1277">
      <c r="A1277" t="str">
        <f>IFERROR(__xludf.DUMMYFUNCTION("""COMPUTED_VALUE"""),"News")</f>
        <v>News</v>
      </c>
      <c r="B1277" t="str">
        <f>IFERROR(__xludf.DUMMYFUNCTION("""COMPUTED_VALUE"""),"Highlight")</f>
        <v>Highlight</v>
      </c>
      <c r="C1277" s="3" t="str">
        <f>IFERROR(__xludf.DUMMYFUNCTION("""COMPUTED_VALUE"""),"Announcement: AI alignment prize round 2 winners and next round")</f>
        <v>Announcement: AI alignment prize round 2 winners and next round</v>
      </c>
      <c r="D1277" t="str">
        <f>IFERROR(__xludf.DUMMYFUNCTION("""COMPUTED_VALUE"""),"cousin_it")</f>
        <v>cousin_it</v>
      </c>
      <c r="E1277" t="str">
        <f>IFERROR(__xludf.DUMMYFUNCTION("""COMPUTED_VALUE"""),"LessWrong")</f>
        <v>LessWrong</v>
      </c>
      <c r="F1277">
        <f>IFERROR(__xludf.DUMMYFUNCTION("""COMPUTED_VALUE"""),2018.0)</f>
        <v>2018</v>
      </c>
      <c r="H1277" s="3" t="str">
        <f>IFERROR(__xludf.DUMMYFUNCTION("""COMPUTED_VALUE"""),"AN #3")</f>
        <v>AN #3</v>
      </c>
      <c r="I1277" t="str">
        <f>IFERROR(__xludf.DUMMYFUNCTION("""COMPUTED_VALUE"""),"Rohin")</f>
        <v>Rohin</v>
      </c>
      <c r="J1277" t="str">
        <f>IFERROR(__xludf.DUMMYFUNCTION("""COMPUTED_VALUE"""),"The winners of the second round of the AI alignment prize have been announced! All of the winners have already been sent out in this newsletter, except for the first place winner, ""[The Alignment Problem for History-Based Bayesian Reinforcement Learners]"&amp;"(http://www.tomeveritt.se/papers/alignment.pdf)"". The deadline for the next iteration of the AI alignment prize is June 30, 2018.")</f>
        <v>The winners of the second round of the AI alignment prize have been announced! All of the winners have already been sent out in this newsletter, except for the first place winner, "[The Alignment Problem for History-Based Bayesian Reinforcement Learners](http://www.tomeveritt.se/papers/alignment.pdf)". The deadline for the next iteration of the AI alignment prize is June 30, 2018.</v>
      </c>
    </row>
    <row r="1278">
      <c r="A1278" t="str">
        <f>IFERROR(__xludf.DUMMYFUNCTION("""COMPUTED_VALUE"""),"News")</f>
        <v>News</v>
      </c>
      <c r="B1278" t="str">
        <f>IFERROR(__xludf.DUMMYFUNCTION("""COMPUTED_VALUE"""),"Highlight")</f>
        <v>Highlight</v>
      </c>
      <c r="C1278" s="3" t="str">
        <f>IFERROR(__xludf.DUMMYFUNCTION("""COMPUTED_VALUE"""),"Request for proposals for projects in AI alignment that work with deep learning systems")</f>
        <v>Request for proposals for projects in AI alignment that work with deep learning systems</v>
      </c>
      <c r="D1278" t="str">
        <f>IFERROR(__xludf.DUMMYFUNCTION("""COMPUTED_VALUE"""),"Nick Beckstead and Asya Bergal")</f>
        <v>Nick Beckstead and Asya Bergal</v>
      </c>
      <c r="E1278" t="str">
        <f>IFERROR(__xludf.DUMMYFUNCTION("""COMPUTED_VALUE"""),"Open Philanthropy Website")</f>
        <v>Open Philanthropy Website</v>
      </c>
      <c r="F1278">
        <f>IFERROR(__xludf.DUMMYFUNCTION("""COMPUTED_VALUE"""),2021.0)</f>
        <v>2021</v>
      </c>
      <c r="H1278" s="3" t="str">
        <f>IFERROR(__xludf.DUMMYFUNCTION("""COMPUTED_VALUE"""),"AN #168")</f>
        <v>AN #168</v>
      </c>
      <c r="I1278" t="str">
        <f>IFERROR(__xludf.DUMMYFUNCTION("""COMPUTED_VALUE"""),"Rohin")</f>
        <v>Rohin</v>
      </c>
      <c r="J1278" t="str">
        <f>IFERROR(__xludf.DUMMYFUNCTION("""COMPUTED_VALUE"""),"Open Philanthropy is seeking proposals for AI safety work in four major areas related to deep learning, each of which I summarize below. Proposals are due January 10, and can seek up to $1M covering up to 2 years. Grantees may later be invited to apply fo"&amp;"r larger and longer grants.")</f>
        <v>Open Philanthropy is seeking proposals for AI safety work in four major areas related to deep learning, each of which I summarize below. Proposals are due January 10, and can seek up to $1M covering up to 2 years. Grantees may later be invited to apply for larger and longer grants.</v>
      </c>
      <c r="K1278" t="str">
        <f>IFERROR(__xludf.DUMMYFUNCTION("""COMPUTED_VALUE"""),"Overall, I like these four directions and am excited to see what comes out of them! I'll comment on specific directions below.")</f>
        <v>Overall, I like these four directions and am excited to see what comes out of them! I'll comment on specific directions below.</v>
      </c>
    </row>
    <row r="1279">
      <c r="A1279" t="str">
        <f>IFERROR(__xludf.DUMMYFUNCTION("""COMPUTED_VALUE"""),"News")</f>
        <v>News</v>
      </c>
      <c r="B1279" t="str">
        <f>IFERROR(__xludf.DUMMYFUNCTION("""COMPUTED_VALUE"""),"Highlight")</f>
        <v>Highlight</v>
      </c>
      <c r="C1279" s="3" t="str">
        <f>IFERROR(__xludf.DUMMYFUNCTION("""COMPUTED_VALUE"""),"[MLSN #1]: ICLR Safety Paper Roundup")</f>
        <v>[MLSN #1]: ICLR Safety Paper Roundup</v>
      </c>
      <c r="D1279" t="str">
        <f>IFERROR(__xludf.DUMMYFUNCTION("""COMPUTED_VALUE"""),"Dan Hendrycks")</f>
        <v>Dan Hendrycks</v>
      </c>
      <c r="E1279" t="str">
        <f>IFERROR(__xludf.DUMMYFUNCTION("""COMPUTED_VALUE"""),"Alignment Forum")</f>
        <v>Alignment Forum</v>
      </c>
      <c r="F1279">
        <f>IFERROR(__xludf.DUMMYFUNCTION("""COMPUTED_VALUE"""),2021.0)</f>
        <v>2021</v>
      </c>
      <c r="H1279" s="3" t="str">
        <f>IFERROR(__xludf.DUMMYFUNCTION("""COMPUTED_VALUE"""),"AN #167")</f>
        <v>AN #167</v>
      </c>
      <c r="I1279" t="str">
        <f>IFERROR(__xludf.DUMMYFUNCTION("""COMPUTED_VALUE"""),"Rohin")</f>
        <v>Rohin</v>
      </c>
      <c r="J1279" t="str">
        <f>IFERROR(__xludf.DUMMYFUNCTION("""COMPUTED_VALUE"""),"This is the first issue of the ML Safety Newsletter, which is ""a monthly safety newsletter which is designed to cover empirical safety research and be palatable to the broader machine learning research community"".")</f>
        <v>This is the first issue of the ML Safety Newsletter, which is "a monthly safety newsletter which is designed to cover empirical safety research and be palatable to the broader machine learning research community".</v>
      </c>
      <c r="K1279" t="str">
        <f>IFERROR(__xludf.DUMMYFUNCTION("""COMPUTED_VALUE"""),"I'm very excited to see this newsletter: this is a category of papers that I want to know about and that are relevant to safety, but I don't have the time to read all of these papers given all the other alignment work I read, especially since I don't pers"&amp;"onally work in these areas and so often find it hard to summarize them or place them in the appropriate context. Dan on the other hand has written many such papers himself and generally knows the area, and so will likely do a much better job than I would."&amp;" I recommend you subscribe, especially since I'm not going to send a link to each MLSN in this newsletter.")</f>
        <v>I'm very excited to see this newsletter: this is a category of papers that I want to know about and that are relevant to safety, but I don't have the time to read all of these papers given all the other alignment work I read, especially since I don't personally work in these areas and so often find it hard to summarize them or place them in the appropriate context. Dan on the other hand has written many such papers himself and generally knows the area, and so will likely do a much better job than I would. I recommend you subscribe, especially since I'm not going to send a link to each MLSN in this newsletter.</v>
      </c>
    </row>
    <row r="1280">
      <c r="A1280" t="str">
        <f>IFERROR(__xludf.DUMMYFUNCTION("""COMPUTED_VALUE"""),"News")</f>
        <v>News</v>
      </c>
      <c r="B1280" t="str">
        <f>IFERROR(__xludf.DUMMYFUNCTION("""COMPUTED_VALUE"""),"Highlight")</f>
        <v>Highlight</v>
      </c>
      <c r="C1280" s="3" t="str">
        <f>IFERROR(__xludf.DUMMYFUNCTION("""COMPUTED_VALUE"""),"AI Safety Papers")</f>
        <v>AI Safety Papers</v>
      </c>
      <c r="D1280" t="str">
        <f>IFERROR(__xludf.DUMMYFUNCTION("""COMPUTED_VALUE"""),"Ozzie Gooen")</f>
        <v>Ozzie Gooen</v>
      </c>
      <c r="E1280" t="str">
        <f>IFERROR(__xludf.DUMMYFUNCTION("""COMPUTED_VALUE"""),"Alignment Forum")</f>
        <v>Alignment Forum</v>
      </c>
      <c r="F1280">
        <f>IFERROR(__xludf.DUMMYFUNCTION("""COMPUTED_VALUE"""),2021.0)</f>
        <v>2021</v>
      </c>
      <c r="H1280" s="3" t="str">
        <f>IFERROR(__xludf.DUMMYFUNCTION("""COMPUTED_VALUE"""),"AN #162")</f>
        <v>AN #162</v>
      </c>
      <c r="I1280" t="str">
        <f>IFERROR(__xludf.DUMMYFUNCTION("""COMPUTED_VALUE"""),"Rohin")</f>
        <v>Rohin</v>
      </c>
      <c r="J1280" t="str">
        <f>IFERROR(__xludf.DUMMYFUNCTION("""COMPUTED_VALUE"""),"AI Safety Papers (announced [here](https://www.alignmentforum.org/posts/GgusnG2tiPEa4aYFS/ai-safety-papers-an-app-for-the-tai-safety-database)) is an app to interactively explore a previously collected &lt;@database of AI safety work@&gt;(@TAI Safety Bibliograp"&amp;"hic Database@). I believe it contains every article in this newsletter (at least up to a certain date; it doesn’t automatically update) along with their summaries, so you may prefer to use that to search past issues of the newsletter instead of the [sprea"&amp;"dsheet I maintain](https://docs.google.com/spreadsheets/d/1PwWbWZ6FPqAgZWOoOcXM8N_tUCuxpEyMbN1NYYC02aM/edit#gid=0).")</f>
        <v>AI Safety Papers (announced [here](https://www.alignmentforum.org/posts/GgusnG2tiPEa4aYFS/ai-safety-papers-an-app-for-the-tai-safety-database)) is an app to interactively explore a previously collected &lt;@database of AI safety work@&gt;(@TAI Safety Bibliographic Database@). I believe it contains every article in this newsletter (at least up to a certain date; it doesn’t automatically update) along with their summaries, so you may prefer to use that to search past issues of the newsletter instead of the [spreadsheet I maintain](https://docs.google.com/spreadsheets/d/1PwWbWZ6FPqAgZWOoOcXM8N_tUCuxpEyMbN1NYYC02aM/edit#gid=0).</v>
      </c>
    </row>
    <row r="1281">
      <c r="A1281" t="str">
        <f>IFERROR(__xludf.DUMMYFUNCTION("""COMPUTED_VALUE"""),"News")</f>
        <v>News</v>
      </c>
      <c r="B1281" t="str">
        <f>IFERROR(__xludf.DUMMYFUNCTION("""COMPUTED_VALUE"""),"Highlight")</f>
        <v>Highlight</v>
      </c>
      <c r="C1281" s="3" t="str">
        <f>IFERROR(__xludf.DUMMYFUNCTION("""COMPUTED_VALUE"""),"DeepMind hiring Research Scientist, Safety")</f>
        <v>DeepMind hiring Research Scientist, Safety</v>
      </c>
      <c r="E1281" t="str">
        <f>IFERROR(__xludf.DUMMYFUNCTION("""COMPUTED_VALUE"""),"DeepMind Website")</f>
        <v>DeepMind Website</v>
      </c>
      <c r="F1281">
        <f>IFERROR(__xludf.DUMMYFUNCTION("""COMPUTED_VALUE"""),2018.0)</f>
        <v>2018</v>
      </c>
      <c r="H1281" s="3" t="str">
        <f>IFERROR(__xludf.DUMMYFUNCTION("""COMPUTED_VALUE"""),"AN #16")</f>
        <v>AN #16</v>
      </c>
      <c r="I1281" t="str">
        <f>IFERROR(__xludf.DUMMYFUNCTION("""COMPUTED_VALUE"""),"Rohin")</f>
        <v>Rohin</v>
      </c>
      <c r="J1281" t="str">
        <f>IFERROR(__xludf.DUMMYFUNCTION("""COMPUTED_VALUE"""),"Career opportunity!")</f>
        <v>Career opportunity!</v>
      </c>
    </row>
    <row r="1282">
      <c r="A1282" t="str">
        <f>IFERROR(__xludf.DUMMYFUNCTION("""COMPUTED_VALUE"""),"News")</f>
        <v>News</v>
      </c>
      <c r="B1282" t="str">
        <f>IFERROR(__xludf.DUMMYFUNCTION("""COMPUTED_VALUE"""),"Highlight")</f>
        <v>Highlight</v>
      </c>
      <c r="C1282" s="3" t="str">
        <f>IFERROR(__xludf.DUMMYFUNCTION("""COMPUTED_VALUE"""),"Announcement: AI alignment prize round 3 winners and next round")</f>
        <v>Announcement: AI alignment prize round 3 winners and next round</v>
      </c>
      <c r="D1282" t="str">
        <f>IFERROR(__xludf.DUMMYFUNCTION("""COMPUTED_VALUE"""),"Zvi Mowshowitz and Vladimir Slepnev")</f>
        <v>Zvi Mowshowitz and Vladimir Slepnev</v>
      </c>
      <c r="E1282" t="str">
        <f>IFERROR(__xludf.DUMMYFUNCTION("""COMPUTED_VALUE"""),"LessWrong")</f>
        <v>LessWrong</v>
      </c>
      <c r="F1282">
        <f>IFERROR(__xludf.DUMMYFUNCTION("""COMPUTED_VALUE"""),2018.0)</f>
        <v>2018</v>
      </c>
      <c r="H1282" s="3" t="str">
        <f>IFERROR(__xludf.DUMMYFUNCTION("""COMPUTED_VALUE"""),"AN #16")</f>
        <v>AN #16</v>
      </c>
      <c r="I1282" t="str">
        <f>IFERROR(__xludf.DUMMYFUNCTION("""COMPUTED_VALUE"""),"Rohin")</f>
        <v>Rohin</v>
      </c>
      <c r="J1282" t="str">
        <f>IFERROR(__xludf.DUMMYFUNCTION("""COMPUTED_VALUE"""),"The winners of the third round of the [AI Alignment Prize](https://www.lesswrong.com/posts/SSEyiHaACSYDHcYZz/announcement-ai-alignment-prize-round-2-winners-and-next) have been announced! Vadim Kosoy wins the first prize of $7500 for [The Learning-Theoret"&amp;"ic AI Alignment Research Agenda](https://agentfoundations.org/item?id=1816), and Alexander Turner wins the second prize of $2500 for [Worrying About the Vase: Whitelisting](https://www.lesswrong.com/posts/H7KB44oKoSjSCkpzL/worrying-about-the-vase-whitelis"&amp;"ting) and [Overcoming Clinginess in Impact Measures](https://www.lesswrong.com/posts/DvmhXysefEyEvXuXS/overcoming-clinginess-in-impact-measures). The next round has started and will last until December 31, and each participant has been asked to submit a s"&amp;"ingle entry (possibly in parts).")</f>
        <v>The winners of the third round of the [AI Alignment Prize](https://www.lesswrong.com/posts/SSEyiHaACSYDHcYZz/announcement-ai-alignment-prize-round-2-winners-and-next) have been announced! Vadim Kosoy wins the first prize of $7500 for [The Learning-Theoretic AI Alignment Research Agenda](https://agentfoundations.org/item?id=1816), and Alexander Turner wins the second prize of $2500 for [Worrying About the Vase: Whitelisting](https://www.lesswrong.com/posts/H7KB44oKoSjSCkpzL/worrying-about-the-vase-whitelisting) and [Overcoming Clinginess in Impact Measures](https://www.lesswrong.com/posts/DvmhXysefEyEvXuXS/overcoming-clinginess-in-impact-measures). The next round has started and will last until December 31, and each participant has been asked to submit a single entry (possibly in parts).</v>
      </c>
    </row>
    <row r="1283">
      <c r="A1283" t="str">
        <f>IFERROR(__xludf.DUMMYFUNCTION("""COMPUTED_VALUE"""),"News")</f>
        <v>News</v>
      </c>
      <c r="B1283" t="str">
        <f>IFERROR(__xludf.DUMMYFUNCTION("""COMPUTED_VALUE"""),"")</f>
        <v/>
      </c>
      <c r="C1283" s="3" t="str">
        <f>IFERROR(__xludf.DUMMYFUNCTION("""COMPUTED_VALUE"""),"BERI seeking new university collaborators")</f>
        <v>BERI seeking new university collaborators</v>
      </c>
      <c r="D1283" t="str">
        <f>IFERROR(__xludf.DUMMYFUNCTION("""COMPUTED_VALUE"""),"Sawyer Bernath")</f>
        <v>Sawyer Bernath</v>
      </c>
      <c r="E1283" t="str">
        <f>IFERROR(__xludf.DUMMYFUNCTION("""COMPUTED_VALUE"""),"BERI Website")</f>
        <v>BERI Website</v>
      </c>
      <c r="F1283">
        <f>IFERROR(__xludf.DUMMYFUNCTION("""COMPUTED_VALUE"""),2020.0)</f>
        <v>2020</v>
      </c>
      <c r="H1283" s="3" t="str">
        <f>IFERROR(__xludf.DUMMYFUNCTION("""COMPUTED_VALUE"""),"AN #99")</f>
        <v>AN #99</v>
      </c>
      <c r="I1283" t="str">
        <f>IFERROR(__xludf.DUMMYFUNCTION("""COMPUTED_VALUE"""),"Rohin")</f>
        <v>Rohin</v>
      </c>
      <c r="J1283" t="str">
        <f>IFERROR(__xludf.DUMMYFUNCTION("""COMPUTED_VALUE"""),"[BERI](http://existence.org/faq) is expanding its offerings to provide free services to a wider set of university-affiliated groups and projects, and they’re now accepting applications from groups and individuals interested in receiving their support. If "&amp;"you’re a member of a research group, or an individual researcher, working on long-termist projects, you can [apply here](http://existence.org/apply).")</f>
        <v>[BERI](http://existence.org/faq) is expanding its offerings to provide free services to a wider set of university-affiliated groups and projects, and they’re now accepting applications from groups and individuals interested in receiving their support. If you’re a member of a research group, or an individual researcher, working on long-termist projects, you can [apply here](http://existence.org/apply).</v>
      </c>
    </row>
    <row r="1284">
      <c r="A1284" t="str">
        <f>IFERROR(__xludf.DUMMYFUNCTION("""COMPUTED_VALUE"""),"News")</f>
        <v>News</v>
      </c>
      <c r="B1284" t="str">
        <f>IFERROR(__xludf.DUMMYFUNCTION("""COMPUTED_VALUE"""),"")</f>
        <v/>
      </c>
      <c r="C1284" s="3" t="str">
        <f>IFERROR(__xludf.DUMMYFUNCTION("""COMPUTED_VALUE"""),"FHI Summer Research Fellowship")</f>
        <v>FHI Summer Research Fellowship</v>
      </c>
      <c r="E1284" t="str">
        <f>IFERROR(__xludf.DUMMYFUNCTION("""COMPUTED_VALUE"""),"FHI Website")</f>
        <v>FHI Website</v>
      </c>
      <c r="F1284">
        <f>IFERROR(__xludf.DUMMYFUNCTION("""COMPUTED_VALUE"""),2020.0)</f>
        <v>2020</v>
      </c>
      <c r="H1284" s="3" t="str">
        <f>IFERROR(__xludf.DUMMYFUNCTION("""COMPUTED_VALUE"""),"AN #89")</f>
        <v>AN #89</v>
      </c>
      <c r="I1284" t="str">
        <f>IFERROR(__xludf.DUMMYFUNCTION("""COMPUTED_VALUE"""),"Rohin")</f>
        <v>Rohin</v>
      </c>
      <c r="J1284" t="str">
        <f>IFERROR(__xludf.DUMMYFUNCTION("""COMPUTED_VALUE"""),"This six week summer fellowship allows fellows to take the lead on a project relevant to the long-term future, working with an FHI Research Scholar. Application deadline is March 22.")</f>
        <v>This six week summer fellowship allows fellows to take the lead on a project relevant to the long-term future, working with an FHI Research Scholar. Application deadline is March 22.</v>
      </c>
    </row>
    <row r="1285">
      <c r="A1285" t="str">
        <f>IFERROR(__xludf.DUMMYFUNCTION("""COMPUTED_VALUE"""),"News")</f>
        <v>News</v>
      </c>
      <c r="B1285" t="str">
        <f>IFERROR(__xludf.DUMMYFUNCTION("""COMPUTED_VALUE"""),"")</f>
        <v/>
      </c>
      <c r="C1285" s="3" t="str">
        <f>IFERROR(__xludf.DUMMYFUNCTION("""COMPUTED_VALUE"""),"Microsoft invests in and partners with OpenAI to support us building beneficial AGI")</f>
        <v>Microsoft invests in and partners with OpenAI to support us building beneficial AGI</v>
      </c>
      <c r="D1285" t="str">
        <f>IFERROR(__xludf.DUMMYFUNCTION("""COMPUTED_VALUE"""),"Greg Brockman")</f>
        <v>Greg Brockman</v>
      </c>
      <c r="E1285" t="str">
        <f>IFERROR(__xludf.DUMMYFUNCTION("""COMPUTED_VALUE"""),"OpenAI Blog")</f>
        <v>OpenAI Blog</v>
      </c>
      <c r="F1285">
        <f>IFERROR(__xludf.DUMMYFUNCTION("""COMPUTED_VALUE"""),2019.0)</f>
        <v>2019</v>
      </c>
      <c r="H1285" s="3" t="str">
        <f>IFERROR(__xludf.DUMMYFUNCTION("""COMPUTED_VALUE"""),"AN #61")</f>
        <v>AN #61</v>
      </c>
      <c r="I1285" t="str">
        <f>IFERROR(__xludf.DUMMYFUNCTION("""COMPUTED_VALUE"""),"Rohin")</f>
        <v>Rohin</v>
      </c>
      <c r="J1285" t="str">
        <f>IFERROR(__xludf.DUMMYFUNCTION("""COMPUTED_VALUE"""),"After moving to a &lt;@capped-profit investment model@&gt;(@OpenAI LP@), Microsoft has invested $1 billion in OpenAI. This allows OpenAI to keep their focus on developing and sharing beneficial AGI: instead of having to create a product to cover costs, they can"&amp;" license their pre-AGI technologies, likely through Microsoft.")</f>
        <v>After moving to a &lt;@capped-profit investment model@&gt;(@OpenAI LP@), Microsoft has invested $1 billion in OpenAI. This allows OpenAI to keep their focus on developing and sharing beneficial AGI: instead of having to create a product to cover costs, they can license their pre-AGI technologies, likely through Microsoft.</v>
      </c>
    </row>
    <row r="1286">
      <c r="A1286" t="str">
        <f>IFERROR(__xludf.DUMMYFUNCTION("""COMPUTED_VALUE"""),"News")</f>
        <v>News</v>
      </c>
      <c r="B1286" t="str">
        <f>IFERROR(__xludf.DUMMYFUNCTION("""COMPUTED_VALUE"""),"")</f>
        <v/>
      </c>
      <c r="C1286" s="3" t="str">
        <f>IFERROR(__xludf.DUMMYFUNCTION("""COMPUTED_VALUE"""),"Funding for Study and Training Related to AI Policy Careers")</f>
        <v>Funding for Study and Training Related to AI Policy Careers</v>
      </c>
      <c r="E1286" t="str">
        <f>IFERROR(__xludf.DUMMYFUNCTION("""COMPUTED_VALUE"""),"Open Phil Website")</f>
        <v>Open Phil Website</v>
      </c>
      <c r="F1286">
        <f>IFERROR(__xludf.DUMMYFUNCTION("""COMPUTED_VALUE"""),2019.0)</f>
        <v>2019</v>
      </c>
      <c r="H1286" s="3" t="str">
        <f>IFERROR(__xludf.DUMMYFUNCTION("""COMPUTED_VALUE"""),"AN #59")</f>
        <v>AN #59</v>
      </c>
      <c r="I1286" t="str">
        <f>IFERROR(__xludf.DUMMYFUNCTION("""COMPUTED_VALUE"""),"Rohin")</f>
        <v>Rohin</v>
      </c>
      <c r="J1286" t="str">
        <f>IFERROR(__xludf.DUMMYFUNCTION("""COMPUTED_VALUE"""),"The Open Philanthropy Project has launched an AI policy scholarships program; the deadline for the first round is October 15.")</f>
        <v>The Open Philanthropy Project has launched an AI policy scholarships program; the deadline for the first round is October 15.</v>
      </c>
    </row>
    <row r="1287">
      <c r="A1287" t="str">
        <f>IFERROR(__xludf.DUMMYFUNCTION("""COMPUTED_VALUE"""),"News")</f>
        <v>News</v>
      </c>
      <c r="B1287" t="str">
        <f>IFERROR(__xludf.DUMMYFUNCTION("""COMPUTED_VALUE"""),"")</f>
        <v/>
      </c>
      <c r="C1287" s="3" t="str">
        <f>IFERROR(__xludf.DUMMYFUNCTION("""COMPUTED_VALUE"""),"SafeML Workshop: Accepted Papers")</f>
        <v>SafeML Workshop: Accepted Papers</v>
      </c>
      <c r="E1287" t="str">
        <f>IFERROR(__xludf.DUMMYFUNCTION("""COMPUTED_VALUE"""),"ICLR")</f>
        <v>ICLR</v>
      </c>
      <c r="F1287">
        <f>IFERROR(__xludf.DUMMYFUNCTION("""COMPUTED_VALUE"""),2019.0)</f>
        <v>2019</v>
      </c>
      <c r="H1287" s="3" t="str">
        <f>IFERROR(__xludf.DUMMYFUNCTION("""COMPUTED_VALUE"""),"AN #54")</f>
        <v>AN #54</v>
      </c>
      <c r="I1287" t="str">
        <f>IFERROR(__xludf.DUMMYFUNCTION("""COMPUTED_VALUE"""),"Rohin")</f>
        <v>Rohin</v>
      </c>
      <c r="J1287" t="str">
        <f>IFERROR(__xludf.DUMMYFUNCTION("""COMPUTED_VALUE"""),"The camera-ready papers from the SafeML workshop are now available! There are a lot of good papers on robustness, adversarial examples, and more that will likely never make it into this newsletter (there's only so much I can read and summarize), so I enco"&amp;"urage you to browse through it yourself.")</f>
        <v>The camera-ready papers from the SafeML workshop are now available! There are a lot of good papers on robustness, adversarial examples, and more that will likely never make it into this newsletter (there's only so much I can read and summarize), so I encourage you to browse through it yourself.</v>
      </c>
    </row>
    <row r="1288">
      <c r="A1288" t="str">
        <f>IFERROR(__xludf.DUMMYFUNCTION("""COMPUTED_VALUE"""),"News")</f>
        <v>News</v>
      </c>
      <c r="B1288" t="str">
        <f>IFERROR(__xludf.DUMMYFUNCTION("""COMPUTED_VALUE"""),"")</f>
        <v/>
      </c>
      <c r="C1288" s="3" t="str">
        <f>IFERROR(__xludf.DUMMYFUNCTION("""COMPUTED_VALUE"""),"Why the world’s leading AI charity decided to take billions from investors")</f>
        <v>Why the world’s leading AI charity decided to take billions from investors</v>
      </c>
      <c r="D1288" t="str">
        <f>IFERROR(__xludf.DUMMYFUNCTION("""COMPUTED_VALUE"""),"Kelsey Piper")</f>
        <v>Kelsey Piper</v>
      </c>
      <c r="E1288" t="str">
        <f>IFERROR(__xludf.DUMMYFUNCTION("""COMPUTED_VALUE"""),"Vox")</f>
        <v>Vox</v>
      </c>
      <c r="F1288">
        <f>IFERROR(__xludf.DUMMYFUNCTION("""COMPUTED_VALUE"""),2019.0)</f>
        <v>2019</v>
      </c>
      <c r="H1288" s="3" t="str">
        <f>IFERROR(__xludf.DUMMYFUNCTION("""COMPUTED_VALUE"""),"AN #54")</f>
        <v>AN #54</v>
      </c>
      <c r="M1288" t="str">
        <f>IFERROR(__xludf.DUMMYFUNCTION("""COMPUTED_VALUE"""),"&lt;@OpenAI LP@&gt;")</f>
        <v>&lt;@OpenAI LP@&gt;</v>
      </c>
    </row>
    <row r="1289">
      <c r="A1289" t="str">
        <f>IFERROR(__xludf.DUMMYFUNCTION("""COMPUTED_VALUE"""),"News")</f>
        <v>News</v>
      </c>
      <c r="B1289" t="str">
        <f>IFERROR(__xludf.DUMMYFUNCTION("""COMPUTED_VALUE"""),"")</f>
        <v/>
      </c>
      <c r="C1289" s="3" t="str">
        <f>IFERROR(__xludf.DUMMYFUNCTION("""COMPUTED_VALUE"""),"OpenAI LP")</f>
        <v>OpenAI LP</v>
      </c>
      <c r="D1289" t="str">
        <f>IFERROR(__xludf.DUMMYFUNCTION("""COMPUTED_VALUE"""),"OpenAI")</f>
        <v>OpenAI</v>
      </c>
      <c r="E1289" t="str">
        <f>IFERROR(__xludf.DUMMYFUNCTION("""COMPUTED_VALUE"""),"OpenAI Blog")</f>
        <v>OpenAI Blog</v>
      </c>
      <c r="F1289">
        <f>IFERROR(__xludf.DUMMYFUNCTION("""COMPUTED_VALUE"""),2019.0)</f>
        <v>2019</v>
      </c>
      <c r="H1289" s="3" t="str">
        <f>IFERROR(__xludf.DUMMYFUNCTION("""COMPUTED_VALUE"""),"AN #52")</f>
        <v>AN #52</v>
      </c>
      <c r="I1289" t="str">
        <f>IFERROR(__xludf.DUMMYFUNCTION("""COMPUTED_VALUE"""),"Richard")</f>
        <v>Richard</v>
      </c>
      <c r="J1289" t="str">
        <f>IFERROR(__xludf.DUMMYFUNCTION("""COMPUTED_VALUE"""),"OpenAI is transitioning to a new structure, consisting of a capped-profit company (OpenAI LP) controlled by the original OpenAI nonprofit organisation. The nonprofit is still dedicated to its charter, which OpenAI LP has a legal duty to prioritise. All in"&amp;"vestors must agree that generating profits for them is a secondary goal, and that their overall returns will be capped at 100x their investment (with any excess going back to the nonprofit).")</f>
        <v>OpenAI is transitioning to a new structure, consisting of a capped-profit company (OpenAI LP) controlled by the original OpenAI nonprofit organisation. The nonprofit is still dedicated to its charter, which OpenAI LP has a legal duty to prioritise. All investors must agree that generating profits for them is a secondary goal, and that their overall returns will be capped at 100x their investment (with any excess going back to the nonprofit).</v>
      </c>
      <c r="K1289" t="str">
        <f>IFERROR(__xludf.DUMMYFUNCTION("""COMPUTED_VALUE"""),"Given the high cost of salaries and compute for machine learning research, I don't find this a particularly surprising development. I'd also note that, in the context of investing in a startup, a 100x return over a timeframe of decades is not actually tha"&amp;"t high.")</f>
        <v>Given the high cost of salaries and compute for machine learning research, I don't find this a particularly surprising development. I'd also note that, in the context of investing in a startup, a 100x return over a timeframe of decades is not actually that high.</v>
      </c>
    </row>
    <row r="1290">
      <c r="A1290" t="str">
        <f>IFERROR(__xludf.DUMMYFUNCTION("""COMPUTED_VALUE"""),"News")</f>
        <v>News</v>
      </c>
      <c r="B1290" t="str">
        <f>IFERROR(__xludf.DUMMYFUNCTION("""COMPUTED_VALUE"""),"")</f>
        <v/>
      </c>
      <c r="C1290" s="3" t="str">
        <f>IFERROR(__xludf.DUMMYFUNCTION("""COMPUTED_VALUE"""),"Q&amp;A with Jason Matheny, Founding Director of CSET")</f>
        <v>Q&amp;A with Jason Matheny, Founding Director of CSET</v>
      </c>
      <c r="D1290" t="str">
        <f>IFERROR(__xludf.DUMMYFUNCTION("""COMPUTED_VALUE"""),"Jason Matheny")</f>
        <v>Jason Matheny</v>
      </c>
      <c r="E1290" t="str">
        <f>IFERROR(__xludf.DUMMYFUNCTION("""COMPUTED_VALUE"""),"Georgetown University Website")</f>
        <v>Georgetown University Website</v>
      </c>
      <c r="F1290">
        <f>IFERROR(__xludf.DUMMYFUNCTION("""COMPUTED_VALUE"""),2019.0)</f>
        <v>2019</v>
      </c>
      <c r="H1290" s="3" t="str">
        <f>IFERROR(__xludf.DUMMYFUNCTION("""COMPUTED_VALUE"""),"AN #48")</f>
        <v>AN #48</v>
      </c>
      <c r="I1290" t="str">
        <f>IFERROR(__xludf.DUMMYFUNCTION("""COMPUTED_VALUE"""),"Rohin")</f>
        <v>Rohin</v>
      </c>
      <c r="J1290" t="str">
        <f>IFERROR(__xludf.DUMMYFUNCTION("""COMPUTED_VALUE"""),"The [Center for Security and Emerging Technology](https://cset.georgetown.edu/) has been announced, with a [$55 million grant from the Open Philanthropy Project](https://www.openphilanthropy.org/giving/grants/georgetown-university-center-security-and-emer"&amp;"ging-technology), and is [hiring](https://cset.georgetown.edu/careers/). While the center will work on emerging technologies generally, it will initially focus on AI, since demand for AI policy analysis has far outpaced supply.
One area of focus is the i"&amp;"mplications of AI on national and international security. Current AI systems are brittle and can easily be fooled, implying several safety and security challenges. What are these challenges, and how important are they? How can we make systems that are mor"&amp;"e robust and mitigate these problems?
Another area is how to enable effective competition on AI in a global environment, while also cooperating on issues of safety, security and ethics? This will likely require measurement of investment flows, publicatio"&amp;"ns, data and hardware across countries, as well as management of talent and knowledge workflows.
See also [Import AI](https://jack-clark.net/2019/03/04/import-ai-136-what-machine-learning-power-infrastructure-means-for-humanity-new-gca-benchmarkdataset-c"&amp;"hallenges-image-captioning-systems-and-google-uses-frankenrl-to-create-more-mobile-robot/).")</f>
        <v>The [Center for Security and Emerging Technology](https://cset.georgetown.edu/) has been announced, with a [$55 million grant from the Open Philanthropy Project](https://www.openphilanthropy.org/giving/grants/georgetown-university-center-security-and-emerging-technology), and is [hiring](https://cset.georgetown.edu/careers/). While the center will work on emerging technologies generally, it will initially focus on AI, since demand for AI policy analysis has far outpaced supply.
One area of focus is the implications of AI on national and international security. Current AI systems are brittle and can easily be fooled, implying several safety and security challenges. What are these challenges, and how important are they? How can we make systems that are more robust and mitigate these problems?
Another area is how to enable effective competition on AI in a global environment, while also cooperating on issues of safety, security and ethics? This will likely require measurement of investment flows, publications, data and hardware across countries, as well as management of talent and knowledge workflows.
See also [Import AI](https://jack-clark.net/2019/03/04/import-ai-136-what-machine-learning-power-infrastructure-means-for-humanity-new-gca-benchmarkdataset-challenges-image-captioning-systems-and-google-uses-frankenrl-to-create-more-mobile-robot/).</v>
      </c>
      <c r="K1290" t="str">
        <f>IFERROR(__xludf.DUMMYFUNCTION("""COMPUTED_VALUE"""),"It's great to see a center for AI policy that's run by a person who has wanted to consume AI policy analysis in the past (Jason Matheny was previously the director of IARPA). It's interesting to see the areas he focuses on in this Q&amp;A -- it's not what I w"&amp;"ould have expected given my very little knowledge of AI policy.")</f>
        <v>It's great to see a center for AI policy that's run by a person who has wanted to consume AI policy analysis in the past (Jason Matheny was previously the director of IARPA). It's interesting to see the areas he focuses on in this Q&amp;A -- it's not what I would have expected given my very little knowledge of AI policy.</v>
      </c>
    </row>
    <row r="1291">
      <c r="A1291" t="str">
        <f>IFERROR(__xludf.DUMMYFUNCTION("""COMPUTED_VALUE"""),"News")</f>
        <v>News</v>
      </c>
      <c r="B1291" t="str">
        <f>IFERROR(__xludf.DUMMYFUNCTION("""COMPUTED_VALUE"""),"")</f>
        <v/>
      </c>
      <c r="C1291" s="3" t="str">
        <f>IFERROR(__xludf.DUMMYFUNCTION("""COMPUTED_VALUE"""),"Governance of AI Fellowship")</f>
        <v>Governance of AI Fellowship</v>
      </c>
      <c r="D1291" t="str">
        <f>IFERROR(__xludf.DUMMYFUNCTION("""COMPUTED_VALUE"""),"Markus Anderljung")</f>
        <v>Markus Anderljung</v>
      </c>
      <c r="E1291" t="str">
        <f>IFERROR(__xludf.DUMMYFUNCTION("""COMPUTED_VALUE"""),"FHI Website")</f>
        <v>FHI Website</v>
      </c>
      <c r="F1291">
        <f>IFERROR(__xludf.DUMMYFUNCTION("""COMPUTED_VALUE"""),2019.0)</f>
        <v>2019</v>
      </c>
      <c r="H1291" s="3" t="str">
        <f>IFERROR(__xludf.DUMMYFUNCTION("""COMPUTED_VALUE"""),"AN #45")</f>
        <v>AN #45</v>
      </c>
      <c r="I1291" t="str">
        <f>IFERROR(__xludf.DUMMYFUNCTION("""COMPUTED_VALUE"""),"Rohin")</f>
        <v>Rohin</v>
      </c>
      <c r="J1291" t="str">
        <f>IFERROR(__xludf.DUMMYFUNCTION("""COMPUTED_VALUE"""),"The Center for the Governance of AI is looking for a few fellows to work for around 3 months on AI governance research. They expect that fellows will be at the level of PhD students or postdocs, though there are no strict requirements. The first round app"&amp;"lication deadline is Feb 28, and the second round application deadline is Mar 28.")</f>
        <v>The Center for the Governance of AI is looking for a few fellows to work for around 3 months on AI governance research. They expect that fellows will be at the level of PhD students or postdocs, though there are no strict requirements. The first round application deadline is Feb 28, and the second round application deadline is Mar 28.</v>
      </c>
    </row>
    <row r="1292">
      <c r="A1292" t="str">
        <f>IFERROR(__xludf.DUMMYFUNCTION("""COMPUTED_VALUE"""),"News")</f>
        <v>News</v>
      </c>
      <c r="B1292" t="str">
        <f>IFERROR(__xludf.DUMMYFUNCTION("""COMPUTED_VALUE"""),"")</f>
        <v/>
      </c>
      <c r="C1292" s="3" t="str">
        <f>IFERROR(__xludf.DUMMYFUNCTION("""COMPUTED_VALUE"""),"SafeML ICLR 2019 Call for Papers")</f>
        <v>SafeML ICLR 2019 Call for Papers</v>
      </c>
      <c r="D1292" t="str">
        <f>IFERROR(__xludf.DUMMYFUNCTION("""COMPUTED_VALUE"""),"Victoria Krakovna")</f>
        <v>Victoria Krakovna</v>
      </c>
      <c r="E1292" t="str">
        <f>IFERROR(__xludf.DUMMYFUNCTION("""COMPUTED_VALUE"""),"ICLR 2019")</f>
        <v>ICLR 2019</v>
      </c>
      <c r="F1292">
        <f>IFERROR(__xludf.DUMMYFUNCTION("""COMPUTED_VALUE"""),2019.0)</f>
        <v>2019</v>
      </c>
      <c r="H1292" s="3" t="str">
        <f>IFERROR(__xludf.DUMMYFUNCTION("""COMPUTED_VALUE"""),"AN #43")</f>
        <v>AN #43</v>
      </c>
      <c r="I1292" t="str">
        <f>IFERROR(__xludf.DUMMYFUNCTION("""COMPUTED_VALUE"""),"Rohin")</f>
        <v>Rohin</v>
      </c>
      <c r="J1292" t="str">
        <f>IFERROR(__xludf.DUMMYFUNCTION("""COMPUTED_VALUE"""),"The SafeML workshop has a paper submission deadline of Feb 22, and is looking for papers on specification, robustness and assurance (based on [Building safe artificial intelligence: specification, robustness, and assurance](https://medium.com/@deepmindsaf"&amp;"etyresearch/building-safe-artificial-intelligence-52f5f75058f1) ([AN #26](https://mailchi.mp/1ecd1b775703/alignment-newsletter-26))).")</f>
        <v>The SafeML workshop has a paper submission deadline of Feb 22, and is looking for papers on specification, robustness and assurance (based on [Building safe artificial intelligence: specification, robustness, and assurance](https://medium.com/@deepmindsafetyresearch/building-safe-artificial-intelligence-52f5f75058f1) ([AN #26](https://mailchi.mp/1ecd1b775703/alignment-newsletter-26))).</v>
      </c>
    </row>
    <row r="1293">
      <c r="A1293" t="str">
        <f>IFERROR(__xludf.DUMMYFUNCTION("""COMPUTED_VALUE"""),"News")</f>
        <v>News</v>
      </c>
      <c r="B1293" t="str">
        <f>IFERROR(__xludf.DUMMYFUNCTION("""COMPUTED_VALUE"""),"")</f>
        <v/>
      </c>
      <c r="C1293" s="3" t="str">
        <f>IFERROR(__xludf.DUMMYFUNCTION("""COMPUTED_VALUE"""),"Olsson to Join the Open Philanthropy Project")</f>
        <v>Olsson to Join the Open Philanthropy Project</v>
      </c>
      <c r="E1293" t="str">
        <f>IFERROR(__xludf.DUMMYFUNCTION("""COMPUTED_VALUE"""),"Twitter")</f>
        <v>Twitter</v>
      </c>
      <c r="F1293">
        <f>IFERROR(__xludf.DUMMYFUNCTION("""COMPUTED_VALUE"""),2019.0)</f>
        <v>2019</v>
      </c>
      <c r="H1293" s="3" t="str">
        <f>IFERROR(__xludf.DUMMYFUNCTION("""COMPUTED_VALUE"""),"AN #42")</f>
        <v>AN #42</v>
      </c>
      <c r="I1293" t="str">
        <f>IFERROR(__xludf.DUMMYFUNCTION("""COMPUTED_VALUE"""),"Dan H")</f>
        <v>Dan H</v>
      </c>
      <c r="J1293" t="str">
        <f>IFERROR(__xludf.DUMMYFUNCTION("""COMPUTED_VALUE"""),"Catherine Olsson‏, a researcher at Google Brain who was previously at OpenAI, will be joining the Open Philanthropy Project to focus on grant making for reducing x-risk from advanced AI. Given her first-hand research experience, she has knowledge of the d"&amp;"ynamics of research groups and a nuanced understanding of various safety subproblems. Congratulations to both her and OpenPhil.")</f>
        <v>Catherine Olsson‏, a researcher at Google Brain who was previously at OpenAI, will be joining the Open Philanthropy Project to focus on grant making for reducing x-risk from advanced AI. Given her first-hand research experience, she has knowledge of the dynamics of research groups and a nuanced understanding of various safety subproblems. Congratulations to both her and OpenPhil.</v>
      </c>
    </row>
    <row r="1294">
      <c r="A1294" t="str">
        <f>IFERROR(__xludf.DUMMYFUNCTION("""COMPUTED_VALUE"""),"News")</f>
        <v>News</v>
      </c>
      <c r="B1294" t="str">
        <f>IFERROR(__xludf.DUMMYFUNCTION("""COMPUTED_VALUE"""),"")</f>
        <v/>
      </c>
      <c r="C1294" s="3" t="str">
        <f>IFERROR(__xludf.DUMMYFUNCTION("""COMPUTED_VALUE"""),"Job ad: DeepMind Long-term Strategy &amp; Governance Research Scientist")</f>
        <v>Job ad: DeepMind Long-term Strategy &amp; Governance Research Scientist</v>
      </c>
      <c r="F1294">
        <f>IFERROR(__xludf.DUMMYFUNCTION("""COMPUTED_VALUE"""),2022.0)</f>
        <v>2022</v>
      </c>
      <c r="H1294" t="str">
        <f>IFERROR(__xludf.DUMMYFUNCTION("""COMPUTED_VALUE"""),"AN #173")</f>
        <v>AN #173</v>
      </c>
      <c r="I1294" t="str">
        <f>IFERROR(__xludf.DUMMYFUNCTION("""COMPUTED_VALUE"""),"Rohin")</f>
        <v>Rohin</v>
      </c>
      <c r="J1294" t="str">
        <f>IFERROR(__xludf.DUMMYFUNCTION("""COMPUTED_VALUE"""),"The Long-term Strategy and Governance Team at DeepMind works to build recommendations for better governance of AI, identifying actions, norms, and institutional structures that could improve decision-making around advanced AI. They are seeking a broad ran"&amp;"ge of expertise including: global governance of science and powerful technologies; the technical landscape; safety-critical organisations; political economy of large general models and AI services. The application deadline is August 1st.
Also, [the Align"&amp;"ment and Scalable Alignment teams at DeepMind are hiring](https://www.alignmentforum.org/posts/nzmCvRvPm4xJuqztv/deepmind-is-hiring-for-the-scalable-alignment-and-alignment), though some of the applications are closed at this point.")</f>
        <v>The Long-term Strategy and Governance Team at DeepMind works to build recommendations for better governance of AI, identifying actions, norms, and institutional structures that could improve decision-making around advanced AI. They are seeking a broad range of expertise including: global governance of science and powerful technologies; the technical landscape; safety-critical organisations; political economy of large general models and AI services. The application deadline is August 1st.
Also, [the Alignment and Scalable Alignment teams at DeepMind are hiring](https://www.alignmentforum.org/posts/nzmCvRvPm4xJuqztv/deepmind-is-hiring-for-the-scalable-alignment-and-alignment), though some of the applications are closed at this point.</v>
      </c>
    </row>
    <row r="1295">
      <c r="A1295" t="str">
        <f>IFERROR(__xludf.DUMMYFUNCTION("""COMPUTED_VALUE"""),"News")</f>
        <v>News</v>
      </c>
      <c r="B1295" t="str">
        <f>IFERROR(__xludf.DUMMYFUNCTION("""COMPUTED_VALUE"""),"")</f>
        <v/>
      </c>
      <c r="C1295" s="3" t="str">
        <f>IFERROR(__xludf.DUMMYFUNCTION("""COMPUTED_VALUE"""),"Job ads: Anthropic")</f>
        <v>Job ads: Anthropic</v>
      </c>
      <c r="E1295" t="str">
        <f>IFERROR(__xludf.DUMMYFUNCTION("""COMPUTED_VALUE"""),"Anthropic Website")</f>
        <v>Anthropic Website</v>
      </c>
      <c r="F1295">
        <f>IFERROR(__xludf.DUMMYFUNCTION("""COMPUTED_VALUE"""),2022.0)</f>
        <v>2022</v>
      </c>
      <c r="H1295" t="str">
        <f>IFERROR(__xludf.DUMMYFUNCTION("""COMPUTED_VALUE"""),"AN #173")</f>
        <v>AN #173</v>
      </c>
      <c r="I1295" t="str">
        <f>IFERROR(__xludf.DUMMYFUNCTION("""COMPUTED_VALUE"""),"Rohin")</f>
        <v>Rohin</v>
      </c>
      <c r="J1295" t="str">
        <f>IFERROR(__xludf.DUMMYFUNCTION("""COMPUTED_VALUE"""),"Anthropic is hiring for a large number of roles (I count 19 different ones as of the time of writing).")</f>
        <v>Anthropic is hiring for a large number of roles (I count 19 different ones as of the time of writing).</v>
      </c>
    </row>
    <row r="1296">
      <c r="A1296" t="str">
        <f>IFERROR(__xludf.DUMMYFUNCTION("""COMPUTED_VALUE"""),"News")</f>
        <v>News</v>
      </c>
      <c r="B1296" t="str">
        <f>IFERROR(__xludf.DUMMYFUNCTION("""COMPUTED_VALUE"""),"")</f>
        <v/>
      </c>
      <c r="C1296" s="3" t="str">
        <f>IFERROR(__xludf.DUMMYFUNCTION("""COMPUTED_VALUE"""),"Job ad: Deputy Director at BERI")</f>
        <v>Job ad: Deputy Director at BERI</v>
      </c>
      <c r="D1296" t="str">
        <f>IFERROR(__xludf.DUMMYFUNCTION("""COMPUTED_VALUE"""),"Sawyer Bernath")</f>
        <v>Sawyer Bernath</v>
      </c>
      <c r="E1296" t="str">
        <f>IFERROR(__xludf.DUMMYFUNCTION("""COMPUTED_VALUE"""),"EA Forum")</f>
        <v>EA Forum</v>
      </c>
      <c r="F1296">
        <f>IFERROR(__xludf.DUMMYFUNCTION("""COMPUTED_VALUE"""),2022.0)</f>
        <v>2022</v>
      </c>
      <c r="H1296" t="str">
        <f>IFERROR(__xludf.DUMMYFUNCTION("""COMPUTED_VALUE"""),"AN #173")</f>
        <v>AN #173</v>
      </c>
      <c r="I1296" t="str">
        <f>IFERROR(__xludf.DUMMYFUNCTION("""COMPUTED_VALUE"""),"Rohin")</f>
        <v>Rohin</v>
      </c>
      <c r="J1296" t="str">
        <f>IFERROR(__xludf.DUMMYFUNCTION("""COMPUTED_VALUE"""),"The Berkeley Existential Risk Initiative (BERI) is hiring a Deputy Director. Applications will be evaluated on a rolling basis.")</f>
        <v>The Berkeley Existential Risk Initiative (BERI) is hiring a Deputy Director. Applications will be evaluated on a rolling basis.</v>
      </c>
    </row>
    <row r="1297">
      <c r="A1297" t="str">
        <f>IFERROR(__xludf.DUMMYFUNCTION("""COMPUTED_VALUE"""),"News")</f>
        <v>News</v>
      </c>
      <c r="B1297" t="str">
        <f>IFERROR(__xludf.DUMMYFUNCTION("""COMPUTED_VALUE"""),"")</f>
        <v/>
      </c>
      <c r="C1297" t="str">
        <f>IFERROR(__xludf.DUMMYFUNCTION("""COMPUTED_VALUE"""),"Job ads: Centre for the Governance of AI")</f>
        <v>Job ads: Centre for the Governance of AI</v>
      </c>
      <c r="E1297" t="str">
        <f>IFERROR(__xludf.DUMMYFUNCTION("""COMPUTED_VALUE"""),"GovAI Website")</f>
        <v>GovAI Website</v>
      </c>
      <c r="F1297">
        <f>IFERROR(__xludf.DUMMYFUNCTION("""COMPUTED_VALUE"""),2022.0)</f>
        <v>2022</v>
      </c>
      <c r="H1297" t="str">
        <f>IFERROR(__xludf.DUMMYFUNCTION("""COMPUTED_VALUE"""),"AN #173")</f>
        <v>AN #173</v>
      </c>
      <c r="I1297" t="str">
        <f>IFERROR(__xludf.DUMMYFUNCTION("""COMPUTED_VALUE"""),"Rohin")</f>
        <v>Rohin</v>
      </c>
      <c r="J1297" t="str">
        <f>IFERROR(__xludf.DUMMYFUNCTION("""COMPUTED_VALUE"""),"The Centre for the Governance of AI has several roles open, including Research Scholars ([General Track](https://www.governance.ai/post/research-scholar-general-track) and [Policy Track](https://www.governance.ai/post/research-scholar-policy-track)), [Sur"&amp;"vey Analyst](https://www.governance.ai/post/survey-analyst), and [three month fellowships](https://www.governance.ai/post/summer-and-winter-fellowships). The application deadlines are in the August 1 - 10 range.")</f>
        <v>The Centre for the Governance of AI has several roles open, including Research Scholars ([General Track](https://www.governance.ai/post/research-scholar-general-track) and [Policy Track](https://www.governance.ai/post/research-scholar-policy-track)), [Survey Analyst](https://www.governance.ai/post/survey-analyst), and [three month fellowships](https://www.governance.ai/post/summer-and-winter-fellowships). The application deadlines are in the August 1 - 10 range.</v>
      </c>
    </row>
    <row r="1298">
      <c r="A1298" t="str">
        <f>IFERROR(__xludf.DUMMYFUNCTION("""COMPUTED_VALUE"""),"News")</f>
        <v>News</v>
      </c>
      <c r="B1298" t="str">
        <f>IFERROR(__xludf.DUMMYFUNCTION("""COMPUTED_VALUE"""),"")</f>
        <v/>
      </c>
      <c r="C1298" s="3" t="str">
        <f>IFERROR(__xludf.DUMMYFUNCTION("""COMPUTED_VALUE"""),"Survey on AI alignment resources")</f>
        <v>Survey on AI alignment resources</v>
      </c>
      <c r="D1298" t="str">
        <f>IFERROR(__xludf.DUMMYFUNCTION("""COMPUTED_VALUE"""),"Anonymous")</f>
        <v>Anonymous</v>
      </c>
      <c r="E1298" t="str">
        <f>IFERROR(__xludf.DUMMYFUNCTION("""COMPUTED_VALUE"""),"GuidedTrack")</f>
        <v>GuidedTrack</v>
      </c>
      <c r="F1298">
        <f>IFERROR(__xludf.DUMMYFUNCTION("""COMPUTED_VALUE"""),2022.0)</f>
        <v>2022</v>
      </c>
      <c r="H1298" s="3" t="str">
        <f>IFERROR(__xludf.DUMMYFUNCTION("""COMPUTED_VALUE"""),"AN #172")</f>
        <v>AN #172</v>
      </c>
      <c r="I1298" t="str">
        <f>IFERROR(__xludf.DUMMYFUNCTION("""COMPUTED_VALUE"""),"Rohin")</f>
        <v>Rohin</v>
      </c>
      <c r="J1298" t="str">
        <f>IFERROR(__xludf.DUMMYFUNCTION("""COMPUTED_VALUE"""),"This survey is being run by an outside collaborator in partnership with the Centre for Effective Altruism (CEA). They ask that you fill it out to help field builders find out which resources you have found most useful for learning about and/or keeping tra"&amp;"ck of the AI alignment field. Results will help inform which resources to promote in the future, and what type of resources we should make more of.")</f>
        <v>This survey is being run by an outside collaborator in partnership with the Centre for Effective Altruism (CEA). They ask that you fill it out to help field builders find out which resources you have found most useful for learning about and/or keeping track of the AI alignment field. Results will help inform which resources to promote in the future, and what type of resources we should make more of.</v>
      </c>
    </row>
    <row r="1299">
      <c r="A1299" t="str">
        <f>IFERROR(__xludf.DUMMYFUNCTION("""COMPUTED_VALUE"""),"News")</f>
        <v>News</v>
      </c>
      <c r="B1299" t="str">
        <f>IFERROR(__xludf.DUMMYFUNCTION("""COMPUTED_VALUE"""),"")</f>
        <v/>
      </c>
      <c r="C1299" s="3" t="str">
        <f>IFERROR(__xludf.DUMMYFUNCTION("""COMPUTED_VALUE"""),"Announcing the Inverse Scaling Prize ($250k Prize Pool)")</f>
        <v>Announcing the Inverse Scaling Prize ($250k Prize Pool)</v>
      </c>
      <c r="D1299" t="str">
        <f>IFERROR(__xludf.DUMMYFUNCTION("""COMPUTED_VALUE"""),"Ethan Perez, Ian McKenzie, Sam Bowman")</f>
        <v>Ethan Perez, Ian McKenzie, Sam Bowman</v>
      </c>
      <c r="E1299" t="str">
        <f>IFERROR(__xludf.DUMMYFUNCTION("""COMPUTED_VALUE"""),"Alignment Forum")</f>
        <v>Alignment Forum</v>
      </c>
      <c r="F1299">
        <f>IFERROR(__xludf.DUMMYFUNCTION("""COMPUTED_VALUE"""),2022.0)</f>
        <v>2022</v>
      </c>
      <c r="H1299" s="3" t="str">
        <f>IFERROR(__xludf.DUMMYFUNCTION("""COMPUTED_VALUE"""),"AN #172")</f>
        <v>AN #172</v>
      </c>
      <c r="I1299" t="str">
        <f>IFERROR(__xludf.DUMMYFUNCTION("""COMPUTED_VALUE"""),"Rohin")</f>
        <v>Rohin</v>
      </c>
      <c r="J1299" t="str">
        <f>IFERROR(__xludf.DUMMYFUNCTION("""COMPUTED_VALUE"""),"This prize with a $250k prize pool asks participants to find new examples of tasks where pretrained language models exhibit _inverse scaling_: that is, models get _worse_ at the task as they are scaled up. Notably, you do not need to know how to program t"&amp;"o participate: a submission consists solely of a dataset giving at least 300 examples of the task.
Inverse scaling is particularly relevant to AI alignment, for two main reasons. First, it directly helps understand how the language modeling objective ("""&amp;"predict the next word"") is outer misaligned, as we are finding tasks where models that do better according to the language modeling objective do worse on the task of interest. Second, the experience from examining inverse scaling tasks could lead to gene"&amp;"ral observations about how best to detect misalignment.")</f>
        <v>This prize with a $250k prize pool asks participants to find new examples of tasks where pretrained language models exhibit _inverse scaling_: that is, models get _worse_ at the task as they are scaled up. Notably, you do not need to know how to program to participate: a submission consists solely of a dataset giving at least 300 examples of the task.
Inverse scaling is particularly relevant to AI alignment, for two main reasons. First, it directly helps understand how the language modeling objective ("predict the next word") is outer misaligned, as we are finding tasks where models that do better according to the language modeling objective do worse on the task of interest. Second, the experience from examining inverse scaling tasks could lead to general observations about how best to detect misalignment.</v>
      </c>
    </row>
    <row r="1300">
      <c r="A1300" t="str">
        <f>IFERROR(__xludf.DUMMYFUNCTION("""COMPUTED_VALUE"""),"News")</f>
        <v>News</v>
      </c>
      <c r="B1300" t="str">
        <f>IFERROR(__xludf.DUMMYFUNCTION("""COMPUTED_VALUE"""),"")</f>
        <v/>
      </c>
      <c r="C1300" s="3" t="str">
        <f>IFERROR(__xludf.DUMMYFUNCTION("""COMPUTED_VALUE"""),"Job ad: Bowman Group Open Research Positions")</f>
        <v>Job ad: Bowman Group Open Research Positions</v>
      </c>
      <c r="D1300" t="str">
        <f>IFERROR(__xludf.DUMMYFUNCTION("""COMPUTED_VALUE"""),"Sam Bowman")</f>
        <v>Sam Bowman</v>
      </c>
      <c r="E1300" t="str">
        <f>IFERROR(__xludf.DUMMYFUNCTION("""COMPUTED_VALUE"""),"Google Docs")</f>
        <v>Google Docs</v>
      </c>
      <c r="F1300">
        <f>IFERROR(__xludf.DUMMYFUNCTION("""COMPUTED_VALUE"""),2022.0)</f>
        <v>2022</v>
      </c>
      <c r="H1300" s="3" t="str">
        <f>IFERROR(__xludf.DUMMYFUNCTION("""COMPUTED_VALUE"""),"AN #172")</f>
        <v>AN #172</v>
      </c>
      <c r="I1300" t="str">
        <f>IFERROR(__xludf.DUMMYFUNCTION("""COMPUTED_VALUE"""),"Rohin")</f>
        <v>Rohin</v>
      </c>
      <c r="J1300" t="str">
        <f>IFERROR(__xludf.DUMMYFUNCTION("""COMPUTED_VALUE"""),"Sam Bowman is looking for people to join a research center at NYU that'll focus on empirical alignment work, primarily on large language models. There are a variety of roles to apply for (depending primarily on how much research experience you already hav"&amp;"e).")</f>
        <v>Sam Bowman is looking for people to join a research center at NYU that'll focus on empirical alignment work, primarily on large language models. There are a variety of roles to apply for (depending primarily on how much research experience you already have).</v>
      </c>
    </row>
    <row r="1301">
      <c r="A1301" t="str">
        <f>IFERROR(__xludf.DUMMYFUNCTION("""COMPUTED_VALUE"""),"News")</f>
        <v>News</v>
      </c>
      <c r="B1301" t="str">
        <f>IFERROR(__xludf.DUMMYFUNCTION("""COMPUTED_VALUE"""),"")</f>
        <v/>
      </c>
      <c r="C1301" s="3" t="str">
        <f>IFERROR(__xludf.DUMMYFUNCTION("""COMPUTED_VALUE"""),"Job ads: Redwood Research")</f>
        <v>Job ads: Redwood Research</v>
      </c>
      <c r="E1301" t="str">
        <f>IFERROR(__xludf.DUMMYFUNCTION("""COMPUTED_VALUE"""),"Redwood Website")</f>
        <v>Redwood Website</v>
      </c>
      <c r="F1301">
        <f>IFERROR(__xludf.DUMMYFUNCTION("""COMPUTED_VALUE"""),2022.0)</f>
        <v>2022</v>
      </c>
      <c r="H1301" s="3" t="str">
        <f>IFERROR(__xludf.DUMMYFUNCTION("""COMPUTED_VALUE"""),"AN #172")</f>
        <v>AN #172</v>
      </c>
      <c r="I1301" t="str">
        <f>IFERROR(__xludf.DUMMYFUNCTION("""COMPUTED_VALUE"""),"Rohin")</f>
        <v>Rohin</v>
      </c>
      <c r="J1301" t="str">
        <f>IFERROR(__xludf.DUMMYFUNCTION("""COMPUTED_VALUE"""),"Redwood Research works directly on AI alignment research, and hosts and operates Constellation, a shared office space for longtermist organizations including ARC, MIRI, and Open Philanthropy. They are hiring for a number of operations and technical roles.")</f>
        <v>Redwood Research works directly on AI alignment research, and hosts and operates Constellation, a shared office space for longtermist organizations including ARC, MIRI, and Open Philanthropy. They are hiring for a number of operations and technical roles.</v>
      </c>
    </row>
    <row r="1302">
      <c r="A1302" t="str">
        <f>IFERROR(__xludf.DUMMYFUNCTION("""COMPUTED_VALUE"""),"News")</f>
        <v>News</v>
      </c>
      <c r="B1302" t="str">
        <f>IFERROR(__xludf.DUMMYFUNCTION("""COMPUTED_VALUE"""),"")</f>
        <v/>
      </c>
      <c r="C1302" s="3" t="str">
        <f>IFERROR(__xludf.DUMMYFUNCTION("""COMPUTED_VALUE"""),"Visible Thoughts Project and Bounty Announcement")</f>
        <v>Visible Thoughts Project and Bounty Announcement</v>
      </c>
      <c r="D1302" t="str">
        <f>IFERROR(__xludf.DUMMYFUNCTION("""COMPUTED_VALUE"""),"Nate Soares")</f>
        <v>Nate Soares</v>
      </c>
      <c r="E1302" t="str">
        <f>IFERROR(__xludf.DUMMYFUNCTION("""COMPUTED_VALUE"""),"Alignment Forum")</f>
        <v>Alignment Forum</v>
      </c>
      <c r="F1302">
        <f>IFERROR(__xludf.DUMMYFUNCTION("""COMPUTED_VALUE"""),2021.0)</f>
        <v>2021</v>
      </c>
      <c r="H1302" s="3" t="str">
        <f>IFERROR(__xludf.DUMMYFUNCTION("""COMPUTED_VALUE"""),"AN #171")</f>
        <v>AN #171</v>
      </c>
      <c r="I1302" t="str">
        <f>IFERROR(__xludf.DUMMYFUNCTION("""COMPUTED_VALUE"""),"Rohin")</f>
        <v>Rohin</v>
      </c>
      <c r="J1302" t="str">
        <f>IFERROR(__xludf.DUMMYFUNCTION("""COMPUTED_VALUE"""),"MIRI would like to test whether language models can be made more understandable by training them to produce visible thoughts. As part of this project, they need a dataset of thought-annotated dungeon runs. They are offering $200,000 in prizes for building"&amp;" the first fragments of the dataset, plus an additional $1M prize/budget for anyone who demonstrates the ability to build a larger dataset at scale.")</f>
        <v>MIRI would like to test whether language models can be made more understandable by training them to produce visible thoughts. As part of this project, they need a dataset of thought-annotated dungeon runs. They are offering $200,000 in prizes for building the first fragments of the dataset, plus an additional $1M prize/budget for anyone who demonstrates the ability to build a larger dataset at scale.</v>
      </c>
    </row>
    <row r="1303">
      <c r="A1303" t="str">
        <f>IFERROR(__xludf.DUMMYFUNCTION("""COMPUTED_VALUE"""),"News")</f>
        <v>News</v>
      </c>
      <c r="B1303" t="str">
        <f>IFERROR(__xludf.DUMMYFUNCTION("""COMPUTED_VALUE"""),"")</f>
        <v/>
      </c>
      <c r="C1303" s="3" t="str">
        <f>IFERROR(__xludf.DUMMYFUNCTION("""COMPUTED_VALUE"""),"Prizes for ELK proposals")</f>
        <v>Prizes for ELK proposals</v>
      </c>
      <c r="D1303" t="str">
        <f>IFERROR(__xludf.DUMMYFUNCTION("""COMPUTED_VALUE"""),"Paul Christiano")</f>
        <v>Paul Christiano</v>
      </c>
      <c r="E1303" t="str">
        <f>IFERROR(__xludf.DUMMYFUNCTION("""COMPUTED_VALUE"""),"Alignment Forum")</f>
        <v>Alignment Forum</v>
      </c>
      <c r="F1303">
        <f>IFERROR(__xludf.DUMMYFUNCTION("""COMPUTED_VALUE"""),2022.0)</f>
        <v>2022</v>
      </c>
      <c r="H1303" s="3" t="str">
        <f>IFERROR(__xludf.DUMMYFUNCTION("""COMPUTED_VALUE"""),"AN #171")</f>
        <v>AN #171</v>
      </c>
      <c r="I1303" t="str">
        <f>IFERROR(__xludf.DUMMYFUNCTION("""COMPUTED_VALUE"""),"Rohin")</f>
        <v>Rohin</v>
      </c>
      <c r="J1303" t="str">
        <f>IFERROR(__xludf.DUMMYFUNCTION("""COMPUTED_VALUE"""),"The Alignment Research Center (ARC) recently published a technical report on Eliciting Latent Knowledge (ELK). They are offering prizes of $5,000 to $50,000 for proposed strategies that tackle ELK. The deadline is the end of January.")</f>
        <v>The Alignment Research Center (ARC) recently published a technical report on Eliciting Latent Knowledge (ELK). They are offering prizes of $5,000 to $50,000 for proposed strategies that tackle ELK. The deadline is the end of January.</v>
      </c>
      <c r="K1303" t="str">
        <f>IFERROR(__xludf.DUMMYFUNCTION("""COMPUTED_VALUE"""),"I think this is a particularly good contest to try to test your fit with (a certain kind of) theoretical alignment research: even if you don't have much background, you can plausibly get up to speed in tens of hours. I will also try to summarize ELK next "&amp;"week, but no promises.")</f>
        <v>I think this is a particularly good contest to try to test your fit with (a certain kind of) theoretical alignment research: even if you don't have much background, you can plausibly get up to speed in tens of hours. I will also try to summarize ELK next week, but no promises.</v>
      </c>
    </row>
    <row r="1304">
      <c r="A1304" t="str">
        <f>IFERROR(__xludf.DUMMYFUNCTION("""COMPUTED_VALUE"""),"News")</f>
        <v>News</v>
      </c>
      <c r="B1304" t="str">
        <f>IFERROR(__xludf.DUMMYFUNCTION("""COMPUTED_VALUE"""),"")</f>
        <v/>
      </c>
      <c r="C1304" s="3" t="str">
        <f>IFERROR(__xludf.DUMMYFUNCTION("""COMPUTED_VALUE"""),"Worldbuilding Contest")</f>
        <v>Worldbuilding Contest</v>
      </c>
      <c r="F1304">
        <f>IFERROR(__xludf.DUMMYFUNCTION("""COMPUTED_VALUE"""),2021.0)</f>
        <v>2021</v>
      </c>
      <c r="H1304" s="3" t="str">
        <f>IFERROR(__xludf.DUMMYFUNCTION("""COMPUTED_VALUE"""),"AN #171")</f>
        <v>AN #171</v>
      </c>
      <c r="I1304" t="str">
        <f>IFERROR(__xludf.DUMMYFUNCTION("""COMPUTED_VALUE"""),"Rohin")</f>
        <v>Rohin</v>
      </c>
      <c r="J1304" t="str">
        <f>IFERROR(__xludf.DUMMYFUNCTION("""COMPUTED_VALUE"""),"FLI invites individuals and teams to compete for a prize purse worth $100,000+ by designing visions of a plausible, aspirational future including artificial general intelligence. The deadline for submissions is April 15.")</f>
        <v>FLI invites individuals and teams to compete for a prize purse worth $100,000+ by designing visions of a plausible, aspirational future including artificial general intelligence. The deadline for submissions is April 15.</v>
      </c>
      <c r="M1304" s="3" t="str">
        <f>IFERROR(__xludf.DUMMYFUNCTION("""COMPUTED_VALUE"""),"FLI launches Worldbuilding Contest with $100,000 in prizes")</f>
        <v>FLI launches Worldbuilding Contest with $100,000 in prizes</v>
      </c>
    </row>
    <row r="1305">
      <c r="A1305" t="str">
        <f>IFERROR(__xludf.DUMMYFUNCTION("""COMPUTED_VALUE"""),"News")</f>
        <v>News</v>
      </c>
      <c r="B1305" t="str">
        <f>IFERROR(__xludf.DUMMYFUNCTION("""COMPUTED_VALUE"""),"")</f>
        <v/>
      </c>
      <c r="C1305" s="3" t="str">
        <f>IFERROR(__xludf.DUMMYFUNCTION("""COMPUTED_VALUE"""),"GovAI Summer 2022 Fellowships")</f>
        <v>GovAI Summer 2022 Fellowships</v>
      </c>
      <c r="E1305" t="str">
        <f>IFERROR(__xludf.DUMMYFUNCTION("""COMPUTED_VALUE"""),"GovAI Website")</f>
        <v>GovAI Website</v>
      </c>
      <c r="F1305">
        <f>IFERROR(__xludf.DUMMYFUNCTION("""COMPUTED_VALUE"""),2021.0)</f>
        <v>2021</v>
      </c>
      <c r="H1305" s="3" t="str">
        <f>IFERROR(__xludf.DUMMYFUNCTION("""COMPUTED_VALUE"""),"AN #170")</f>
        <v>AN #170</v>
      </c>
      <c r="I1305" t="str">
        <f>IFERROR(__xludf.DUMMYFUNCTION("""COMPUTED_VALUE"""),"Rohin")</f>
        <v>Rohin</v>
      </c>
      <c r="J1305" t="str">
        <f>IFERROR(__xludf.DUMMYFUNCTION("""COMPUTED_VALUE"""),"Applications are now open for the GovAI 2022 Summer Fellowship! This is an opportunity for early-career individuals to spend three months working on an AI governance research project, learning about the field, and making connections with other researchers"&amp;" and practitioners. Application deadline is Jan 1.")</f>
        <v>Applications are now open for the GovAI 2022 Summer Fellowship! This is an opportunity for early-career individuals to spend three months working on an AI governance research project, learning about the field, and making connections with other researchers and practitioners. Application deadline is Jan 1.</v>
      </c>
    </row>
    <row r="1306">
      <c r="A1306" t="str">
        <f>IFERROR(__xludf.DUMMYFUNCTION("""COMPUTED_VALUE"""),"News")</f>
        <v>News</v>
      </c>
      <c r="B1306" t="str">
        <f>IFERROR(__xludf.DUMMYFUNCTION("""COMPUTED_VALUE"""),"")</f>
        <v/>
      </c>
      <c r="C1306" s="3" t="str">
        <f>IFERROR(__xludf.DUMMYFUNCTION("""COMPUTED_VALUE"""),"Foundations of Cooperative AI Lab")</f>
        <v>Foundations of Cooperative AI Lab</v>
      </c>
      <c r="E1306" t="str">
        <f>IFERROR(__xludf.DUMMYFUNCTION("""COMPUTED_VALUE"""),"FOCAL Website")</f>
        <v>FOCAL Website</v>
      </c>
      <c r="F1306">
        <f>IFERROR(__xludf.DUMMYFUNCTION("""COMPUTED_VALUE"""),2021.0)</f>
        <v>2021</v>
      </c>
      <c r="H1306" s="3" t="str">
        <f>IFERROR(__xludf.DUMMYFUNCTION("""COMPUTED_VALUE"""),"AN #170")</f>
        <v>AN #170</v>
      </c>
      <c r="I1306" t="str">
        <f>IFERROR(__xludf.DUMMYFUNCTION("""COMPUTED_VALUE"""),"Rohin")</f>
        <v>Rohin</v>
      </c>
      <c r="J1306" t="str">
        <f>IFERROR(__xludf.DUMMYFUNCTION("""COMPUTED_VALUE"""),"This new lab at CMU aims to create foundations of game theory appropriate for advanced, autonomous AI agents -- think of work on agent foundations and &lt;@cooperative AI@&gt;(@Open Problems in Cooperative AI@). Apply for a PhD [here](https://csd.cmu.edu/academ"&amp;"ics/doctoral/admissions) (deadline Dec 9) or for a postdoc [here](https://apply.interfolio.com/98450).")</f>
        <v>This new lab at CMU aims to create foundations of game theory appropriate for advanced, autonomous AI agents -- think of work on agent foundations and &lt;@cooperative AI@&gt;(@Open Problems in Cooperative AI@). Apply for a PhD [here](https://csd.cmu.edu/academics/doctoral/admissions) (deadline Dec 9) or for a postdoc [here](https://apply.interfolio.com/98450).</v>
      </c>
    </row>
    <row r="1307">
      <c r="A1307" t="str">
        <f>IFERROR(__xludf.DUMMYFUNCTION("""COMPUTED_VALUE"""),"News")</f>
        <v>News</v>
      </c>
      <c r="B1307" t="str">
        <f>IFERROR(__xludf.DUMMYFUNCTION("""COMPUTED_VALUE"""),"")</f>
        <v/>
      </c>
      <c r="C1307" s="3" t="str">
        <f>IFERROR(__xludf.DUMMYFUNCTION("""COMPUTED_VALUE"""),"OpenAI hiring Software Engineer, Alignment")</f>
        <v>OpenAI hiring Software Engineer, Alignment</v>
      </c>
      <c r="E1307" t="str">
        <f>IFERROR(__xludf.DUMMYFUNCTION("""COMPUTED_VALUE"""),"OpenAI Website")</f>
        <v>OpenAI Website</v>
      </c>
      <c r="F1307">
        <f>IFERROR(__xludf.DUMMYFUNCTION("""COMPUTED_VALUE"""),2021.0)</f>
        <v>2021</v>
      </c>
      <c r="H1307" s="3" t="str">
        <f>IFERROR(__xludf.DUMMYFUNCTION("""COMPUTED_VALUE"""),"AN #169")</f>
        <v>AN #169</v>
      </c>
      <c r="I1307" t="str">
        <f>IFERROR(__xludf.DUMMYFUNCTION("""COMPUTED_VALUE"""),"Rohin")</f>
        <v>Rohin</v>
      </c>
      <c r="J1307" t="str">
        <f>IFERROR(__xludf.DUMMYFUNCTION("""COMPUTED_VALUE"""),"Exactly what it sounds like: OpenAI is hiring a software engineer to work with the Alignment team.")</f>
        <v>Exactly what it sounds like: OpenAI is hiring a software engineer to work with the Alignment team.</v>
      </c>
    </row>
    <row r="1308">
      <c r="A1308" t="str">
        <f>IFERROR(__xludf.DUMMYFUNCTION("""COMPUTED_VALUE"""),"News")</f>
        <v>News</v>
      </c>
      <c r="B1308" t="str">
        <f>IFERROR(__xludf.DUMMYFUNCTION("""COMPUTED_VALUE"""),"")</f>
        <v/>
      </c>
      <c r="C1308" s="3" t="str">
        <f>IFERROR(__xludf.DUMMYFUNCTION("""COMPUTED_VALUE"""),"CHAI Internships 2022")</f>
        <v>CHAI Internships 2022</v>
      </c>
      <c r="E1308" t="str">
        <f>IFERROR(__xludf.DUMMYFUNCTION("""COMPUTED_VALUE"""),"CHAI Website")</f>
        <v>CHAI Website</v>
      </c>
      <c r="F1308">
        <f>IFERROR(__xludf.DUMMYFUNCTION("""COMPUTED_VALUE"""),2021.0)</f>
        <v>2021</v>
      </c>
      <c r="H1308" s="3" t="str">
        <f>IFERROR(__xludf.DUMMYFUNCTION("""COMPUTED_VALUE"""),"AN #167")</f>
        <v>AN #167</v>
      </c>
      <c r="I1308" t="str">
        <f>IFERROR(__xludf.DUMMYFUNCTION("""COMPUTED_VALUE"""),"Rohin")</f>
        <v>Rohin</v>
      </c>
      <c r="J1308" t="str">
        <f>IFERROR(__xludf.DUMMYFUNCTION("""COMPUTED_VALUE"""),"CHAI internships are open once again! Typically, an intern will execute on an AI safety research project proposed by their mentor, resulting in a first-author publication at a workshop. The early deadline is November 23rd and the regular deadline is Decem"&amp;"ber 13th.")</f>
        <v>CHAI internships are open once again! Typically, an intern will execute on an AI safety research project proposed by their mentor, resulting in a first-author publication at a workshop. The early deadline is November 23rd and the regular deadline is December 13th.</v>
      </c>
    </row>
    <row r="1309">
      <c r="A1309" t="str">
        <f>IFERROR(__xludf.DUMMYFUNCTION("""COMPUTED_VALUE"""),"News")</f>
        <v>News</v>
      </c>
      <c r="B1309" t="str">
        <f>IFERROR(__xludf.DUMMYFUNCTION("""COMPUTED_VALUE"""),"")</f>
        <v/>
      </c>
      <c r="C1309" s="3" t="str">
        <f>IFERROR(__xludf.DUMMYFUNCTION("""COMPUTED_VALUE"""),"Announcing the Vitalik Buterin Fellowships in AI Existential Safety")</f>
        <v>Announcing the Vitalik Buterin Fellowships in AI Existential Safety</v>
      </c>
      <c r="D1309" t="str">
        <f>IFERROR(__xludf.DUMMYFUNCTION("""COMPUTED_VALUE"""),"Daniel Filan")</f>
        <v>Daniel Filan</v>
      </c>
      <c r="E1309" t="str">
        <f>IFERROR(__xludf.DUMMYFUNCTION("""COMPUTED_VALUE"""),"FLI Website")</f>
        <v>FLI Website</v>
      </c>
      <c r="F1309">
        <f>IFERROR(__xludf.DUMMYFUNCTION("""COMPUTED_VALUE"""),2021.0)</f>
        <v>2021</v>
      </c>
      <c r="H1309" s="3" t="str">
        <f>IFERROR(__xludf.DUMMYFUNCTION("""COMPUTED_VALUE"""),"AN #165")</f>
        <v>AN #165</v>
      </c>
      <c r="I1309" t="str">
        <f>IFERROR(__xludf.DUMMYFUNCTION("""COMPUTED_VALUE"""),"Rohin")</f>
        <v>Rohin</v>
      </c>
      <c r="J1309" t="str">
        <f>IFERROR(__xludf.DUMMYFUNCTION("""COMPUTED_VALUE"""),"FLI is launching a fellowship for incoming PhD students and postdocs who are focused on AI existential safety. The application deadline is October 29 for the PhD fellowship, and November 5 for the postdoc fellowship.")</f>
        <v>FLI is launching a fellowship for incoming PhD students and postdocs who are focused on AI existential safety. The application deadline is October 29 for the PhD fellowship, and November 5 for the postdoc fellowship.</v>
      </c>
    </row>
    <row r="1310">
      <c r="A1310" t="str">
        <f>IFERROR(__xludf.DUMMYFUNCTION("""COMPUTED_VALUE"""),"News")</f>
        <v>News</v>
      </c>
      <c r="B1310" t="str">
        <f>IFERROR(__xludf.DUMMYFUNCTION("""COMPUTED_VALUE"""),"")</f>
        <v/>
      </c>
      <c r="C1310" s="3" t="str">
        <f>IFERROR(__xludf.DUMMYFUNCTION("""COMPUTED_VALUE"""),"The Open Phil AI Fellowship (Year 5)")</f>
        <v>The Open Phil AI Fellowship (Year 5)</v>
      </c>
      <c r="E1310" t="str">
        <f>IFERROR(__xludf.DUMMYFUNCTION("""COMPUTED_VALUE"""),"Open Philanthropy Website")</f>
        <v>Open Philanthropy Website</v>
      </c>
      <c r="F1310">
        <f>IFERROR(__xludf.DUMMYFUNCTION("""COMPUTED_VALUE"""),2021.0)</f>
        <v>2021</v>
      </c>
      <c r="H1310" s="3" t="str">
        <f>IFERROR(__xludf.DUMMYFUNCTION("""COMPUTED_VALUE"""),"AN #165")</f>
        <v>AN #165</v>
      </c>
      <c r="I1310" t="str">
        <f>IFERROR(__xludf.DUMMYFUNCTION("""COMPUTED_VALUE"""),"Rohin")</f>
        <v>Rohin</v>
      </c>
      <c r="J1310" t="str">
        <f>IFERROR(__xludf.DUMMYFUNCTION("""COMPUTED_VALUE"""),"Applications are now open for the fifth cohort of the &lt;@Open Phil AI Fellowship@&gt;! They are also due October 29.")</f>
        <v>Applications are now open for the fifth cohort of the &lt;@Open Phil AI Fellowship@&gt;! They are also due October 29.</v>
      </c>
    </row>
    <row r="1311">
      <c r="A1311" t="str">
        <f>IFERROR(__xludf.DUMMYFUNCTION("""COMPUTED_VALUE"""),"News")</f>
        <v>News</v>
      </c>
      <c r="B1311" t="str">
        <f>IFERROR(__xludf.DUMMYFUNCTION("""COMPUTED_VALUE"""),"")</f>
        <v/>
      </c>
      <c r="C1311" s="3" t="str">
        <f>IFERROR(__xludf.DUMMYFUNCTION("""COMPUTED_VALUE"""),"Research Scientist, Long-term Strategy &amp; Governance ")</f>
        <v>Research Scientist, Long-term Strategy &amp; Governance </v>
      </c>
      <c r="E1311" t="str">
        <f>IFERROR(__xludf.DUMMYFUNCTION("""COMPUTED_VALUE"""),"DeepMind Website")</f>
        <v>DeepMind Website</v>
      </c>
      <c r="F1311">
        <f>IFERROR(__xludf.DUMMYFUNCTION("""COMPUTED_VALUE"""),2021.0)</f>
        <v>2021</v>
      </c>
      <c r="H1311" s="3" t="str">
        <f>IFERROR(__xludf.DUMMYFUNCTION("""COMPUTED_VALUE"""),"AN #164")</f>
        <v>AN #164</v>
      </c>
      <c r="I1311" t="str">
        <f>IFERROR(__xludf.DUMMYFUNCTION("""COMPUTED_VALUE"""),"Rohin")</f>
        <v>Rohin</v>
      </c>
      <c r="J1311" t="str">
        <f>IFERROR(__xludf.DUMMYFUNCTION("""COMPUTED_VALUE"""),"DeepMind (my employer) is hiring for several Research Scientist positions on the Long-term Strategy and Governance Team, across a wide range of backgrounds and skills. (Though note that you do need a PhD, or equivalent experience.) See also this [EA Forum"&amp;" post](https://forum.effectivealtruism.org/posts/atbonGDAFegfeDbTF/deepmind-is-hiring-long-term-strategy-and-governance).")</f>
        <v>DeepMind (my employer) is hiring for several Research Scientist positions on the Long-term Strategy and Governance Team, across a wide range of backgrounds and skills. (Though note that you do need a PhD, or equivalent experience.) See also this [EA Forum post](https://forum.effectivealtruism.org/posts/atbonGDAFegfeDbTF/deepmind-is-hiring-long-term-strategy-and-governance).</v>
      </c>
    </row>
    <row r="1312">
      <c r="A1312" t="str">
        <f>IFERROR(__xludf.DUMMYFUNCTION("""COMPUTED_VALUE"""),"News")</f>
        <v>News</v>
      </c>
      <c r="B1312" t="str">
        <f>IFERROR(__xludf.DUMMYFUNCTION("""COMPUTED_VALUE"""),"")</f>
        <v/>
      </c>
      <c r="C1312" s="3" t="str">
        <f>IFERROR(__xludf.DUMMYFUNCTION("""COMPUTED_VALUE"""),"Cooperative AI Workshop 2021")</f>
        <v>Cooperative AI Workshop 2021</v>
      </c>
      <c r="E1312" t="str">
        <f>IFERROR(__xludf.DUMMYFUNCTION("""COMPUTED_VALUE"""),"NeurIPS 2021")</f>
        <v>NeurIPS 2021</v>
      </c>
      <c r="F1312">
        <f>IFERROR(__xludf.DUMMYFUNCTION("""COMPUTED_VALUE"""),2021.0)</f>
        <v>2021</v>
      </c>
      <c r="H1312" s="3" t="str">
        <f>IFERROR(__xludf.DUMMYFUNCTION("""COMPUTED_VALUE"""),"AN #161")</f>
        <v>AN #161</v>
      </c>
      <c r="I1312" t="str">
        <f>IFERROR(__xludf.DUMMYFUNCTION("""COMPUTED_VALUE"""),"Rohin")</f>
        <v>Rohin</v>
      </c>
      <c r="J1312" t="str">
        <f>IFERROR(__xludf.DUMMYFUNCTION("""COMPUTED_VALUE"""),"The &lt;@Cooperative AI@&gt;(@Open Problems in Cooperative AI@) &lt;@NeurIPS workshop@&gt;(@Cooperative AI Workshop@) is running again this year! The paper submission deadline is September 25.")</f>
        <v>The &lt;@Cooperative AI@&gt;(@Open Problems in Cooperative AI@) &lt;@NeurIPS workshop@&gt;(@Cooperative AI Workshop@) is running again this year! The paper submission deadline is September 25.</v>
      </c>
    </row>
    <row r="1313">
      <c r="A1313" t="str">
        <f>IFERROR(__xludf.DUMMYFUNCTION("""COMPUTED_VALUE"""),"News")</f>
        <v>News</v>
      </c>
      <c r="B1313" t="str">
        <f>IFERROR(__xludf.DUMMYFUNCTION("""COMPUTED_VALUE"""),"")</f>
        <v/>
      </c>
      <c r="C1313" s="3" t="str">
        <f>IFERROR(__xludf.DUMMYFUNCTION("""COMPUTED_VALUE"""),"You can now apply to EA Funds anytime! (LTFF &amp; EAIF only)")</f>
        <v>You can now apply to EA Funds anytime! (LTFF &amp; EAIF only)</v>
      </c>
      <c r="D1313" t="str">
        <f>IFERROR(__xludf.DUMMYFUNCTION("""COMPUTED_VALUE"""),"Jonas Vollmer")</f>
        <v>Jonas Vollmer</v>
      </c>
      <c r="E1313" t="str">
        <f>IFERROR(__xludf.DUMMYFUNCTION("""COMPUTED_VALUE"""),"EA Forum")</f>
        <v>EA Forum</v>
      </c>
      <c r="F1313">
        <f>IFERROR(__xludf.DUMMYFUNCTION("""COMPUTED_VALUE"""),2021.0)</f>
        <v>2021</v>
      </c>
      <c r="H1313" s="3" t="str">
        <f>IFERROR(__xludf.DUMMYFUNCTION("""COMPUTED_VALUE"""),"AN #153")</f>
        <v>AN #153</v>
      </c>
      <c r="I1313" t="str">
        <f>IFERROR(__xludf.DUMMYFUNCTION("""COMPUTED_VALUE"""),"Rohin")</f>
        <v>Rohin</v>
      </c>
      <c r="J1313" t="str">
        <f>IFERROR(__xludf.DUMMYFUNCTION("""COMPUTED_VALUE"""),"The Long-Term Future Fund (LTFF) has funding available for people working on AI alignment. I’m told that the LTFF is constrained by high-quality applications, and that applying only takes a few hours, so it is probably best to err on the side of applying."&amp;" The LTFF has removed its previous round-based system and now accepts applications anytime.")</f>
        <v>The Long-Term Future Fund (LTFF) has funding available for people working on AI alignment. I’m told that the LTFF is constrained by high-quality applications, and that applying only takes a few hours, so it is probably best to err on the side of applying. The LTFF has removed its previous round-based system and now accepts applications anytime.</v>
      </c>
    </row>
    <row r="1314">
      <c r="A1314" t="str">
        <f>IFERROR(__xludf.DUMMYFUNCTION("""COMPUTED_VALUE"""),"News")</f>
        <v>News</v>
      </c>
      <c r="B1314" t="str">
        <f>IFERROR(__xludf.DUMMYFUNCTION("""COMPUTED_VALUE"""),"")</f>
        <v/>
      </c>
      <c r="C1314" s="3" t="str">
        <f>IFERROR(__xludf.DUMMYFUNCTION("""COMPUTED_VALUE"""),"Stanford Existential Risks Conference")</f>
        <v>Stanford Existential Risks Conference</v>
      </c>
      <c r="D1314" t="str">
        <f>IFERROR(__xludf.DUMMYFUNCTION("""COMPUTED_VALUE"""),"SERI")</f>
        <v>SERI</v>
      </c>
      <c r="E1314" t="str">
        <f>IFERROR(__xludf.DUMMYFUNCTION("""COMPUTED_VALUE"""),"SERC Website")</f>
        <v>SERC Website</v>
      </c>
      <c r="F1314">
        <f>IFERROR(__xludf.DUMMYFUNCTION("""COMPUTED_VALUE"""),2021.0)</f>
        <v>2021</v>
      </c>
      <c r="H1314" s="3" t="str">
        <f>IFERROR(__xludf.DUMMYFUNCTION("""COMPUTED_VALUE"""),"AN #144")</f>
        <v>AN #144</v>
      </c>
      <c r="I1314" t="str">
        <f>IFERROR(__xludf.DUMMYFUNCTION("""COMPUTED_VALUE"""),"Rohin")</f>
        <v>Rohin</v>
      </c>
      <c r="J1314" t="str">
        <f>IFERROR(__xludf.DUMMYFUNCTION("""COMPUTED_VALUE"""),"This conference on existential risks will run April 17-18. Applications to attend close April 12. There will be no charge to attend the conference.")</f>
        <v>This conference on existential risks will run April 17-18. Applications to attend close April 12. There will be no charge to attend the conference.</v>
      </c>
    </row>
    <row r="1315">
      <c r="A1315" t="str">
        <f>IFERROR(__xludf.DUMMYFUNCTION("""COMPUTED_VALUE"""),"News")</f>
        <v>News</v>
      </c>
      <c r="B1315" t="str">
        <f>IFERROR(__xludf.DUMMYFUNCTION("""COMPUTED_VALUE"""),"")</f>
        <v/>
      </c>
      <c r="C1315" s="3" t="str">
        <f>IFERROR(__xludf.DUMMYFUNCTION("""COMPUTED_VALUE"""),"Research Engineer, Safety (OpenAI)")</f>
        <v>Research Engineer, Safety (OpenAI)</v>
      </c>
      <c r="E1315" t="str">
        <f>IFERROR(__xludf.DUMMYFUNCTION("""COMPUTED_VALUE"""),"Lever")</f>
        <v>Lever</v>
      </c>
      <c r="F1315">
        <f>IFERROR(__xludf.DUMMYFUNCTION("""COMPUTED_VALUE"""),2021.0)</f>
        <v>2021</v>
      </c>
      <c r="H1315" s="3" t="str">
        <f>IFERROR(__xludf.DUMMYFUNCTION("""COMPUTED_VALUE"""),"AN #144")</f>
        <v>AN #144</v>
      </c>
      <c r="I1315" t="str">
        <f>IFERROR(__xludf.DUMMYFUNCTION("""COMPUTED_VALUE"""),"Rohin")</f>
        <v>Rohin</v>
      </c>
      <c r="J1315" t="str">
        <f>IFERROR(__xludf.DUMMYFUNCTION("""COMPUTED_VALUE"""),"The Applied Safety team at OpenAI is looking to hire a research engineer, and explicitly states that the job is about safety of general-purpose AI systems (as opposed to narrow AI systems like autonomous vehicles).")</f>
        <v>The Applied Safety team at OpenAI is looking to hire a research engineer, and explicitly states that the job is about safety of general-purpose AI systems (as opposed to narrow AI systems like autonomous vehicles).</v>
      </c>
    </row>
    <row r="1316">
      <c r="A1316" t="str">
        <f>IFERROR(__xludf.DUMMYFUNCTION("""COMPUTED_VALUE"""),"News")</f>
        <v>News</v>
      </c>
      <c r="B1316" t="str">
        <f>IFERROR(__xludf.DUMMYFUNCTION("""COMPUTED_VALUE"""),"")</f>
        <v/>
      </c>
      <c r="C1316" s="3" t="str">
        <f>IFERROR(__xludf.DUMMYFUNCTION("""COMPUTED_VALUE"""),"Chinese translation of Human Compatible")</f>
        <v>Chinese translation of Human Compatible</v>
      </c>
      <c r="E1316" t="str">
        <f>IFERROR(__xludf.DUMMYFUNCTION("""COMPUTED_VALUE"""),"Sohu")</f>
        <v>Sohu</v>
      </c>
      <c r="F1316">
        <f>IFERROR(__xludf.DUMMYFUNCTION("""COMPUTED_VALUE"""),2020.0)</f>
        <v>2020</v>
      </c>
      <c r="H1316" s="3" t="str">
        <f>IFERROR(__xludf.DUMMYFUNCTION("""COMPUTED_VALUE"""),"AN #143")</f>
        <v>AN #143</v>
      </c>
      <c r="I1316" t="str">
        <f>IFERROR(__xludf.DUMMYFUNCTION("""COMPUTED_VALUE"""),"Rohin")</f>
        <v>Rohin</v>
      </c>
      <c r="J1316" t="str">
        <f>IFERROR(__xludf.DUMMYFUNCTION("""COMPUTED_VALUE"""),"The Chinese translation of &lt;@Human Compatible@&gt;(@Human Compatible: Artificial Intelligence and the Problem of Control@) came out in October and the first chapter is [here](https://cread.jd.com/read/startRead.action?bookId=30675029&amp;readType=1).")</f>
        <v>The Chinese translation of &lt;@Human Compatible@&gt;(@Human Compatible: Artificial Intelligence and the Problem of Control@) came out in October and the first chapter is [here](https://cread.jd.com/read/startRead.action?bookId=30675029&amp;readType=1).</v>
      </c>
    </row>
    <row r="1317">
      <c r="A1317" t="str">
        <f>IFERROR(__xludf.DUMMYFUNCTION("""COMPUTED_VALUE"""),"News")</f>
        <v>News</v>
      </c>
      <c r="B1317" t="str">
        <f>IFERROR(__xludf.DUMMYFUNCTION("""COMPUTED_VALUE"""),"")</f>
        <v/>
      </c>
      <c r="C1317" s="3" t="str">
        <f>IFERROR(__xludf.DUMMYFUNCTION("""COMPUTED_VALUE"""),"DPhil Scholarships Applications Open")</f>
        <v>DPhil Scholarships Applications Open</v>
      </c>
      <c r="D1317" t="str">
        <f>IFERROR(__xludf.DUMMYFUNCTION("""COMPUTED_VALUE"""),"Ben Gable")</f>
        <v>Ben Gable</v>
      </c>
      <c r="E1317" t="str">
        <f>IFERROR(__xludf.DUMMYFUNCTION("""COMPUTED_VALUE"""),"FHI Website")</f>
        <v>FHI Website</v>
      </c>
      <c r="F1317">
        <f>IFERROR(__xludf.DUMMYFUNCTION("""COMPUTED_VALUE"""),2021.0)</f>
        <v>2021</v>
      </c>
      <c r="H1317" s="3" t="str">
        <f>IFERROR(__xludf.DUMMYFUNCTION("""COMPUTED_VALUE"""),"AN #134")</f>
        <v>AN #134</v>
      </c>
      <c r="I1317" t="str">
        <f>IFERROR(__xludf.DUMMYFUNCTION("""COMPUTED_VALUE"""),"Rohin")</f>
        <v>Rohin</v>
      </c>
      <c r="J1317" t="str">
        <f>IFERROR(__xludf.DUMMYFUNCTION("""COMPUTED_VALUE"""),"FHI will be awarding up to six scholarships for the 2021/22 academic year for DPhil students starting at the University of Oxford whose research aims to answer crucial questions for improving the long-term prospects of humanity. Applications are due Feb 1"&amp;"4.")</f>
        <v>FHI will be awarding up to six scholarships for the 2021/22 academic year for DPhil students starting at the University of Oxford whose research aims to answer crucial questions for improving the long-term prospects of humanity. Applications are due Feb 14.</v>
      </c>
    </row>
    <row r="1318">
      <c r="A1318" t="str">
        <f>IFERROR(__xludf.DUMMYFUNCTION("""COMPUTED_VALUE"""),"News")</f>
        <v>News</v>
      </c>
      <c r="B1318" t="str">
        <f>IFERROR(__xludf.DUMMYFUNCTION("""COMPUTED_VALUE"""),"")</f>
        <v/>
      </c>
      <c r="C1318" s="3" t="str">
        <f>IFERROR(__xludf.DUMMYFUNCTION("""COMPUTED_VALUE"""),"CHAI Internship")</f>
        <v>CHAI Internship</v>
      </c>
      <c r="D1318" t="str">
        <f>IFERROR(__xludf.DUMMYFUNCTION("""COMPUTED_VALUE"""),"Martin Fukui")</f>
        <v>Martin Fukui</v>
      </c>
      <c r="E1318" t="str">
        <f>IFERROR(__xludf.DUMMYFUNCTION("""COMPUTED_VALUE"""),"CHAI Website")</f>
        <v>CHAI Website</v>
      </c>
      <c r="F1318">
        <f>IFERROR(__xludf.DUMMYFUNCTION("""COMPUTED_VALUE"""),2020.0)</f>
        <v>2020</v>
      </c>
      <c r="H1318" s="3" t="str">
        <f>IFERROR(__xludf.DUMMYFUNCTION("""COMPUTED_VALUE"""),"AN #126")</f>
        <v>AN #126</v>
      </c>
      <c r="I1318" t="str">
        <f>IFERROR(__xludf.DUMMYFUNCTION("""COMPUTED_VALUE"""),"Rohin")</f>
        <v>Rohin</v>
      </c>
      <c r="J1318" t="str">
        <f>IFERROR(__xludf.DUMMYFUNCTION("""COMPUTED_VALUE"""),"&lt;@CHAI internships@&gt;(@CHAI 2020 Internships@) are open once again! The deadline for applications is December 13.")</f>
        <v>&lt;@CHAI internships@&gt;(@CHAI 2020 Internships@) are open once again! The deadline for applications is December 13.</v>
      </c>
    </row>
    <row r="1319">
      <c r="A1319" t="str">
        <f>IFERROR(__xludf.DUMMYFUNCTION("""COMPUTED_VALUE"""),"News")</f>
        <v>News</v>
      </c>
      <c r="B1319" t="str">
        <f>IFERROR(__xludf.DUMMYFUNCTION("""COMPUTED_VALUE"""),"")</f>
        <v/>
      </c>
      <c r="C1319" s="3" t="str">
        <f>IFERROR(__xludf.DUMMYFUNCTION("""COMPUTED_VALUE"""),"Hiring engineers and researchers to help align GPT-3")</f>
        <v>Hiring engineers and researchers to help align GPT-3</v>
      </c>
      <c r="D1319" t="str">
        <f>IFERROR(__xludf.DUMMYFUNCTION("""COMPUTED_VALUE"""),"Paul Christiano")</f>
        <v>Paul Christiano</v>
      </c>
      <c r="E1319" t="str">
        <f>IFERROR(__xludf.DUMMYFUNCTION("""COMPUTED_VALUE"""),"Alignment Forum")</f>
        <v>Alignment Forum</v>
      </c>
      <c r="F1319">
        <f>IFERROR(__xludf.DUMMYFUNCTION("""COMPUTED_VALUE"""),2020.0)</f>
        <v>2020</v>
      </c>
      <c r="H1319" s="3" t="str">
        <f>IFERROR(__xludf.DUMMYFUNCTION("""COMPUTED_VALUE"""),"AN #120")</f>
        <v>AN #120</v>
      </c>
      <c r="I1319" t="str">
        <f>IFERROR(__xludf.DUMMYFUNCTION("""COMPUTED_VALUE"""),"Rohin")</f>
        <v>Rohin</v>
      </c>
      <c r="J1319" t="str">
        <f>IFERROR(__xludf.DUMMYFUNCTION("""COMPUTED_VALUE"""),"The Reflection team at OpenAI is hiring ML engineers and ML researchers to push forward work on aligning GPT-3. Their most recent results are described in &lt;@Learning to Summarize with Human Feedback@&gt;.")</f>
        <v>The Reflection team at OpenAI is hiring ML engineers and ML researchers to push forward work on aligning GPT-3. Their most recent results are described in &lt;@Learning to Summarize with Human Feedback@&gt;.</v>
      </c>
    </row>
    <row r="1320">
      <c r="A1320" t="str">
        <f>IFERROR(__xludf.DUMMYFUNCTION("""COMPUTED_VALUE"""),"News")</f>
        <v>News</v>
      </c>
      <c r="B1320" t="str">
        <f>IFERROR(__xludf.DUMMYFUNCTION("""COMPUTED_VALUE"""),"")</f>
        <v/>
      </c>
      <c r="C1320" s="3" t="str">
        <f>IFERROR(__xludf.DUMMYFUNCTION("""COMPUTED_VALUE"""),"The Open Phil AI Fellowship")</f>
        <v>The Open Phil AI Fellowship</v>
      </c>
      <c r="E1320" t="str">
        <f>IFERROR(__xludf.DUMMYFUNCTION("""COMPUTED_VALUE"""),"Open Philanthropy Website")</f>
        <v>Open Philanthropy Website</v>
      </c>
      <c r="F1320">
        <f>IFERROR(__xludf.DUMMYFUNCTION("""COMPUTED_VALUE"""),2020.0)</f>
        <v>2020</v>
      </c>
      <c r="H1320" s="3" t="str">
        <f>IFERROR(__xludf.DUMMYFUNCTION("""COMPUTED_VALUE"""),"AN #118")</f>
        <v>AN #118</v>
      </c>
      <c r="I1320" t="str">
        <f>IFERROR(__xludf.DUMMYFUNCTION("""COMPUTED_VALUE"""),"Rohin")</f>
        <v>Rohin</v>
      </c>
      <c r="J1320" t="str">
        <f>IFERROR(__xludf.DUMMYFUNCTION("""COMPUTED_VALUE"""),"We’re now at the fourth cohort of the &lt;@Open Phil AI Fellowship@&gt;! Applications are due October 22.")</f>
        <v>We’re now at the fourth cohort of the &lt;@Open Phil AI Fellowship@&gt;! Applications are due October 22.</v>
      </c>
    </row>
    <row r="1321">
      <c r="A1321" t="str">
        <f>IFERROR(__xludf.DUMMYFUNCTION("""COMPUTED_VALUE"""),"News")</f>
        <v>News</v>
      </c>
      <c r="B1321" t="str">
        <f>IFERROR(__xludf.DUMMYFUNCTION("""COMPUTED_VALUE"""),"")</f>
        <v/>
      </c>
      <c r="C1321" s="3" t="str">
        <f>IFERROR(__xludf.DUMMYFUNCTION("""COMPUTED_VALUE"""),"Navigating the Broader Impacts of AI Research")</f>
        <v>Navigating the Broader Impacts of AI Research</v>
      </c>
      <c r="E1321" t="str">
        <f>IFERROR(__xludf.DUMMYFUNCTION("""COMPUTED_VALUE"""),"NBIAIR Website")</f>
        <v>NBIAIR Website</v>
      </c>
      <c r="F1321">
        <f>IFERROR(__xludf.DUMMYFUNCTION("""COMPUTED_VALUE"""),2020.0)</f>
        <v>2020</v>
      </c>
      <c r="H1321" s="3" t="str">
        <f>IFERROR(__xludf.DUMMYFUNCTION("""COMPUTED_VALUE"""),"AN #118")</f>
        <v>AN #118</v>
      </c>
      <c r="I1321" t="str">
        <f>IFERROR(__xludf.DUMMYFUNCTION("""COMPUTED_VALUE"""),"Rohin")</f>
        <v>Rohin</v>
      </c>
      <c r="J1321" t="str">
        <f>IFERROR(__xludf.DUMMYFUNCTION("""COMPUTED_VALUE"""),"This is a workshop at NeurIPS; the title tells you exactly what it's about. The deadline to submit is October 12.")</f>
        <v>This is a workshop at NeurIPS; the title tells you exactly what it's about. The deadline to submit is October 12.</v>
      </c>
    </row>
    <row r="1322">
      <c r="A1322" t="str">
        <f>IFERROR(__xludf.DUMMYFUNCTION("""COMPUTED_VALUE"""),"News")</f>
        <v>News</v>
      </c>
      <c r="B1322" t="str">
        <f>IFERROR(__xludf.DUMMYFUNCTION("""COMPUTED_VALUE"""),"")</f>
        <v/>
      </c>
      <c r="C1322" s="3" t="str">
        <f>IFERROR(__xludf.DUMMYFUNCTION("""COMPUTED_VALUE"""),"FHI is hiring Researchers, Research Fellows, and Senior Research Fellows")</f>
        <v>FHI is hiring Researchers, Research Fellows, and Senior Research Fellows</v>
      </c>
      <c r="D1322" t="str">
        <f>IFERROR(__xludf.DUMMYFUNCTION("""COMPUTED_VALUE"""),"Anne Le Roux")</f>
        <v>Anne Le Roux</v>
      </c>
      <c r="E1322" t="str">
        <f>IFERROR(__xludf.DUMMYFUNCTION("""COMPUTED_VALUE"""),"FHI Website")</f>
        <v>FHI Website</v>
      </c>
      <c r="F1322">
        <f>IFERROR(__xludf.DUMMYFUNCTION("""COMPUTED_VALUE"""),2020.0)</f>
        <v>2020</v>
      </c>
      <c r="H1322" s="3" t="str">
        <f>IFERROR(__xludf.DUMMYFUNCTION("""COMPUTED_VALUE"""),"AN #117")</f>
        <v>AN #117</v>
      </c>
      <c r="I1322" t="str">
        <f>IFERROR(__xludf.DUMMYFUNCTION("""COMPUTED_VALUE"""),"Rohin")</f>
        <v>Rohin</v>
      </c>
      <c r="J1322" t="str">
        <f>IFERROR(__xludf.DUMMYFUNCTION("""COMPUTED_VALUE"""),"FHI is hiring for researchers across a wide variety of topics, including technical AI safety research and AI governance. The application deadline is October 19.")</f>
        <v>FHI is hiring for researchers across a wide variety of topics, including technical AI safety research and AI governance. The application deadline is October 19.</v>
      </c>
    </row>
    <row r="1323">
      <c r="A1323" t="str">
        <f>IFERROR(__xludf.DUMMYFUNCTION("""COMPUTED_VALUE"""),"News")</f>
        <v>News</v>
      </c>
      <c r="B1323" t="str">
        <f>IFERROR(__xludf.DUMMYFUNCTION("""COMPUTED_VALUE"""),"")</f>
        <v/>
      </c>
      <c r="C1323" s="3" t="str">
        <f>IFERROR(__xludf.DUMMYFUNCTION("""COMPUTED_VALUE"""),"Cooperative AI Workshop")</f>
        <v>Cooperative AI Workshop</v>
      </c>
      <c r="E1323" t="str">
        <f>IFERROR(__xludf.DUMMYFUNCTION("""COMPUTED_VALUE"""),"NeurIPS 2020")</f>
        <v>NeurIPS 2020</v>
      </c>
      <c r="F1323">
        <f>IFERROR(__xludf.DUMMYFUNCTION("""COMPUTED_VALUE"""),2020.0)</f>
        <v>2020</v>
      </c>
      <c r="H1323" s="3" t="str">
        <f>IFERROR(__xludf.DUMMYFUNCTION("""COMPUTED_VALUE"""),"AN #116")</f>
        <v>AN #116</v>
      </c>
      <c r="I1323" t="str">
        <f>IFERROR(__xludf.DUMMYFUNCTION("""COMPUTED_VALUE"""),"Rohin")</f>
        <v>Rohin</v>
      </c>
      <c r="J1323" t="str">
        <f>IFERROR(__xludf.DUMMYFUNCTION("""COMPUTED_VALUE"""),"This NeurIPS workshop has the goal of improving the _cooperation_ skills of AI systems (whether with humans or other machines), which encompasses a _very_ wide range of research topics. The deadline to submit is September 18.")</f>
        <v>This NeurIPS workshop has the goal of improving the _cooperation_ skills of AI systems (whether with humans or other machines), which encompasses a _very_ wide range of research topics. The deadline to submit is September 18.</v>
      </c>
    </row>
    <row r="1324">
      <c r="A1324" t="str">
        <f>IFERROR(__xludf.DUMMYFUNCTION("""COMPUTED_VALUE"""),"News")</f>
        <v>News</v>
      </c>
      <c r="B1324" t="str">
        <f>IFERROR(__xludf.DUMMYFUNCTION("""COMPUTED_VALUE"""),"")</f>
        <v/>
      </c>
      <c r="C1324" s="3" t="str">
        <f>IFERROR(__xludf.DUMMYFUNCTION("""COMPUTED_VALUE"""),"Senior Systems Safety Engineer")</f>
        <v>Senior Systems Safety Engineer</v>
      </c>
      <c r="D1324" t="str">
        <f>IFERROR(__xludf.DUMMYFUNCTION("""COMPUTED_VALUE"""),"OpenAI")</f>
        <v>OpenAI</v>
      </c>
      <c r="E1324" t="str">
        <f>IFERROR(__xludf.DUMMYFUNCTION("""COMPUTED_VALUE"""),"Lever Website")</f>
        <v>Lever Website</v>
      </c>
      <c r="F1324">
        <f>IFERROR(__xludf.DUMMYFUNCTION("""COMPUTED_VALUE"""),2020.0)</f>
        <v>2020</v>
      </c>
      <c r="H1324" s="3" t="str">
        <f>IFERROR(__xludf.DUMMYFUNCTION("""COMPUTED_VALUE"""),"AN #116")</f>
        <v>AN #116</v>
      </c>
      <c r="I1324" t="str">
        <f>IFERROR(__xludf.DUMMYFUNCTION("""COMPUTED_VALUE"""),"Rohin")</f>
        <v>Rohin</v>
      </c>
      <c r="J1324" t="str">
        <f>IFERROR(__xludf.DUMMYFUNCTION("""COMPUTED_VALUE"""),"OpenAI is hiring for a senior systems safety engineer. From my read of the job description, it seems like the goal is to apply the principles from &lt;@Engineering a Safer World@&gt; to AI development.")</f>
        <v>OpenAI is hiring for a senior systems safety engineer. From my read of the job description, it seems like the goal is to apply the principles from &lt;@Engineering a Safer World@&gt; to AI development.</v>
      </c>
    </row>
    <row r="1325">
      <c r="A1325" t="str">
        <f>IFERROR(__xludf.DUMMYFUNCTION("""COMPUTED_VALUE"""),"News")</f>
        <v>News</v>
      </c>
      <c r="B1325" t="str">
        <f>IFERROR(__xludf.DUMMYFUNCTION("""COMPUTED_VALUE"""),"")</f>
        <v/>
      </c>
      <c r="C1325" s="3" t="str">
        <f>IFERROR(__xludf.DUMMYFUNCTION("""COMPUTED_VALUE"""),"Early-career funding for individuals interested in improving the long-term future")</f>
        <v>Early-career funding for individuals interested in improving the long-term future</v>
      </c>
      <c r="E1325" t="str">
        <f>IFERROR(__xludf.DUMMYFUNCTION("""COMPUTED_VALUE"""),"Open Philanthropy")</f>
        <v>Open Philanthropy</v>
      </c>
      <c r="F1325">
        <f>IFERROR(__xludf.DUMMYFUNCTION("""COMPUTED_VALUE"""),2020.0)</f>
        <v>2020</v>
      </c>
      <c r="H1325" s="3" t="str">
        <f>IFERROR(__xludf.DUMMYFUNCTION("""COMPUTED_VALUE"""),"AN #116")</f>
        <v>AN #116</v>
      </c>
      <c r="I1325" t="str">
        <f>IFERROR(__xludf.DUMMYFUNCTION("""COMPUTED_VALUE"""),"Rohin")</f>
        <v>Rohin</v>
      </c>
      <c r="J1325" t="str">
        <f>IFERROR(__xludf.DUMMYFUNCTION("""COMPUTED_VALUE"""),"This Open Philanthropy program aims to provide support for people who want to focus on improving the long-term future. The primary form of support would be funding for graduate school, though other one-off activities that build career capital also count. "&amp;"They explicitly say that people interested in working on AI policy or risks from transformative AI should apply to this program (possibly in addition to their &lt;@AI fellowship@&gt;(@Open Phil AI Fellowship@)). The stage 1 deadline is January 1, but if you sub"&amp;"mit earlier they aim to respond within 10 working days.")</f>
        <v>This Open Philanthropy program aims to provide support for people who want to focus on improving the long-term future. The primary form of support would be funding for graduate school, though other one-off activities that build career capital also count. They explicitly say that people interested in working on AI policy or risks from transformative AI should apply to this program (possibly in addition to their &lt;@AI fellowship@&gt;(@Open Phil AI Fellowship@)). The stage 1 deadline is January 1, but if you submit earlier they aim to respond within 10 working days.</v>
      </c>
    </row>
    <row r="1326">
      <c r="A1326" t="str">
        <f>IFERROR(__xludf.DUMMYFUNCTION("""COMPUTED_VALUE"""),"News")</f>
        <v>News</v>
      </c>
      <c r="B1326" t="str">
        <f>IFERROR(__xludf.DUMMYFUNCTION("""COMPUTED_VALUE"""),"")</f>
        <v/>
      </c>
      <c r="C1326" s="3" t="str">
        <f>IFERROR(__xludf.DUMMYFUNCTION("""COMPUTED_VALUE"""),"Looking for adversarial collaborators to test our Debate protocol")</f>
        <v>Looking for adversarial collaborators to test our Debate protocol</v>
      </c>
      <c r="D1326" t="str">
        <f>IFERROR(__xludf.DUMMYFUNCTION("""COMPUTED_VALUE"""),"Beth Barnes")</f>
        <v>Beth Barnes</v>
      </c>
      <c r="E1326" t="str">
        <f>IFERROR(__xludf.DUMMYFUNCTION("""COMPUTED_VALUE"""),"Alignment Forum")</f>
        <v>Alignment Forum</v>
      </c>
      <c r="F1326">
        <f>IFERROR(__xludf.DUMMYFUNCTION("""COMPUTED_VALUE"""),2020.0)</f>
        <v>2020</v>
      </c>
      <c r="H1326" s="3" t="str">
        <f>IFERROR(__xludf.DUMMYFUNCTION("""COMPUTED_VALUE"""),"AN #114")</f>
        <v>AN #114</v>
      </c>
      <c r="I1326" t="str">
        <f>IFERROR(__xludf.DUMMYFUNCTION("""COMPUTED_VALUE"""),"Rohin")</f>
        <v>Rohin</v>
      </c>
      <c r="J1326" t="str">
        <f>IFERROR(__xludf.DUMMYFUNCTION("""COMPUTED_VALUE"""),"OpenAI is looking for people to help test their &lt;@debate@&gt;(@Writeup: Progress on AI Safety via Debate@) protocol, to find weaknesses that allow a dishonest strategy to win such debates.")</f>
        <v>OpenAI is looking for people to help test their &lt;@debate@&gt;(@Writeup: Progress on AI Safety via Debate@) protocol, to find weaknesses that allow a dishonest strategy to win such debates.</v>
      </c>
    </row>
    <row r="1327">
      <c r="A1327" t="str">
        <f>IFERROR(__xludf.DUMMYFUNCTION("""COMPUTED_VALUE"""),"News")</f>
        <v>News</v>
      </c>
      <c r="B1327" t="str">
        <f>IFERROR(__xludf.DUMMYFUNCTION("""COMPUTED_VALUE"""),"")</f>
        <v/>
      </c>
      <c r="C1327" s="3" t="str">
        <f>IFERROR(__xludf.DUMMYFUNCTION("""COMPUTED_VALUE"""),"OpenAI API")</f>
        <v>OpenAI API</v>
      </c>
      <c r="D1327" t="str">
        <f>IFERROR(__xludf.DUMMYFUNCTION("""COMPUTED_VALUE"""),"OpenAI")</f>
        <v>OpenAI</v>
      </c>
      <c r="E1327" t="str">
        <f>IFERROR(__xludf.DUMMYFUNCTION("""COMPUTED_VALUE"""),"OpenAI Blog")</f>
        <v>OpenAI Blog</v>
      </c>
      <c r="F1327">
        <f>IFERROR(__xludf.DUMMYFUNCTION("""COMPUTED_VALUE"""),2020.0)</f>
        <v>2020</v>
      </c>
      <c r="H1327" s="3" t="str">
        <f>IFERROR(__xludf.DUMMYFUNCTION("""COMPUTED_VALUE"""),"AN #104")</f>
        <v>AN #104</v>
      </c>
      <c r="I1327" t="str">
        <f>IFERROR(__xludf.DUMMYFUNCTION("""COMPUTED_VALUE"""),"Rohin")</f>
        <v>Rohin</v>
      </c>
      <c r="J1327" t="str">
        <f>IFERROR(__xludf.DUMMYFUNCTION("""COMPUTED_VALUE"""),"OpenAI has released a commercial API that gives access to natural language completions via &lt;@GPT-3@&gt;(@Language Models are Few-Shot Learners@), allowing users to specify tasks in English that GPT-3 can then (hopefully) solve.")</f>
        <v>OpenAI has released a commercial API that gives access to natural language completions via &lt;@GPT-3@&gt;(@Language Models are Few-Shot Learners@), allowing users to specify tasks in English that GPT-3 can then (hopefully) solve.</v>
      </c>
      <c r="K1327" t="str">
        <f>IFERROR(__xludf.DUMMYFUNCTION("""COMPUTED_VALUE"""),"This is notable since this is (to my knowledge) OpenAI’s first commercial application.")</f>
        <v>This is notable since this is (to my knowledge) OpenAI’s first commercial application.</v>
      </c>
    </row>
    <row r="1328">
      <c r="A1328" t="str">
        <f>IFERROR(__xludf.DUMMYFUNCTION("""COMPUTED_VALUE"""),"News")</f>
        <v>News</v>
      </c>
      <c r="B1328" t="str">
        <f>IFERROR(__xludf.DUMMYFUNCTION("""COMPUTED_VALUE"""),"")</f>
        <v/>
      </c>
      <c r="C1328" s="3" t="str">
        <f>IFERROR(__xludf.DUMMYFUNCTION("""COMPUTED_VALUE"""),"WAISE 2018")</f>
        <v>WAISE 2018</v>
      </c>
      <c r="E1328" t="str">
        <f>IFERROR(__xludf.DUMMYFUNCTION("""COMPUTED_VALUE"""),"N/A")</f>
        <v>N/A</v>
      </c>
      <c r="F1328">
        <f>IFERROR(__xludf.DUMMYFUNCTION("""COMPUTED_VALUE"""),2018.0)</f>
        <v>2018</v>
      </c>
      <c r="H1328" s="3" t="str">
        <f>IFERROR(__xludf.DUMMYFUNCTION("""COMPUTED_VALUE"""),"Recon #5")</f>
        <v>Recon #5</v>
      </c>
      <c r="I1328" t="str">
        <f>IFERROR(__xludf.DUMMYFUNCTION("""COMPUTED_VALUE"""),"Rohin")</f>
        <v>Rohin</v>
      </c>
      <c r="J1328" t="str">
        <f>IFERROR(__xludf.DUMMYFUNCTION("""COMPUTED_VALUE"""),"")</f>
        <v/>
      </c>
      <c r="K1328" t="str">
        <f>IFERROR(__xludf.DUMMYFUNCTION("""COMPUTED_VALUE"""),"")</f>
        <v/>
      </c>
    </row>
    <row r="1329">
      <c r="A1329" t="str">
        <f>IFERROR(__xludf.DUMMYFUNCTION("""COMPUTED_VALUE"""),"News")</f>
        <v>News</v>
      </c>
      <c r="B1329" t="str">
        <f>IFERROR(__xludf.DUMMYFUNCTION("""COMPUTED_VALUE"""),"")</f>
        <v/>
      </c>
      <c r="C1329" s="3" t="str">
        <f>IFERROR(__xludf.DUMMYFUNCTION("""COMPUTED_VALUE"""),"CLR Open Positions: Researchers and Summer Research Fellows")</f>
        <v>CLR Open Positions: Researchers and Summer Research Fellows</v>
      </c>
      <c r="E1329" t="str">
        <f>IFERROR(__xludf.DUMMYFUNCTION("""COMPUTED_VALUE"""),"CLR Website")</f>
        <v>CLR Website</v>
      </c>
      <c r="F1329">
        <f>IFERROR(__xludf.DUMMYFUNCTION("""COMPUTED_VALUE"""),2020.0)</f>
        <v>2020</v>
      </c>
      <c r="H1329" s="3" t="str">
        <f>IFERROR(__xludf.DUMMYFUNCTION("""COMPUTED_VALUE"""),"AN #98")</f>
        <v>AN #98</v>
      </c>
      <c r="I1329" t="str">
        <f>IFERROR(__xludf.DUMMYFUNCTION("""COMPUTED_VALUE"""),"Rohin")</f>
        <v>Rohin</v>
      </c>
      <c r="J1329" t="str">
        <f>IFERROR(__xludf.DUMMYFUNCTION("""COMPUTED_VALUE"""),"The Center on Long-Term Risk is looking for researchers and summer research fellows to work on high-quality research relevant to s-risks, including on (among other areas) multiagent systems. The application deadline is May 13.")</f>
        <v>The Center on Long-Term Risk is looking for researchers and summer research fellows to work on high-quality research relevant to s-risks, including on (among other areas) multiagent systems. The application deadline is May 13.</v>
      </c>
    </row>
    <row r="1330">
      <c r="A1330" t="str">
        <f>IFERROR(__xludf.DUMMYFUNCTION("""COMPUTED_VALUE"""),"News")</f>
        <v>News</v>
      </c>
      <c r="B1330" t="str">
        <f>IFERROR(__xludf.DUMMYFUNCTION("""COMPUTED_VALUE"""),"")</f>
        <v/>
      </c>
      <c r="C1330" s="3" t="str">
        <f>IFERROR(__xludf.DUMMYFUNCTION("""COMPUTED_VALUE"""),"Announcing Web-TAISU, May 13-17")</f>
        <v>Announcing Web-TAISU, May 13-17</v>
      </c>
      <c r="D1330" t="str">
        <f>IFERROR(__xludf.DUMMYFUNCTION("""COMPUTED_VALUE"""),"Linda Linsefors")</f>
        <v>Linda Linsefors</v>
      </c>
      <c r="E1330" t="str">
        <f>IFERROR(__xludf.DUMMYFUNCTION("""COMPUTED_VALUE"""),"Alignment Forum")</f>
        <v>Alignment Forum</v>
      </c>
      <c r="F1330">
        <f>IFERROR(__xludf.DUMMYFUNCTION("""COMPUTED_VALUE"""),2020.0)</f>
        <v>2020</v>
      </c>
      <c r="H1330" s="3" t="str">
        <f>IFERROR(__xludf.DUMMYFUNCTION("""COMPUTED_VALUE"""),"AN #95")</f>
        <v>AN #95</v>
      </c>
      <c r="I1330" t="str">
        <f>IFERROR(__xludf.DUMMYFUNCTION("""COMPUTED_VALUE"""),"Rohin")</f>
        <v>Rohin</v>
      </c>
      <c r="J1330" t="str">
        <f>IFERROR(__xludf.DUMMYFUNCTION("""COMPUTED_VALUE"""),"The &lt;@Technical AI Safety Unconference@&gt;(@TAISU - Technical AI Safety Unconference@) will be held online from May 13-17.")</f>
        <v>The &lt;@Technical AI Safety Unconference@&gt;(@TAISU - Technical AI Safety Unconference@) will be held online from May 13-17.</v>
      </c>
    </row>
    <row r="1331">
      <c r="A1331" t="str">
        <f>IFERROR(__xludf.DUMMYFUNCTION("""COMPUTED_VALUE"""),"News")</f>
        <v>News</v>
      </c>
      <c r="B1331" t="str">
        <f>IFERROR(__xludf.DUMMYFUNCTION("""COMPUTED_VALUE"""),"")</f>
        <v/>
      </c>
      <c r="C1331" s="3" t="str">
        <f>IFERROR(__xludf.DUMMYFUNCTION("""COMPUTED_VALUE"""),"Careers at the Joint AI Center")</f>
        <v>Careers at the Joint AI Center</v>
      </c>
      <c r="E1331" t="str">
        <f>IFERROR(__xludf.DUMMYFUNCTION("""COMPUTED_VALUE"""),"JAIC Website")</f>
        <v>JAIC Website</v>
      </c>
      <c r="F1331">
        <f>IFERROR(__xludf.DUMMYFUNCTION("""COMPUTED_VALUE"""),2020.0)</f>
        <v>2020</v>
      </c>
      <c r="G1331" t="str">
        <f>IFERROR(__xludf.DUMMYFUNCTION("""COMPUTED_VALUE"""),"Jon Rodriguez")</f>
        <v>Jon Rodriguez</v>
      </c>
      <c r="H1331" s="3" t="str">
        <f>IFERROR(__xludf.DUMMYFUNCTION("""COMPUTED_VALUE"""),"AN #92")</f>
        <v>AN #92</v>
      </c>
      <c r="I1331" t="str">
        <f>IFERROR(__xludf.DUMMYFUNCTION("""COMPUTED_VALUE"""),"Rohin")</f>
        <v>Rohin</v>
      </c>
      <c r="J1331" t="str">
        <f>IFERROR(__xludf.DUMMYFUNCTION("""COMPUTED_VALUE"""),"The Joint AI Center is searching for ML experts for a variety of roles.")</f>
        <v>The Joint AI Center is searching for ML experts for a variety of roles.</v>
      </c>
      <c r="K1331" t="str">
        <f>IFERROR(__xludf.DUMMYFUNCTION("""COMPUTED_VALUE"""),"You might be wondering why I've included these jobs in the newsletter, given that I don't do very many promotions. I think that it is reasonably likely that the US government (and the military in particular) will be a key player in the future of AI, and t"&amp;"hat there could be a lot to learn from their testing, evaluation, validation &amp; verification (TEV&amp;V) framework (which often seems more risk-averse to me than many alignment schemes are). As a result, I would be excited if readers of this newsletter interes"&amp;"ted in how the military thinks about AI filled these positions: it seems great to have a flow of ideas between the two communities (so that the government learns about alignment concerns, and so that we learn about TEV&amp;V).")</f>
        <v>You might be wondering why I've included these jobs in the newsletter, given that I don't do very many promotions. I think that it is reasonably likely that the US government (and the military in particular) will be a key player in the future of AI, and that there could be a lot to learn from their testing, evaluation, validation &amp; verification (TEV&amp;V) framework (which often seems more risk-averse to me than many alignment schemes are). As a result, I would be excited if readers of this newsletter interested in how the military thinks about AI filled these positions: it seems great to have a flow of ideas between the two communities (so that the government learns about alignment concerns, and so that we learn about TEV&amp;V).</v>
      </c>
    </row>
    <row r="1332">
      <c r="A1332" t="str">
        <f>IFERROR(__xludf.DUMMYFUNCTION("""COMPUTED_VALUE"""),"News")</f>
        <v>News</v>
      </c>
      <c r="B1332" t="str">
        <f>IFERROR(__xludf.DUMMYFUNCTION("""COMPUTED_VALUE"""),"")</f>
        <v/>
      </c>
      <c r="C1332" s="3" t="str">
        <f>IFERROR(__xludf.DUMMYFUNCTION("""COMPUTED_VALUE"""),"TAISU - Technical AI Safety Unconference")</f>
        <v>TAISU - Technical AI Safety Unconference</v>
      </c>
      <c r="D1332" t="str">
        <f>IFERROR(__xludf.DUMMYFUNCTION("""COMPUTED_VALUE"""),"Linda Linsefors")</f>
        <v>Linda Linsefors</v>
      </c>
      <c r="E1332" t="str">
        <f>IFERROR(__xludf.DUMMYFUNCTION("""COMPUTED_VALUE"""),"LessWrong")</f>
        <v>LessWrong</v>
      </c>
      <c r="F1332">
        <f>IFERROR(__xludf.DUMMYFUNCTION("""COMPUTED_VALUE"""),2020.0)</f>
        <v>2020</v>
      </c>
      <c r="H1332" s="3" t="str">
        <f>IFERROR(__xludf.DUMMYFUNCTION("""COMPUTED_VALUE"""),"AN #86")</f>
        <v>AN #86</v>
      </c>
      <c r="I1332" t="str">
        <f>IFERROR(__xludf.DUMMYFUNCTION("""COMPUTED_VALUE"""),"Rohin")</f>
        <v>Rohin</v>
      </c>
      <c r="J1332" t="str">
        <f>IFERROR(__xludf.DUMMYFUNCTION("""COMPUTED_VALUE"""),"This unconference on technical AI safety will be held May 14th-17th; application deadline is February 23.")</f>
        <v>This unconference on technical AI safety will be held May 14th-17th; application deadline is February 23.</v>
      </c>
    </row>
    <row r="1333">
      <c r="A1333" t="str">
        <f>IFERROR(__xludf.DUMMYFUNCTION("""COMPUTED_VALUE"""),"News")</f>
        <v>News</v>
      </c>
      <c r="B1333" t="str">
        <f>IFERROR(__xludf.DUMMYFUNCTION("""COMPUTED_VALUE"""),"")</f>
        <v/>
      </c>
      <c r="C1333" s="3" t="str">
        <f>IFERROR(__xludf.DUMMYFUNCTION("""COMPUTED_VALUE"""),"AI Alignment Visiting Fellowship")</f>
        <v>AI Alignment Visiting Fellowship</v>
      </c>
      <c r="E1333" t="str">
        <f>IFERROR(__xludf.DUMMYFUNCTION("""COMPUTED_VALUE"""),"FHI Website")</f>
        <v>FHI Website</v>
      </c>
      <c r="F1333">
        <f>IFERROR(__xludf.DUMMYFUNCTION("""COMPUTED_VALUE"""),2020.0)</f>
        <v>2020</v>
      </c>
      <c r="H1333" s="3" t="str">
        <f>IFERROR(__xludf.DUMMYFUNCTION("""COMPUTED_VALUE"""),"AN #86")</f>
        <v>AN #86</v>
      </c>
      <c r="I1333" t="str">
        <f>IFERROR(__xludf.DUMMYFUNCTION("""COMPUTED_VALUE"""),"Rohin")</f>
        <v>Rohin</v>
      </c>
      <c r="J1333" t="str">
        <f>IFERROR(__xludf.DUMMYFUNCTION("""COMPUTED_VALUE"""),"This fellowship would support 2-3 applicants to visit FHI for three or more months to work on human-aligned AI. The application deadline is Feb 28.")</f>
        <v>This fellowship would support 2-3 applicants to visit FHI for three or more months to work on human-aligned AI. The application deadline is Feb 28.</v>
      </c>
    </row>
    <row r="1334">
      <c r="A1334" t="str">
        <f>IFERROR(__xludf.DUMMYFUNCTION("""COMPUTED_VALUE"""),"News")</f>
        <v>News</v>
      </c>
      <c r="B1334" t="str">
        <f>IFERROR(__xludf.DUMMYFUNCTION("""COMPUTED_VALUE"""),"")</f>
        <v/>
      </c>
      <c r="C1334" s="3" t="str">
        <f>IFERROR(__xludf.DUMMYFUNCTION("""COMPUTED_VALUE"""),"AI Safety Unconference 2019")</f>
        <v>AI Safety Unconference 2019</v>
      </c>
      <c r="D1334" t="str">
        <f>IFERROR(__xludf.DUMMYFUNCTION("""COMPUTED_VALUE"""),"David Krueger, Orpheus Lummis, and Gretchen Krueger")</f>
        <v>David Krueger, Orpheus Lummis, and Gretchen Krueger</v>
      </c>
      <c r="F1334">
        <f>IFERROR(__xludf.DUMMYFUNCTION("""COMPUTED_VALUE"""),2019.0)</f>
        <v>2019</v>
      </c>
      <c r="H1334" s="3" t="str">
        <f>IFERROR(__xludf.DUMMYFUNCTION("""COMPUTED_VALUE"""),"AN #75")</f>
        <v>AN #75</v>
      </c>
      <c r="I1334" t="str">
        <f>IFERROR(__xludf.DUMMYFUNCTION("""COMPUTED_VALUE"""),"Rohin")</f>
        <v>Rohin</v>
      </c>
      <c r="J1334" t="str">
        <f>IFERROR(__xludf.DUMMYFUNCTION("""COMPUTED_VALUE"""),"Like last year, there will be an AI safety unconference alongside NeurIPS, on Monday Dec 9 from 10am to 6pm. While the website suggests a registration deadline of Nov 25, the organizers have told me it's a soft deadline, but you probably should [register]"&amp;"(https://docs.google.com/forms/d/e/1FAIpQLSfOXyo2P0Wv6bxyNyzzdMnzSL8_wGa4pMIDTh1tQwYeZmMebw/viewform) now to secure a place.")</f>
        <v>Like last year, there will be an AI safety unconference alongside NeurIPS, on Monday Dec 9 from 10am to 6pm. While the website suggests a registration deadline of Nov 25, the organizers have told me it's a soft deadline, but you probably should [register](https://docs.google.com/forms/d/e/1FAIpQLSfOXyo2P0Wv6bxyNyzzdMnzSL8_wGa4pMIDTh1tQwYeZmMebw/viewform) now to secure a place.</v>
      </c>
    </row>
    <row r="1335">
      <c r="A1335" t="str">
        <f>IFERROR(__xludf.DUMMYFUNCTION("""COMPUTED_VALUE"""),"News")</f>
        <v>News</v>
      </c>
      <c r="B1335" t="str">
        <f>IFERROR(__xludf.DUMMYFUNCTION("""COMPUTED_VALUE"""),"")</f>
        <v/>
      </c>
      <c r="C1335" s="3" t="str">
        <f>IFERROR(__xludf.DUMMYFUNCTION("""COMPUTED_VALUE"""),"CHAI 2020 Internships")</f>
        <v>CHAI 2020 Internships</v>
      </c>
      <c r="E1335" t="str">
        <f>IFERROR(__xludf.DUMMYFUNCTION("""COMPUTED_VALUE"""),"CHAI Website")</f>
        <v>CHAI Website</v>
      </c>
      <c r="F1335">
        <f>IFERROR(__xludf.DUMMYFUNCTION("""COMPUTED_VALUE"""),2019.0)</f>
        <v>2019</v>
      </c>
      <c r="H1335" s="3" t="str">
        <f>IFERROR(__xludf.DUMMYFUNCTION("""COMPUTED_VALUE"""),"AN #74")</f>
        <v>AN #74</v>
      </c>
      <c r="I1335" t="str">
        <f>IFERROR(__xludf.DUMMYFUNCTION("""COMPUTED_VALUE"""),"Rohin")</f>
        <v>Rohin</v>
      </c>
      <c r="J1335" t="str">
        <f>IFERROR(__xludf.DUMMYFUNCTION("""COMPUTED_VALUE"""),"CHAI (the lab where I work) is currently accepting applications for its 2020 internship program. The deadline to apply is **Dec 15**.")</f>
        <v>CHAI (the lab where I work) is currently accepting applications for its 2020 internship program. The deadline to apply is **Dec 15**.</v>
      </c>
    </row>
    <row r="1336">
      <c r="A1336" t="str">
        <f>IFERROR(__xludf.DUMMYFUNCTION("""COMPUTED_VALUE"""),"News")</f>
        <v>News</v>
      </c>
      <c r="B1336" t="str">
        <f>IFERROR(__xludf.DUMMYFUNCTION("""COMPUTED_VALUE"""),"")</f>
        <v/>
      </c>
      <c r="C1336" s="3" t="str">
        <f>IFERROR(__xludf.DUMMYFUNCTION("""COMPUTED_VALUE"""),"FHI DPhil Scholarships")</f>
        <v>FHI DPhil Scholarships</v>
      </c>
      <c r="E1336" t="str">
        <f>IFERROR(__xludf.DUMMYFUNCTION("""COMPUTED_VALUE"""),"FHI Website")</f>
        <v>FHI Website</v>
      </c>
      <c r="F1336">
        <f>IFERROR(__xludf.DUMMYFUNCTION("""COMPUTED_VALUE"""),2019.0)</f>
        <v>2019</v>
      </c>
      <c r="H1336" s="3" t="str">
        <f>IFERROR(__xludf.DUMMYFUNCTION("""COMPUTED_VALUE"""),"AN #70")</f>
        <v>AN #70</v>
      </c>
      <c r="I1336" t="str">
        <f>IFERROR(__xludf.DUMMYFUNCTION("""COMPUTED_VALUE"""),"Rohin")</f>
        <v>Rohin</v>
      </c>
      <c r="J1336" t="str">
        <f>IFERROR(__xludf.DUMMYFUNCTION("""COMPUTED_VALUE"""),"The Future of Humanity Institute will be awarding up to two DPhil scholarships for the 2020/21 academic year, open to students beginning a DPhil at the University of Oxford whose research aims to answer crucial questions for improving the long-term prospe"&amp;"cts of humanity. Applications will open around January or February, and decisions will be made in April.")</f>
        <v>The Future of Humanity Institute will be awarding up to two DPhil scholarships for the 2020/21 academic year, open to students beginning a DPhil at the University of Oxford whose research aims to answer crucial questions for improving the long-term prospects of humanity. Applications will open around January or February, and decisions will be made in April.</v>
      </c>
    </row>
    <row r="1337">
      <c r="A1337" t="str">
        <f>IFERROR(__xludf.DUMMYFUNCTION("""COMPUTED_VALUE"""),"News")</f>
        <v>News</v>
      </c>
      <c r="B1337" t="str">
        <f>IFERROR(__xludf.DUMMYFUNCTION("""COMPUTED_VALUE"""),"")</f>
        <v/>
      </c>
      <c r="C1337" s="3" t="str">
        <f>IFERROR(__xludf.DUMMYFUNCTION("""COMPUTED_VALUE"""),"Open Phil AI Fellowship")</f>
        <v>Open Phil AI Fellowship</v>
      </c>
      <c r="E1337" t="str">
        <f>IFERROR(__xludf.DUMMYFUNCTION("""COMPUTED_VALUE"""),"Open Phil Website")</f>
        <v>Open Phil Website</v>
      </c>
      <c r="F1337">
        <f>IFERROR(__xludf.DUMMYFUNCTION("""COMPUTED_VALUE"""),2019.0)</f>
        <v>2019</v>
      </c>
      <c r="H1337" s="3" t="str">
        <f>IFERROR(__xludf.DUMMYFUNCTION("""COMPUTED_VALUE"""),"AN #66")</f>
        <v>AN #66</v>
      </c>
      <c r="I1337" t="str">
        <f>IFERROR(__xludf.DUMMYFUNCTION("""COMPUTED_VALUE"""),"Rohin")</f>
        <v>Rohin</v>
      </c>
      <c r="J1337" t="str">
        <f>IFERROR(__xludf.DUMMYFUNCTION("""COMPUTED_VALUE"""),"The Open Phil AI Fellowship is seeking applications for its third cohort. Applications are due by October 25. The fellowship is open to current and incoming PhD students, including those with pre-existing funding sources. It provides up to 5 years of supp"&amp;"ort with a stipend of $40,000 and a travel allocation of $10,000.")</f>
        <v>The Open Phil AI Fellowship is seeking applications for its third cohort. Applications are due by October 25. The fellowship is open to current and incoming PhD students, including those with pre-existing funding sources. It provides up to 5 years of support with a stipend of $40,000 and a travel allocation of $10,000.</v>
      </c>
    </row>
    <row r="1338">
      <c r="A1338" t="str">
        <f>IFERROR(__xludf.DUMMYFUNCTION("""COMPUTED_VALUE"""),"News")</f>
        <v>News</v>
      </c>
      <c r="B1338" t="str">
        <f>IFERROR(__xludf.DUMMYFUNCTION("""COMPUTED_VALUE"""),"")</f>
        <v/>
      </c>
      <c r="C1338" s="3" t="str">
        <f>IFERROR(__xludf.DUMMYFUNCTION("""COMPUTED_VALUE"""),"Ought: why it matters and ways to help")</f>
        <v>Ought: why it matters and ways to help</v>
      </c>
      <c r="D1338" t="str">
        <f>IFERROR(__xludf.DUMMYFUNCTION("""COMPUTED_VALUE"""),"Paul Christiano")</f>
        <v>Paul Christiano</v>
      </c>
      <c r="E1338" t="str">
        <f>IFERROR(__xludf.DUMMYFUNCTION("""COMPUTED_VALUE"""),"Alignment Forum")</f>
        <v>Alignment Forum</v>
      </c>
      <c r="F1338">
        <f>IFERROR(__xludf.DUMMYFUNCTION("""COMPUTED_VALUE"""),2019.0)</f>
        <v>2019</v>
      </c>
      <c r="H1338" s="3" t="str">
        <f>IFERROR(__xludf.DUMMYFUNCTION("""COMPUTED_VALUE"""),"AN #62")</f>
        <v>AN #62</v>
      </c>
      <c r="I1338" t="str">
        <f>IFERROR(__xludf.DUMMYFUNCTION("""COMPUTED_VALUE"""),"Rohin")</f>
        <v>Rohin</v>
      </c>
      <c r="J1338" t="str">
        <f>IFERROR(__xludf.DUMMYFUNCTION("""COMPUTED_VALUE"""),"This post discusses the work that Ought is doing, and makes a case that it is important for AI alignment (see the summary for [Delegating open-ended cognitive work](https://ought.org/presentations/delegating-cognitive-work-2019-06) above). Readers can hel"&amp;"p Ought by applying for their web developer role, by participating in their experiments, and by donating.")</f>
        <v>This post discusses the work that Ought is doing, and makes a case that it is important for AI alignment (see the summary for [Delegating open-ended cognitive work](https://ought.org/presentations/delegating-cognitive-work-2019-06) above). Readers can help Ought by applying for their web developer role, by participating in their experiments, and by donating.</v>
      </c>
    </row>
    <row r="1339">
      <c r="A1339" t="str">
        <f>IFERROR(__xludf.DUMMYFUNCTION("""COMPUTED_VALUE"""),"News")</f>
        <v>News</v>
      </c>
      <c r="B1339" t="str">
        <f>IFERROR(__xludf.DUMMYFUNCTION("""COMPUTED_VALUE"""),"")</f>
        <v/>
      </c>
      <c r="C1339" s="3" t="str">
        <f>IFERROR(__xludf.DUMMYFUNCTION("""COMPUTED_VALUE"""),"Join our rapidly growing research teams")</f>
        <v>Join our rapidly growing research teams</v>
      </c>
      <c r="D1339" t="str">
        <f>IFERROR(__xludf.DUMMYFUNCTION("""COMPUTED_VALUE"""),"Tanya Singh")</f>
        <v>Tanya Singh</v>
      </c>
      <c r="E1339" t="str">
        <f>IFERROR(__xludf.DUMMYFUNCTION("""COMPUTED_VALUE"""),"FHI Website")</f>
        <v>FHI Website</v>
      </c>
      <c r="F1339">
        <f>IFERROR(__xludf.DUMMYFUNCTION("""COMPUTED_VALUE"""),2019.0)</f>
        <v>2019</v>
      </c>
      <c r="H1339" s="3" t="str">
        <f>IFERROR(__xludf.DUMMYFUNCTION("""COMPUTED_VALUE"""),"AN #60")</f>
        <v>AN #60</v>
      </c>
      <c r="I1339" t="str">
        <f>IFERROR(__xludf.DUMMYFUNCTION("""COMPUTED_VALUE"""),"Rohin")</f>
        <v>Rohin</v>
      </c>
      <c r="J1339" t="str">
        <f>IFERROR(__xludf.DUMMYFUNCTION("""COMPUTED_VALUE"""),"The Future of Humanity Institute is hiring researchers across a wide range of topics, including AI safety and strategy. The deadline to apply is midday August 16.")</f>
        <v>The Future of Humanity Institute is hiring researchers across a wide range of topics, including AI safety and strategy. The deadline to apply is midday August 16.</v>
      </c>
    </row>
    <row r="1340">
      <c r="A1340" t="str">
        <f>IFERROR(__xludf.DUMMYFUNCTION("""COMPUTED_VALUE"""),"News")</f>
        <v>News</v>
      </c>
      <c r="B1340" t="str">
        <f>IFERROR(__xludf.DUMMYFUNCTION("""COMPUTED_VALUE"""),"")</f>
        <v/>
      </c>
      <c r="C1340" s="3" t="str">
        <f>IFERROR(__xludf.DUMMYFUNCTION("""COMPUTED_VALUE"""),"Contest: $1,000 for good questions to ask to an Oracle AI")</f>
        <v>Contest: $1,000 for good questions to ask to an Oracle AI</v>
      </c>
      <c r="D1340" t="str">
        <f>IFERROR(__xludf.DUMMYFUNCTION("""COMPUTED_VALUE"""),"Stuart Armstrong")</f>
        <v>Stuart Armstrong</v>
      </c>
      <c r="E1340" t="str">
        <f>IFERROR(__xludf.DUMMYFUNCTION("""COMPUTED_VALUE"""),"Alignment Forum")</f>
        <v>Alignment Forum</v>
      </c>
      <c r="F1340">
        <f>IFERROR(__xludf.DUMMYFUNCTION("""COMPUTED_VALUE"""),2019.0)</f>
        <v>2019</v>
      </c>
      <c r="H1340" s="3" t="str">
        <f>IFERROR(__xludf.DUMMYFUNCTION("""COMPUTED_VALUE"""),"AN #59")</f>
        <v>AN #59</v>
      </c>
    </row>
    <row r="1341">
      <c r="A1341" t="str">
        <f>IFERROR(__xludf.DUMMYFUNCTION("""COMPUTED_VALUE"""),"News")</f>
        <v>News</v>
      </c>
      <c r="B1341" t="str">
        <f>IFERROR(__xludf.DUMMYFUNCTION("""COMPUTED_VALUE"""),"")</f>
        <v/>
      </c>
      <c r="C1341" s="3" t="str">
        <f>IFERROR(__xludf.DUMMYFUNCTION("""COMPUTED_VALUE"""),"Offer of collaboration and/or mentorship")</f>
        <v>Offer of collaboration and/or mentorship</v>
      </c>
      <c r="D1341" t="str">
        <f>IFERROR(__xludf.DUMMYFUNCTION("""COMPUTED_VALUE"""),"Vanessa Kosoy")</f>
        <v>Vanessa Kosoy</v>
      </c>
      <c r="E1341" t="str">
        <f>IFERROR(__xludf.DUMMYFUNCTION("""COMPUTED_VALUE"""),"Alignment Forum")</f>
        <v>Alignment Forum</v>
      </c>
      <c r="F1341">
        <f>IFERROR(__xludf.DUMMYFUNCTION("""COMPUTED_VALUE"""),2019.0)</f>
        <v>2019</v>
      </c>
      <c r="H1341" s="3" t="str">
        <f>IFERROR(__xludf.DUMMYFUNCTION("""COMPUTED_VALUE"""),"AN #57")</f>
        <v>AN #57</v>
      </c>
      <c r="I1341" t="str">
        <f>IFERROR(__xludf.DUMMYFUNCTION("""COMPUTED_VALUE"""),"Rohin")</f>
        <v>Rohin</v>
      </c>
      <c r="J1341" t="str">
        <f>IFERROR(__xludf.DUMMYFUNCTION("""COMPUTED_VALUE"""),"This is exactly what it sounds like. You can find out more about Vanessa's research agenda from &lt;@The Learning-Theoretic AI Alignment Research Agenda@&gt;, and I've summarized two of her recent posts in this newsletter.")</f>
        <v>This is exactly what it sounds like. You can find out more about Vanessa's research agenda from &lt;@The Learning-Theoretic AI Alignment Research Agenda@&gt;, and I've summarized two of her recent posts in this newsletter.</v>
      </c>
    </row>
    <row r="1342">
      <c r="A1342" t="str">
        <f>IFERROR(__xludf.DUMMYFUNCTION("""COMPUTED_VALUE"""),"News")</f>
        <v>News</v>
      </c>
      <c r="B1342" t="str">
        <f>IFERROR(__xludf.DUMMYFUNCTION("""COMPUTED_VALUE"""),"")</f>
        <v/>
      </c>
      <c r="C1342" s="3" t="str">
        <f>IFERROR(__xludf.DUMMYFUNCTION("""COMPUTED_VALUE"""),"Human-aligned AI Summer School")</f>
        <v>Human-aligned AI Summer School</v>
      </c>
      <c r="D1342" t="str">
        <f>IFERROR(__xludf.DUMMYFUNCTION("""COMPUTED_VALUE"""),"Jan Kulveit, Tomáš Gavenčiak, Jan Romportl")</f>
        <v>Jan Kulveit, Tomáš Gavenčiak, Jan Romportl</v>
      </c>
      <c r="E1342" t="str">
        <f>IFERROR(__xludf.DUMMYFUNCTION("""COMPUTED_VALUE"""),"Human-aligned AI Summer School Website")</f>
        <v>Human-aligned AI Summer School Website</v>
      </c>
      <c r="F1342">
        <f>IFERROR(__xludf.DUMMYFUNCTION("""COMPUTED_VALUE"""),2019.0)</f>
        <v>2019</v>
      </c>
      <c r="H1342" s="3" t="str">
        <f>IFERROR(__xludf.DUMMYFUNCTION("""COMPUTED_VALUE"""),"AN #57")</f>
        <v>AN #57</v>
      </c>
      <c r="I1342" t="str">
        <f>IFERROR(__xludf.DUMMYFUNCTION("""COMPUTED_VALUE"""),"Rohin")</f>
        <v>Rohin</v>
      </c>
      <c r="J1342" t="str">
        <f>IFERROR(__xludf.DUMMYFUNCTION("""COMPUTED_VALUE"""),"The second Human-aligned AI Summer School will be held in Prague from July 25-28, with a focus on ""optimization and decision-making"". Applications are due June 15.")</f>
        <v>The second Human-aligned AI Summer School will be held in Prague from July 25-28, with a focus on "optimization and decision-making". Applications are due June 15.</v>
      </c>
    </row>
    <row r="1343">
      <c r="A1343" t="str">
        <f>IFERROR(__xludf.DUMMYFUNCTION("""COMPUTED_VALUE"""),"News")</f>
        <v>News</v>
      </c>
      <c r="B1343" t="str">
        <f>IFERROR(__xludf.DUMMYFUNCTION("""COMPUTED_VALUE"""),"")</f>
        <v/>
      </c>
      <c r="C1343" s="3" t="str">
        <f>IFERROR(__xludf.DUMMYFUNCTION("""COMPUTED_VALUE"""),"AI Safety workshop at IJCAI 2019")</f>
        <v>AI Safety workshop at IJCAI 2019</v>
      </c>
      <c r="D1343" t="str">
        <f>IFERROR(__xludf.DUMMYFUNCTION("""COMPUTED_VALUE"""),"Huáscar Espinoza, Han Yu, Xiaowei Huang, Freddy Lecue, Cynthia Chen, José Hernández-Orallo,Seán Ó hÉigeartaigh, and Richard Mallah")</f>
        <v>Huáscar Espinoza, Han Yu, Xiaowei Huang, Freddy Lecue, Cynthia Chen, José Hernández-Orallo,Seán Ó hÉigeartaigh, and Richard Mallah</v>
      </c>
      <c r="E1343" t="str">
        <f>IFERROR(__xludf.DUMMYFUNCTION("""COMPUTED_VALUE"""),"AI Safety Workshop website")</f>
        <v>AI Safety Workshop website</v>
      </c>
      <c r="F1343">
        <f>IFERROR(__xludf.DUMMYFUNCTION("""COMPUTED_VALUE"""),2019.0)</f>
        <v>2019</v>
      </c>
      <c r="H1343" s="3" t="str">
        <f>IFERROR(__xludf.DUMMYFUNCTION("""COMPUTED_VALUE"""),"AN #49")</f>
        <v>AN #49</v>
      </c>
      <c r="I1343" t="str">
        <f>IFERROR(__xludf.DUMMYFUNCTION("""COMPUTED_VALUE"""),"Rohin")</f>
        <v>Rohin</v>
      </c>
      <c r="J1343" t="str">
        <f>IFERROR(__xludf.DUMMYFUNCTION("""COMPUTED_VALUE"""),"There will be a workshop on AI safety at IJCAI 2019 in Macao, China; the paper submission deadline is April 12. In addition to the standard submissions (technical papers, proposals for technical talks, and position papers), they are seeking papers for the"&amp;"ir ""AI safety landscape"" initiative, which aims to build a single document identifying the core knowledge and needs of the AI safety community.")</f>
        <v>There will be a workshop on AI safety at IJCAI 2019 in Macao, China; the paper submission deadline is April 12. In addition to the standard submissions (technical papers, proposals for technical talks, and position papers), they are seeking papers for their "AI safety landscape" initiative, which aims to build a single document identifying the core knowledge and needs of the AI safety community.</v>
      </c>
      <c r="M1343" s="3" t="str">
        <f>IFERROR(__xludf.DUMMYFUNCTION("""COMPUTED_VALUE"""),"EasyChair website")</f>
        <v>EasyChair website</v>
      </c>
    </row>
    <row r="1344">
      <c r="A1344" t="str">
        <f>IFERROR(__xludf.DUMMYFUNCTION("""COMPUTED_VALUE"""),"News")</f>
        <v>News</v>
      </c>
      <c r="B1344" t="str">
        <f>IFERROR(__xludf.DUMMYFUNCTION("""COMPUTED_VALUE"""),"")</f>
        <v/>
      </c>
      <c r="C1344" s="3" t="str">
        <f>IFERROR(__xludf.DUMMYFUNCTION("""COMPUTED_VALUE"""),"MIRI Summer Fellows Program")</f>
        <v>MIRI Summer Fellows Program</v>
      </c>
      <c r="D1344" t="str">
        <f>IFERROR(__xludf.DUMMYFUNCTION("""COMPUTED_VALUE"""),"Colm Ó Riain")</f>
        <v>Colm Ó Riain</v>
      </c>
      <c r="E1344" t="str">
        <f>IFERROR(__xludf.DUMMYFUNCTION("""COMPUTED_VALUE"""),"CFAR Website")</f>
        <v>CFAR Website</v>
      </c>
      <c r="F1344">
        <f>IFERROR(__xludf.DUMMYFUNCTION("""COMPUTED_VALUE"""),2019.0)</f>
        <v>2019</v>
      </c>
      <c r="H1344" s="3" t="str">
        <f>IFERROR(__xludf.DUMMYFUNCTION("""COMPUTED_VALUE"""),"AN #47")</f>
        <v>AN #47</v>
      </c>
      <c r="I1344" t="str">
        <f>IFERROR(__xludf.DUMMYFUNCTION("""COMPUTED_VALUE"""),"Rohin")</f>
        <v>Rohin</v>
      </c>
      <c r="J1344" t="str">
        <f>IFERROR(__xludf.DUMMYFUNCTION("""COMPUTED_VALUE"""),"CFAR and MIRI are running the MIRI Summer Fellows Program from August 9-24. Applications are due March 31.")</f>
        <v>CFAR and MIRI are running the MIRI Summer Fellows Program from August 9-24. Applications are due March 31.</v>
      </c>
    </row>
    <row r="1345">
      <c r="A1345" t="str">
        <f>IFERROR(__xludf.DUMMYFUNCTION("""COMPUTED_VALUE"""),"News")</f>
        <v>News</v>
      </c>
      <c r="B1345" t="str">
        <f>IFERROR(__xludf.DUMMYFUNCTION("""COMPUTED_VALUE"""),"")</f>
        <v/>
      </c>
      <c r="C1345" s="3" t="str">
        <f>IFERROR(__xludf.DUMMYFUNCTION("""COMPUTED_VALUE"""),"RAISE is launching their MVP")</f>
        <v>RAISE is launching their MVP</v>
      </c>
      <c r="D1345" t="str">
        <f>IFERROR(__xludf.DUMMYFUNCTION("""COMPUTED_VALUE"""),"Toon Alfrink")</f>
        <v>Toon Alfrink</v>
      </c>
      <c r="E1345" t="str">
        <f>IFERROR(__xludf.DUMMYFUNCTION("""COMPUTED_VALUE"""),"LessWrong")</f>
        <v>LessWrong</v>
      </c>
      <c r="F1345">
        <f>IFERROR(__xludf.DUMMYFUNCTION("""COMPUTED_VALUE"""),2019.0)</f>
        <v>2019</v>
      </c>
      <c r="H1345" s="3" t="str">
        <f>IFERROR(__xludf.DUMMYFUNCTION("""COMPUTED_VALUE"""),"AN #47")</f>
        <v>AN #47</v>
      </c>
      <c r="I1345" t="str">
        <f>IFERROR(__xludf.DUMMYFUNCTION("""COMPUTED_VALUE"""),"Rohin")</f>
        <v>Rohin</v>
      </c>
      <c r="J1345" t="str">
        <f>IFERROR(__xludf.DUMMYFUNCTION("""COMPUTED_VALUE"""),"The Road to AI Safety Excellence will begin publishing lessons on inverse reinforcement learning and iterated amplification on Monday. They are looking for volunteers for their testing panel, who will study the material for about one full day per week, wi"&amp;"th guidance from RAISE, and provide feedback on the material and in particular on any sources of confusion.")</f>
        <v>The Road to AI Safety Excellence will begin publishing lessons on inverse reinforcement learning and iterated amplification on Monday. They are looking for volunteers for their testing panel, who will study the material for about one full day per week, with guidance from RAISE, and provide feedback on the material and in particular on any sources of confusion.</v>
      </c>
    </row>
    <row r="1346">
      <c r="A1346" t="str">
        <f>IFERROR(__xludf.DUMMYFUNCTION("""COMPUTED_VALUE"""),"News")</f>
        <v>News</v>
      </c>
      <c r="B1346" t="str">
        <f>IFERROR(__xludf.DUMMYFUNCTION("""COMPUTED_VALUE"""),"")</f>
        <v/>
      </c>
      <c r="C1346" s="3" t="str">
        <f>IFERROR(__xludf.DUMMYFUNCTION("""COMPUTED_VALUE"""),"FHI DPhil Scholarships")</f>
        <v>FHI DPhil Scholarships</v>
      </c>
      <c r="D1346" t="str">
        <f>IFERROR(__xludf.DUMMYFUNCTION("""COMPUTED_VALUE"""),"Rose Hadshar")</f>
        <v>Rose Hadshar</v>
      </c>
      <c r="E1346" t="str">
        <f>IFERROR(__xludf.DUMMYFUNCTION("""COMPUTED_VALUE"""),"FHI Website")</f>
        <v>FHI Website</v>
      </c>
      <c r="F1346">
        <f>IFERROR(__xludf.DUMMYFUNCTION("""COMPUTED_VALUE"""),2019.0)</f>
        <v>2019</v>
      </c>
      <c r="H1346" s="3" t="str">
        <f>IFERROR(__xludf.DUMMYFUNCTION("""COMPUTED_VALUE"""),"AN #46")</f>
        <v>AN #46</v>
      </c>
      <c r="I1346" t="str">
        <f>IFERROR(__xludf.DUMMYFUNCTION("""COMPUTED_VALUE"""),"Rohin")</f>
        <v>Rohin</v>
      </c>
      <c r="J1346" t="str">
        <f>IFERROR(__xludf.DUMMYFUNCTION("""COMPUTED_VALUE"""),"The Future of Humanity Institute is accepting applications for scholarships for candidates beginning a DPhil programme.")</f>
        <v>The Future of Humanity Institute is accepting applications for scholarships for candidates beginning a DPhil programme.</v>
      </c>
    </row>
    <row r="1347">
      <c r="A1347" t="str">
        <f>IFERROR(__xludf.DUMMYFUNCTION("""COMPUTED_VALUE"""),"News")</f>
        <v>News</v>
      </c>
      <c r="B1347" t="str">
        <f>IFERROR(__xludf.DUMMYFUNCTION("""COMPUTED_VALUE"""),"")</f>
        <v/>
      </c>
      <c r="C1347" s="3" t="str">
        <f>IFERROR(__xludf.DUMMYFUNCTION("""COMPUTED_VALUE"""),"PAI Fellowship Program Call For Applications")</f>
        <v>PAI Fellowship Program Call For Applications</v>
      </c>
      <c r="E1347" t="str">
        <f>IFERROR(__xludf.DUMMYFUNCTION("""COMPUTED_VALUE"""),"PAI Website")</f>
        <v>PAI Website</v>
      </c>
      <c r="F1347">
        <f>IFERROR(__xludf.DUMMYFUNCTION("""COMPUTED_VALUE"""),2019.0)</f>
        <v>2019</v>
      </c>
      <c r="H1347" s="3" t="str">
        <f>IFERROR(__xludf.DUMMYFUNCTION("""COMPUTED_VALUE"""),"AN #44")</f>
        <v>AN #44</v>
      </c>
      <c r="I1347" t="str">
        <f>IFERROR(__xludf.DUMMYFUNCTION("""COMPUTED_VALUE"""),"Rohin")</f>
        <v>Rohin</v>
      </c>
      <c r="J1347" t="str">
        <f>IFERROR(__xludf.DUMMYFUNCTION("""COMPUTED_VALUE"""),"The Partnership on AI is opening applications for Research Fellows who will ""conduct groundbreaking multi-disciplinary research"".")</f>
        <v>The Partnership on AI is opening applications for Research Fellows who will "conduct groundbreaking multi-disciplinary research".</v>
      </c>
    </row>
    <row r="1348">
      <c r="A1348" t="str">
        <f>IFERROR(__xludf.DUMMYFUNCTION("""COMPUTED_VALUE"""),"News")</f>
        <v>News</v>
      </c>
      <c r="B1348" t="str">
        <f>IFERROR(__xludf.DUMMYFUNCTION("""COMPUTED_VALUE"""),"")</f>
        <v/>
      </c>
      <c r="C1348" s="3" t="str">
        <f>IFERROR(__xludf.DUMMYFUNCTION("""COMPUTED_VALUE"""),"Announcement: AI alignment prize round 4 winners")</f>
        <v>Announcement: AI alignment prize round 4 winners</v>
      </c>
      <c r="D1348" t="str">
        <f>IFERROR(__xludf.DUMMYFUNCTION("""COMPUTED_VALUE"""),"cousin_it")</f>
        <v>cousin_it</v>
      </c>
      <c r="E1348" t="str">
        <f>IFERROR(__xludf.DUMMYFUNCTION("""COMPUTED_VALUE"""),"LessWrong")</f>
        <v>LessWrong</v>
      </c>
      <c r="F1348">
        <f>IFERROR(__xludf.DUMMYFUNCTION("""COMPUTED_VALUE"""),2019.0)</f>
        <v>2019</v>
      </c>
      <c r="H1348" s="3" t="str">
        <f>IFERROR(__xludf.DUMMYFUNCTION("""COMPUTED_VALUE"""),"AN #42")</f>
        <v>AN #42</v>
      </c>
      <c r="I1348" t="str">
        <f>IFERROR(__xludf.DUMMYFUNCTION("""COMPUTED_VALUE"""),"Rohin")</f>
        <v>Rohin</v>
      </c>
      <c r="J1348" t="str">
        <f>IFERROR(__xludf.DUMMYFUNCTION("""COMPUTED_VALUE"""),"The last iteration of the AI alignment prize has concluded, with awards of $7500 each to [Penalizing Impact via Attainable Utility Preservation](https://www.alignmentforum.org/posts/mDTded2Dn7BKRBEPX/penalizing-impact-via-attainable-utility-preservation) "&amp;"([AN #39](https://mailchi.mp/036ba834bcaf/alignment-newsletter-39)) and [Embedded Agency](https://www.alignmentforum.org/s/Rm6oQRJJmhGCcLvxh) ([AN #31](https://mailchi.mp/7d0e3916e3d9/alignment-newsletter-31), [AN #32](https://mailchi.mp/8f5d302499be/alig"&amp;"nment-newsletter-32)), and $2500 each to [Addressing three problems with counterfactual corrigibility](https://www.alignmentforum.org/posts/owdBiF8pj6Lpwwdup/addressing-three-problems-with-counterfactual-corrigibility) ([AN #30](https://mailchi.mp/c1f376f"&amp;"3a12e/alignment-newsletter-30)) and [Three AI Safety Related Ideas](https://www.alignmentforum.org/posts/vbtvgNXkufFRSrx4j/three-ai-safety-related-ideas)/[Two Neglected Problems in Human-AI Safety](https://www.alignmentforum.org/posts/HTgakSs6JpnogD6c2/tw"&amp;"o-neglected-problems-in-human-ai-safety) ([AN #38](https://mailchi.mp/588354e4b91d/alignment-newsletter-38)).")</f>
        <v>The last iteration of the AI alignment prize has concluded, with awards of $7500 each to [Penalizing Impact via Attainable Utility Preservation](https://www.alignmentforum.org/posts/mDTded2Dn7BKRBEPX/penalizing-impact-via-attainable-utility-preservation) ([AN #39](https://mailchi.mp/036ba834bcaf/alignment-newsletter-39)) and [Embedded Agency](https://www.alignmentforum.org/s/Rm6oQRJJmhGCcLvxh) ([AN #31](https://mailchi.mp/7d0e3916e3d9/alignment-newsletter-31), [AN #32](https://mailchi.mp/8f5d302499be/alignment-newsletter-32)), and $2500 each to [Addressing three problems with counterfactual corrigibility](https://www.alignmentforum.org/posts/owdBiF8pj6Lpwwdup/addressing-three-problems-with-counterfactual-corrigibility) ([AN #30](https://mailchi.mp/c1f376f3a12e/alignment-newsletter-30)) and [Three AI Safety Related Ideas](https://www.alignmentforum.org/posts/vbtvgNXkufFRSrx4j/three-ai-safety-related-ideas)/[Two Neglected Problems in Human-AI Safety](https://www.alignmentforum.org/posts/HTgakSs6JpnogD6c2/two-neglected-problems-in-human-ai-safety) ([AN #38](https://mailchi.mp/588354e4b91d/alignment-newsletter-38)).</v>
      </c>
    </row>
    <row r="1349">
      <c r="A1349" t="str">
        <f>IFERROR(__xludf.DUMMYFUNCTION("""COMPUTED_VALUE"""),"News")</f>
        <v>News</v>
      </c>
      <c r="B1349" t="str">
        <f>IFERROR(__xludf.DUMMYFUNCTION("""COMPUTED_VALUE"""),"")</f>
        <v/>
      </c>
      <c r="C1349" s="3" t="str">
        <f>IFERROR(__xludf.DUMMYFUNCTION("""COMPUTED_VALUE"""),"Summit on Machine Learning meets Formal Methods")</f>
        <v>Summit on Machine Learning meets Formal Methods</v>
      </c>
      <c r="E1349" t="str">
        <f>IFERROR(__xludf.DUMMYFUNCTION("""COMPUTED_VALUE"""),"FLOC Website")</f>
        <v>FLOC Website</v>
      </c>
      <c r="F1349">
        <f>IFERROR(__xludf.DUMMYFUNCTION("""COMPUTED_VALUE"""),2018.0)</f>
        <v>2018</v>
      </c>
      <c r="H1349" s="3" t="str">
        <f>IFERROR(__xludf.DUMMYFUNCTION("""COMPUTED_VALUE"""),"AN #4")</f>
        <v>AN #4</v>
      </c>
      <c r="I1349" t="str">
        <f>IFERROR(__xludf.DUMMYFUNCTION("""COMPUTED_VALUE"""),"Rohin")</f>
        <v>Rohin</v>
      </c>
      <c r="J1349" t="str">
        <f>IFERROR(__xludf.DUMMYFUNCTION("""COMPUTED_VALUE"""),"This is a one-day summit on July 13 that is part of the Federated Logic Conference. This seems like an unusually good venue to think about how to apply formal methods to AI systems -- in particular I'm impressed by the list of speakers, which includes a v"&amp;"ariety of experts in both fields.")</f>
        <v>This is a one-day summit on July 13 that is part of the Federated Logic Conference. This seems like an unusually good venue to think about how to apply formal methods to AI systems -- in particular I'm impressed by the list of speakers, which includes a variety of experts in both fields.</v>
      </c>
    </row>
    <row r="1350">
      <c r="A1350" t="str">
        <f>IFERROR(__xludf.DUMMYFUNCTION("""COMPUTED_VALUE"""),"News")</f>
        <v>News</v>
      </c>
      <c r="B1350" t="str">
        <f>IFERROR(__xludf.DUMMYFUNCTION("""COMPUTED_VALUE"""),"")</f>
        <v/>
      </c>
      <c r="C1350" s="3" t="str">
        <f>IFERROR(__xludf.DUMMYFUNCTION("""COMPUTED_VALUE"""),"2018 AI Alignment Literature Review and Charity Comparison")</f>
        <v>2018 AI Alignment Literature Review and Charity Comparison</v>
      </c>
      <c r="D1350" t="str">
        <f>IFERROR(__xludf.DUMMYFUNCTION("""COMPUTED_VALUE"""),"Larks")</f>
        <v>Larks</v>
      </c>
      <c r="E1350" t="str">
        <f>IFERROR(__xludf.DUMMYFUNCTION("""COMPUTED_VALUE"""),"Alignment Forum")</f>
        <v>Alignment Forum</v>
      </c>
      <c r="F1350">
        <f>IFERROR(__xludf.DUMMYFUNCTION("""COMPUTED_VALUE"""),2018.0)</f>
        <v>2018</v>
      </c>
      <c r="H1350" s="3" t="str">
        <f>IFERROR(__xludf.DUMMYFUNCTION("""COMPUTED_VALUE"""),"AN #38")</f>
        <v>AN #38</v>
      </c>
      <c r="I1350" t="str">
        <f>IFERROR(__xludf.DUMMYFUNCTION("""COMPUTED_VALUE"""),"Rohin")</f>
        <v>Rohin</v>
      </c>
      <c r="J1350" t="str">
        <f>IFERROR(__xludf.DUMMYFUNCTION("""COMPUTED_VALUE"""),"This post summarizes relevant papers in AI alignment over the last year, and uses them to compare different organizations working on AI alignment in order to choose which one to donate to.")</f>
        <v>This post summarizes relevant papers in AI alignment over the last year, and uses them to compare different organizations working on AI alignment in order to choose which one to donate to.</v>
      </c>
      <c r="K1350" t="str">
        <f>IFERROR(__xludf.DUMMYFUNCTION("""COMPUTED_VALUE"""),"It's a good roundup of papers, including several papers that I haven't covered in this newsletter.")</f>
        <v>It's a good roundup of papers, including several papers that I haven't covered in this newsletter.</v>
      </c>
    </row>
    <row r="1351">
      <c r="A1351" t="str">
        <f>IFERROR(__xludf.DUMMYFUNCTION("""COMPUTED_VALUE"""),"News")</f>
        <v>News</v>
      </c>
      <c r="B1351" t="str">
        <f>IFERROR(__xludf.DUMMYFUNCTION("""COMPUTED_VALUE"""),"")</f>
        <v/>
      </c>
      <c r="C1351" t="str">
        <f>IFERROR(__xludf.DUMMYFUNCTION("""COMPUTED_VALUE"""),"Internships and fellowships for 2019")</f>
        <v>Internships and fellowships for 2019</v>
      </c>
      <c r="E1351" t="str">
        <f>IFERROR(__xludf.DUMMYFUNCTION("""COMPUTED_VALUE"""),"N/A")</f>
        <v>N/A</v>
      </c>
      <c r="F1351">
        <f>IFERROR(__xludf.DUMMYFUNCTION("""COMPUTED_VALUE"""),2018.0)</f>
        <v>2018</v>
      </c>
      <c r="H1351" s="3" t="str">
        <f>IFERROR(__xludf.DUMMYFUNCTION("""COMPUTED_VALUE"""),"AN #28")</f>
        <v>AN #28</v>
      </c>
      <c r="I1351" t="str">
        <f>IFERROR(__xludf.DUMMYFUNCTION("""COMPUTED_VALUE"""),"Rohin")</f>
        <v>Rohin</v>
      </c>
      <c r="J1351" t="str">
        <f>IFERROR(__xludf.DUMMYFUNCTION("""COMPUTED_VALUE"""),"There are a lot of AI internships and fellowships to apply for now, including the [CHAI summer internship](https://humancompatible.ai/jobs#internship) (focused on safety in particular), the OpenAI [Fellows, Interns](https://blog.openai.com/openai-fellows-"&amp;"interns-2019/) and [Scholars](https://blog.openai.com/openai-scholars-2019/) programs, the [Google AI Residency Program](https://ai.google/research/join-us/ai-residency/) ([highlights](http://ai.googleblog.com/2018/10/highlights-from-google-ai-residency.h"&amp;"tml)), the [Facebook AI Research Residency Program](https://research.fb.com/programs/facebook-ai-research-residency-program/), the [Microsoft AI Residency Program](https://www.microsoft.com/en-us/research/academic-program/microsoft-ai-residency-program/),"&amp;" and the [Uber AI Residency](https://eng.uber.com/uber-ai-residency/).")</f>
        <v>There are a lot of AI internships and fellowships to apply for now, including the [CHAI summer internship](https://humancompatible.ai/jobs#internship) (focused on safety in particular), the OpenAI [Fellows, Interns](https://blog.openai.com/openai-fellows-interns-2019/) and [Scholars](https://blog.openai.com/openai-scholars-2019/) programs, the [Google AI Residency Program](https://ai.google/research/join-us/ai-residency/) ([highlights](http://ai.googleblog.com/2018/10/highlights-from-google-ai-residency.html)), the [Facebook AI Research Residency Program](https://research.fb.com/programs/facebook-ai-research-residency-program/), the [Microsoft AI Residency Program](https://www.microsoft.com/en-us/research/academic-program/microsoft-ai-residency-program/), and the [Uber AI Residency](https://eng.uber.com/uber-ai-residency/).</v>
      </c>
    </row>
    <row r="1352">
      <c r="A1352" t="str">
        <f>IFERROR(__xludf.DUMMYFUNCTION("""COMPUTED_VALUE"""),"News")</f>
        <v>News</v>
      </c>
      <c r="B1352" t="str">
        <f>IFERROR(__xludf.DUMMYFUNCTION("""COMPUTED_VALUE"""),"")</f>
        <v/>
      </c>
      <c r="C1352" s="3" t="str">
        <f>IFERROR(__xludf.DUMMYFUNCTION("""COMPUTED_VALUE"""),"The Open Philanthropy Project AI Fellows Program")</f>
        <v>The Open Philanthropy Project AI Fellows Program</v>
      </c>
      <c r="E1352" t="str">
        <f>IFERROR(__xludf.DUMMYFUNCTION("""COMPUTED_VALUE"""),"Open Phil website")</f>
        <v>Open Phil website</v>
      </c>
      <c r="F1352">
        <f>IFERROR(__xludf.DUMMYFUNCTION("""COMPUTED_VALUE"""),2018.0)</f>
        <v>2018</v>
      </c>
      <c r="H1352" s="3" t="str">
        <f>IFERROR(__xludf.DUMMYFUNCTION("""COMPUTED_VALUE"""),"AN #26")</f>
        <v>AN #26</v>
      </c>
      <c r="I1352" t="str">
        <f>IFERROR(__xludf.DUMMYFUNCTION("""COMPUTED_VALUE"""),"Rohin")</f>
        <v>Rohin</v>
      </c>
      <c r="J1352" t="str">
        <f>IFERROR(__xludf.DUMMYFUNCTION("""COMPUTED_VALUE"""),"The second Open Phil AI Fellowship has been announced, open to AI and ML PhD students, and people applying to PhD programs starting in 2019. Even if you aren't looking for a fellowship, you may want to read through their example research topics, which are"&amp;" split into three main categories -- reward learning, reliability, and interpretability.")</f>
        <v>The second Open Phil AI Fellowship has been announced, open to AI and ML PhD students, and people applying to PhD programs starting in 2019. Even if you aren't looking for a fellowship, you may want to read through their example research topics, which are split into three main categories -- reward learning, reliability, and interpretability.</v>
      </c>
      <c r="K1352" t="str">
        <f>IFERROR(__xludf.DUMMYFUNCTION("""COMPUTED_VALUE"""),"I like the breakdown of research topics, though personally I would have made them broader. I think I would want the ""reward learning"" category to include anything that aims to provide a specification for the AIs behavior, such as natural language instru"&amp;"ctions (that are mapped directly to policies with no reward in between). The ""reliability"" section is then about successfully meeting the specification, while the third section would include anything that allows the operator to empirically verify whethe"&amp;"r and enforce that the previous two sections are working correctly, including ""interpretability"". Actually, having written this, it's pretty similar to the three categories in the DeepMind blog post covered in the highlights.")</f>
        <v>I like the breakdown of research topics, though personally I would have made them broader. I think I would want the "reward learning" category to include anything that aims to provide a specification for the AIs behavior, such as natural language instructions (that are mapped directly to policies with no reward in between). The "reliability" section is then about successfully meeting the specification, while the third section would include anything that allows the operator to empirically verify whether and enforce that the previous two sections are working correctly, including "interpretability". Actually, having written this, it's pretty similar to the three categories in the DeepMind blog post covered in the highlights.</v>
      </c>
    </row>
    <row r="1353">
      <c r="A1353" t="str">
        <f>IFERROR(__xludf.DUMMYFUNCTION("""COMPUTED_VALUE"""),"News")</f>
        <v>News</v>
      </c>
      <c r="B1353" t="str">
        <f>IFERROR(__xludf.DUMMYFUNCTION("""COMPUTED_VALUE"""),"")</f>
        <v/>
      </c>
      <c r="C1353" s="3" t="str">
        <f>IFERROR(__xludf.DUMMYFUNCTION("""COMPUTED_VALUE"""),"80,000 Hours Job Board: AI/ML safety research")</f>
        <v>80,000 Hours Job Board: AI/ML safety research</v>
      </c>
      <c r="E1353" t="str">
        <f>IFERROR(__xludf.DUMMYFUNCTION("""COMPUTED_VALUE"""),"80,000 Hours")</f>
        <v>80,000 Hours</v>
      </c>
      <c r="F1353">
        <f>IFERROR(__xludf.DUMMYFUNCTION("""COMPUTED_VALUE"""),2018.0)</f>
        <v>2018</v>
      </c>
      <c r="H1353" s="3" t="str">
        <f>IFERROR(__xludf.DUMMYFUNCTION("""COMPUTED_VALUE"""),"AN #22")</f>
        <v>AN #22</v>
      </c>
      <c r="I1353" t="str">
        <f>IFERROR(__xludf.DUMMYFUNCTION("""COMPUTED_VALUE"""),"Rohin")</f>
        <v>Rohin</v>
      </c>
      <c r="J1353" t="str">
        <f>IFERROR(__xludf.DUMMYFUNCTION("""COMPUTED_VALUE"""),"80,000 Hours recently updated their job board, including the section on technical safety research. The [AI strategy and governance](https://80000hours.org/job-board/ai-strategy-governance/) section is probably also of interest.")</f>
        <v>80,000 Hours recently updated their job board, including the section on technical safety research. The [AI strategy and governance](https://80000hours.org/job-board/ai-strategy-governance/) section is probably also of interest.</v>
      </c>
    </row>
    <row r="1354">
      <c r="A1354" t="str">
        <f>IFERROR(__xludf.DUMMYFUNCTION("""COMPUTED_VALUE"""),"News")</f>
        <v>News</v>
      </c>
      <c r="B1354" t="str">
        <f>IFERROR(__xludf.DUMMYFUNCTION("""COMPUTED_VALUE"""),"")</f>
        <v/>
      </c>
      <c r="C1354" t="str">
        <f>IFERROR(__xludf.DUMMYFUNCTION("""COMPUTED_VALUE"""),"[BERI](http://existence.org/jobs/ml-engineer)/[CHAI](https://humancompatible.ai/jobs#engineer) ML engineer")</f>
        <v>[BERI](http://existence.org/jobs/ml-engineer)/[CHAI](https://humancompatible.ai/jobs#engineer) ML engineer</v>
      </c>
      <c r="E1354" t="str">
        <f>IFERROR(__xludf.DUMMYFUNCTION("""COMPUTED_VALUE"""),"BERI/CHAI Websites")</f>
        <v>BERI/CHAI Websites</v>
      </c>
      <c r="F1354">
        <f>IFERROR(__xludf.DUMMYFUNCTION("""COMPUTED_VALUE"""),2018.0)</f>
        <v>2018</v>
      </c>
      <c r="H1354" s="3" t="str">
        <f>IFERROR(__xludf.DUMMYFUNCTION("""COMPUTED_VALUE"""),"AN #22")</f>
        <v>AN #22</v>
      </c>
      <c r="I1354" t="str">
        <f>IFERROR(__xludf.DUMMYFUNCTION("""COMPUTED_VALUE"""),"Rohin")</f>
        <v>Rohin</v>
      </c>
      <c r="J1354" t="str">
        <f>IFERROR(__xludf.DUMMYFUNCTION("""COMPUTED_VALUE"""),"I want to highlight this role in particular -- I expect this to be a position where you can not only have a large impact, but also learn more about technical research, putting you in a better position to do research in the future.")</f>
        <v>I want to highlight this role in particular -- I expect this to be a position where you can not only have a large impact, but also learn more about technical research, putting you in a better position to do research in the future.</v>
      </c>
    </row>
    <row r="1355">
      <c r="A1355" t="str">
        <f>IFERROR(__xludf.DUMMYFUNCTION("""COMPUTED_VALUE"""),"News")</f>
        <v>News</v>
      </c>
      <c r="B1355" t="str">
        <f>IFERROR(__xludf.DUMMYFUNCTION("""COMPUTED_VALUE"""),"")</f>
        <v/>
      </c>
      <c r="C1355" s="3" t="str">
        <f>IFERROR(__xludf.DUMMYFUNCTION("""COMPUTED_VALUE"""),"State of California Endorses Asilomar AI Principles")</f>
        <v>State of California Endorses Asilomar AI Principles</v>
      </c>
      <c r="D1355" t="str">
        <f>IFERROR(__xludf.DUMMYFUNCTION("""COMPUTED_VALUE"""),"FLI Team")</f>
        <v>FLI Team</v>
      </c>
      <c r="E1355" t="str">
        <f>IFERROR(__xludf.DUMMYFUNCTION("""COMPUTED_VALUE"""),"FLI Website")</f>
        <v>FLI Website</v>
      </c>
      <c r="F1355">
        <f>IFERROR(__xludf.DUMMYFUNCTION("""COMPUTED_VALUE"""),2018.0)</f>
        <v>2018</v>
      </c>
      <c r="H1355" s="3" t="str">
        <f>IFERROR(__xludf.DUMMYFUNCTION("""COMPUTED_VALUE"""),"AN #22")</f>
        <v>AN #22</v>
      </c>
    </row>
    <row r="1356">
      <c r="A1356" t="str">
        <f>IFERROR(__xludf.DUMMYFUNCTION("""COMPUTED_VALUE"""),"News")</f>
        <v>News</v>
      </c>
      <c r="B1356" t="str">
        <f>IFERROR(__xludf.DUMMYFUNCTION("""COMPUTED_VALUE"""),"")</f>
        <v/>
      </c>
      <c r="C1356" s="3" t="str">
        <f>IFERROR(__xludf.DUMMYFUNCTION("""COMPUTED_VALUE"""),"DeepMind job: Science Writer")</f>
        <v>DeepMind job: Science Writer</v>
      </c>
      <c r="E1356" t="str">
        <f>IFERROR(__xludf.DUMMYFUNCTION("""COMPUTED_VALUE"""),"DeepMind")</f>
        <v>DeepMind</v>
      </c>
      <c r="F1356">
        <f>IFERROR(__xludf.DUMMYFUNCTION("""COMPUTED_VALUE"""),2018.0)</f>
        <v>2018</v>
      </c>
      <c r="H1356" s="3" t="str">
        <f>IFERROR(__xludf.DUMMYFUNCTION("""COMPUTED_VALUE"""),"AN #21")</f>
        <v>AN #21</v>
      </c>
      <c r="I1356" t="str">
        <f>IFERROR(__xludf.DUMMYFUNCTION("""COMPUTED_VALUE"""),"Rohin")</f>
        <v>Rohin</v>
      </c>
      <c r="J1356" t="str">
        <f>IFERROR(__xludf.DUMMYFUNCTION("""COMPUTED_VALUE"""),"According to the job listing, the role would involve creating content for the blog, videos, presentations, events, etc. and would require a reasonably technical background and strong writing skills. Vishal Maini at DeepMind notes that this person would li"&amp;"kely have a significant impact on how AI research is communicated to various key strategic audiences around the world -- from the technical community to the broader public -- and would spend some of their time engaging with AI alignment research, among ot"&amp;"her areas.")</f>
        <v>According to the job listing, the role would involve creating content for the blog, videos, presentations, events, etc. and would require a reasonably technical background and strong writing skills. Vishal Maini at DeepMind notes that this person would likely have a significant impact on how AI research is communicated to various key strategic audiences around the world -- from the technical community to the broader public -- and would spend some of their time engaging with AI alignment research, among other areas.</v>
      </c>
    </row>
    <row r="1357">
      <c r="A1357" t="str">
        <f>IFERROR(__xludf.DUMMYFUNCTION("""COMPUTED_VALUE"""),"News")</f>
        <v>News</v>
      </c>
      <c r="B1357" t="str">
        <f>IFERROR(__xludf.DUMMYFUNCTION("""COMPUTED_VALUE"""),"")</f>
        <v/>
      </c>
      <c r="C1357" s="3" t="str">
        <f>IFERROR(__xludf.DUMMYFUNCTION("""COMPUTED_VALUE"""),"Internship: The Future Society")</f>
        <v>Internship: The Future Society</v>
      </c>
      <c r="D1357" t="str">
        <f>IFERROR(__xludf.DUMMYFUNCTION("""COMPUTED_VALUE"""),"Caroline Jeanmaire")</f>
        <v>Caroline Jeanmaire</v>
      </c>
      <c r="E1357" t="str">
        <f>IFERROR(__xludf.DUMMYFUNCTION("""COMPUTED_VALUE"""),"Facebook")</f>
        <v>Facebook</v>
      </c>
      <c r="F1357">
        <f>IFERROR(__xludf.DUMMYFUNCTION("""COMPUTED_VALUE"""),2018.0)</f>
        <v>2018</v>
      </c>
      <c r="H1357" s="3" t="str">
        <f>IFERROR(__xludf.DUMMYFUNCTION("""COMPUTED_VALUE"""),"AN #21")</f>
        <v>AN #21</v>
      </c>
      <c r="I1357" t="str">
        <f>IFERROR(__xludf.DUMMYFUNCTION("""COMPUTED_VALUE"""),"Rohin")</f>
        <v>Rohin</v>
      </c>
      <c r="J1357" t="str">
        <f>IFERROR(__xludf.DUMMYFUNCTION("""COMPUTED_VALUE"""),"An internship which will focus on AI policy research as well as support to organize two large AI governance events. To apply, send a CV and a short letter explaining ‘why you?’ to caroline.jeanmaire@thefuturesociety.org.")</f>
        <v>An internship which will focus on AI policy research as well as support to organize two large AI governance events. To apply, send a CV and a short letter explaining ‘why you?’ to caroline.jeanmaire@thefuturesociety.org.</v>
      </c>
    </row>
    <row r="1358">
      <c r="A1358" t="str">
        <f>IFERROR(__xludf.DUMMYFUNCTION("""COMPUTED_VALUE"""),"News")</f>
        <v>News</v>
      </c>
      <c r="B1358" t="str">
        <f>IFERROR(__xludf.DUMMYFUNCTION("""COMPUTED_VALUE"""),"")</f>
        <v/>
      </c>
      <c r="C1358" s="3" t="str">
        <f>IFERROR(__xludf.DUMMYFUNCTION("""COMPUTED_VALUE"""),"MIRI's April 2018 Newsletter")</f>
        <v>MIRI's April 2018 Newsletter</v>
      </c>
      <c r="D1358" t="str">
        <f>IFERROR(__xludf.DUMMYFUNCTION("""COMPUTED_VALUE"""),"Rob Bensinger")</f>
        <v>Rob Bensinger</v>
      </c>
      <c r="E1358" t="str">
        <f>IFERROR(__xludf.DUMMYFUNCTION("""COMPUTED_VALUE"""),"MIRI Blog")</f>
        <v>MIRI Blog</v>
      </c>
      <c r="F1358">
        <f>IFERROR(__xludf.DUMMYFUNCTION("""COMPUTED_VALUE"""),2018.0)</f>
        <v>2018</v>
      </c>
      <c r="H1358" s="3" t="str">
        <f>IFERROR(__xludf.DUMMYFUNCTION("""COMPUTED_VALUE"""),"AN #2")</f>
        <v>AN #2</v>
      </c>
      <c r="I1358" t="str">
        <f>IFERROR(__xludf.DUMMYFUNCTION("""COMPUTED_VALUE"""),"Rohin")</f>
        <v>Rohin</v>
      </c>
      <c r="J1358" t="str">
        <f>IFERROR(__xludf.DUMMYFUNCTION("""COMPUTED_VALUE"""),"Lots of links to things MIRI has done, and some links to other people's work as well.")</f>
        <v>Lots of links to things MIRI has done, and some links to other people's work as well.</v>
      </c>
    </row>
    <row r="1359">
      <c r="A1359" t="str">
        <f>IFERROR(__xludf.DUMMYFUNCTION("""COMPUTED_VALUE"""),"News")</f>
        <v>News</v>
      </c>
      <c r="B1359" t="str">
        <f>IFERROR(__xludf.DUMMYFUNCTION("""COMPUTED_VALUE"""),"")</f>
        <v/>
      </c>
      <c r="C1359" s="3" t="str">
        <f>IFERROR(__xludf.DUMMYFUNCTION("""COMPUTED_VALUE"""),"AI Strategy Project Manager")</f>
        <v>AI Strategy Project Manager</v>
      </c>
      <c r="D1359" t="str">
        <f>IFERROR(__xludf.DUMMYFUNCTION("""COMPUTED_VALUE"""),"FHI")</f>
        <v>FHI</v>
      </c>
      <c r="E1359" t="str">
        <f>IFERROR(__xludf.DUMMYFUNCTION("""COMPUTED_VALUE"""),"UK Government Job Finding Website")</f>
        <v>UK Government Job Finding Website</v>
      </c>
      <c r="F1359">
        <f>IFERROR(__xludf.DUMMYFUNCTION("""COMPUTED_VALUE"""),2018.0)</f>
        <v>2018</v>
      </c>
      <c r="H1359" s="3" t="str">
        <f>IFERROR(__xludf.DUMMYFUNCTION("""COMPUTED_VALUE"""),"AN #18")</f>
        <v>AN #18</v>
      </c>
    </row>
    <row r="1360">
      <c r="A1360" t="str">
        <f>IFERROR(__xludf.DUMMYFUNCTION("""COMPUTED_VALUE"""),"News")</f>
        <v>News</v>
      </c>
      <c r="B1360" t="str">
        <f>IFERROR(__xludf.DUMMYFUNCTION("""COMPUTED_VALUE"""),"")</f>
        <v/>
      </c>
      <c r="C1360" s="3" t="str">
        <f>IFERROR(__xludf.DUMMYFUNCTION("""COMPUTED_VALUE"""),"Apply to the Open Philanthropy Technology Policy Fellowship!")</f>
        <v>Apply to the Open Philanthropy Technology Policy Fellowship!</v>
      </c>
      <c r="D1360" t="str">
        <f>IFERROR(__xludf.DUMMYFUNCTION("""COMPUTED_VALUE"""),"Luke Muehlhauser")</f>
        <v>Luke Muehlhauser</v>
      </c>
      <c r="E1360" t="str">
        <f>IFERROR(__xludf.DUMMYFUNCTION("""COMPUTED_VALUE"""),"EA Forum")</f>
        <v>EA Forum</v>
      </c>
      <c r="F1360">
        <f>IFERROR(__xludf.DUMMYFUNCTION("""COMPUTED_VALUE"""),2022.0)</f>
        <v>2022</v>
      </c>
      <c r="H1360" t="str">
        <f>IFERROR(__xludf.DUMMYFUNCTION("""COMPUTED_VALUE"""),"AN #173")</f>
        <v>AN #173</v>
      </c>
      <c r="I1360" t="str">
        <f>IFERROR(__xludf.DUMMYFUNCTION("""COMPUTED_VALUE"""),"Rohin")</f>
        <v>Rohin</v>
      </c>
      <c r="J1360" t="str">
        <f>IFERROR(__xludf.DUMMYFUNCTION("""COMPUTED_VALUE"""),"This &lt;@policy fellowship@&gt;(@Open Philanthropy Technology Policy Fellowship@) on high-priority emerging technologies is running for the second time! Application deadline is September 15.")</f>
        <v>This &lt;@policy fellowship@&gt;(@Open Philanthropy Technology Policy Fellowship@) on high-priority emerging technologies is running for the second time! Application deadline is September 15.</v>
      </c>
    </row>
    <row r="1361">
      <c r="A1361" t="str">
        <f>IFERROR(__xludf.DUMMYFUNCTION("""COMPUTED_VALUE"""),"News")</f>
        <v>News</v>
      </c>
      <c r="B1361" t="str">
        <f>IFERROR(__xludf.DUMMYFUNCTION("""COMPUTED_VALUE"""),"")</f>
        <v/>
      </c>
      <c r="C1361" s="3" t="str">
        <f>IFERROR(__xludf.DUMMYFUNCTION("""COMPUTED_VALUE"""),"Job ads: Metaculus")</f>
        <v>Job ads: Metaculus</v>
      </c>
      <c r="F1361">
        <f>IFERROR(__xludf.DUMMYFUNCTION("""COMPUTED_VALUE"""),2022.0)</f>
        <v>2022</v>
      </c>
      <c r="H1361" t="str">
        <f>IFERROR(__xludf.DUMMYFUNCTION("""COMPUTED_VALUE"""),"AN #173")</f>
        <v>AN #173</v>
      </c>
      <c r="I1361" t="str">
        <f>IFERROR(__xludf.DUMMYFUNCTION("""COMPUTED_VALUE"""),"Rohin")</f>
        <v>Rohin</v>
      </c>
      <c r="J1361" t="str">
        <f>IFERROR(__xludf.DUMMYFUNCTION("""COMPUTED_VALUE"""),"Metaculus is hiring for a variety of roles, including an AI Forecasting Lead.")</f>
        <v>Metaculus is hiring for a variety of roles, including an AI Forecasting Lead.</v>
      </c>
    </row>
    <row r="1362">
      <c r="A1362" t="str">
        <f>IFERROR(__xludf.DUMMYFUNCTION("""COMPUTED_VALUE"""),"News")</f>
        <v>News</v>
      </c>
      <c r="B1362" t="str">
        <f>IFERROR(__xludf.DUMMYFUNCTION("""COMPUTED_VALUE"""),"")</f>
        <v/>
      </c>
      <c r="C1362" s="3" t="str">
        <f>IFERROR(__xludf.DUMMYFUNCTION("""COMPUTED_VALUE"""),"Job ads: Epoch AI")</f>
        <v>Job ads: Epoch AI</v>
      </c>
      <c r="E1362" t="str">
        <f>IFERROR(__xludf.DUMMYFUNCTION("""COMPUTED_VALUE"""),"Epoch AI Website")</f>
        <v>Epoch AI Website</v>
      </c>
      <c r="F1362">
        <f>IFERROR(__xludf.DUMMYFUNCTION("""COMPUTED_VALUE"""),2022.0)</f>
        <v>2022</v>
      </c>
      <c r="H1362" t="str">
        <f>IFERROR(__xludf.DUMMYFUNCTION("""COMPUTED_VALUE"""),"AN #173")</f>
        <v>AN #173</v>
      </c>
      <c r="I1362" t="str">
        <f>IFERROR(__xludf.DUMMYFUNCTION("""COMPUTED_VALUE"""),"Rohin")</f>
        <v>Rohin</v>
      </c>
      <c r="J1362" t="str">
        <f>IFERROR(__xludf.DUMMYFUNCTION("""COMPUTED_VALUE"""),"Epoch AI is a new organization that investigates and forecasts the development of advanced AI. They are currently hiring for a Research Manager and Staff Researcher position.")</f>
        <v>Epoch AI is a new organization that investigates and forecasts the development of advanced AI. They are currently hiring for a Research Manager and Staff Researcher position.</v>
      </c>
    </row>
    <row r="1363">
      <c r="A1363" t="str">
        <f>IFERROR(__xludf.DUMMYFUNCTION("""COMPUTED_VALUE"""),"News")</f>
        <v>News</v>
      </c>
      <c r="B1363" t="str">
        <f>IFERROR(__xludf.DUMMYFUNCTION("""COMPUTED_VALUE"""),"")</f>
        <v/>
      </c>
      <c r="C1363" s="3" t="str">
        <f>IFERROR(__xludf.DUMMYFUNCTION("""COMPUTED_VALUE"""),"Job ad: AI Safety Support is hiring a Chief Operating Officer")</f>
        <v>Job ad: AI Safety Support is hiring a Chief Operating Officer</v>
      </c>
      <c r="F1363">
        <f>IFERROR(__xludf.DUMMYFUNCTION("""COMPUTED_VALUE"""),2022.0)</f>
        <v>2022</v>
      </c>
      <c r="H1363" t="str">
        <f>IFERROR(__xludf.DUMMYFUNCTION("""COMPUTED_VALUE"""),"AN #173")</f>
        <v>AN #173</v>
      </c>
      <c r="I1363" t="str">
        <f>IFERROR(__xludf.DUMMYFUNCTION("""COMPUTED_VALUE"""),"Rohin")</f>
        <v>Rohin</v>
      </c>
      <c r="J1363" t="str">
        <f>IFERROR(__xludf.DUMMYFUNCTION("""COMPUTED_VALUE"""),"Application deadline is August 14.")</f>
        <v>Application deadline is August 14.</v>
      </c>
    </row>
    <row r="1364">
      <c r="A1364" t="str">
        <f>IFERROR(__xludf.DUMMYFUNCTION("""COMPUTED_VALUE"""),"News")</f>
        <v>News</v>
      </c>
      <c r="B1364" t="str">
        <f>IFERROR(__xludf.DUMMYFUNCTION("""COMPUTED_VALUE"""),"")</f>
        <v/>
      </c>
      <c r="C1364" s="3" t="str">
        <f>IFERROR(__xludf.DUMMYFUNCTION("""COMPUTED_VALUE"""),"Job ad: Postdoc at the Algorithmic Alignment Group")</f>
        <v>Job ad: Postdoc at the Algorithmic Alignment Group</v>
      </c>
      <c r="E1364" t="str">
        <f>IFERROR(__xludf.DUMMYFUNCTION("""COMPUTED_VALUE"""),"CAIF Website")</f>
        <v>CAIF Website</v>
      </c>
      <c r="F1364">
        <f>IFERROR(__xludf.DUMMYFUNCTION("""COMPUTED_VALUE"""),2022.0)</f>
        <v>2022</v>
      </c>
      <c r="H1364" s="3" t="str">
        <f>IFERROR(__xludf.DUMMYFUNCTION("""COMPUTED_VALUE"""),"AN #172")</f>
        <v>AN #172</v>
      </c>
      <c r="I1364" t="str">
        <f>IFERROR(__xludf.DUMMYFUNCTION("""COMPUTED_VALUE"""),"Rohin")</f>
        <v>Rohin</v>
      </c>
      <c r="J1364" t="str">
        <f>IFERROR(__xludf.DUMMYFUNCTION("""COMPUTED_VALUE"""),"This position at Dylan Hadfield-Menell's lab will lead the design and implementation of a large-scale Cooperative AI contest to take place next year, alongside collaborators at DeepMind and the Cooperative AI Foundation.")</f>
        <v>This position at Dylan Hadfield-Menell's lab will lead the design and implementation of a large-scale Cooperative AI contest to take place next year, alongside collaborators at DeepMind and the Cooperative AI Foundation.</v>
      </c>
    </row>
    <row r="1365">
      <c r="A1365" t="str">
        <f>IFERROR(__xludf.DUMMYFUNCTION("""COMPUTED_VALUE"""),"News")</f>
        <v>News</v>
      </c>
      <c r="B1365" t="str">
        <f>IFERROR(__xludf.DUMMYFUNCTION("""COMPUTED_VALUE"""),"")</f>
        <v/>
      </c>
      <c r="C1365" s="3" t="str">
        <f>IFERROR(__xludf.DUMMYFUNCTION("""COMPUTED_VALUE"""),"Job ad: AI Alignment postdoc")</f>
        <v>Job ad: AI Alignment postdoc</v>
      </c>
      <c r="E1365" t="str">
        <f>IFERROR(__xludf.DUMMYFUNCTION("""COMPUTED_VALUE"""),"Cambridge Website")</f>
        <v>Cambridge Website</v>
      </c>
      <c r="F1365">
        <f>IFERROR(__xludf.DUMMYFUNCTION("""COMPUTED_VALUE"""),2022.0)</f>
        <v>2022</v>
      </c>
      <c r="H1365" s="3" t="str">
        <f>IFERROR(__xludf.DUMMYFUNCTION("""COMPUTED_VALUE"""),"AN #172")</f>
        <v>AN #172</v>
      </c>
      <c r="I1365" t="str">
        <f>IFERROR(__xludf.DUMMYFUNCTION("""COMPUTED_VALUE"""),"Rohin")</f>
        <v>Rohin</v>
      </c>
      <c r="J1365" t="str">
        <f>IFERROR(__xludf.DUMMYFUNCTION("""COMPUTED_VALUE"""),"[David Krueger](https://www.davidscottkrueger.com/) is hiring for a postdoc in AI alignment (and is also hiring for [another role in deep learning](https://www.jobs.cam.ac.uk/job/35319/)). The application deadline is August 2.")</f>
        <v>[David Krueger](https://www.davidscottkrueger.com/) is hiring for a postdoc in AI alignment (and is also hiring for [another role in deep learning](https://www.jobs.cam.ac.uk/job/35319/)). The application deadline is August 2.</v>
      </c>
    </row>
    <row r="1366">
      <c r="A1366" t="str">
        <f>IFERROR(__xludf.DUMMYFUNCTION("""COMPUTED_VALUE"""),"News")</f>
        <v>News</v>
      </c>
      <c r="B1366" t="str">
        <f>IFERROR(__xludf.DUMMYFUNCTION("""COMPUTED_VALUE"""),"")</f>
        <v/>
      </c>
      <c r="C1366" s="3" t="str">
        <f>IFERROR(__xludf.DUMMYFUNCTION("""COMPUTED_VALUE"""),"Job ad: OpenAI Trust &amp; Safety Operations Contractor")</f>
        <v>Job ad: OpenAI Trust &amp; Safety Operations Contractor</v>
      </c>
      <c r="F1366">
        <f>IFERROR(__xludf.DUMMYFUNCTION("""COMPUTED_VALUE"""),2022.0)</f>
        <v>2022</v>
      </c>
      <c r="H1366" s="3" t="str">
        <f>IFERROR(__xludf.DUMMYFUNCTION("""COMPUTED_VALUE"""),"AN #172")</f>
        <v>AN #172</v>
      </c>
      <c r="I1366" t="str">
        <f>IFERROR(__xludf.DUMMYFUNCTION("""COMPUTED_VALUE"""),"Rohin")</f>
        <v>Rohin</v>
      </c>
      <c r="J1366" t="str">
        <f>IFERROR(__xludf.DUMMYFUNCTION("""COMPUTED_VALUE"""),"In this remote contractor role, you would evaluate submissions to OpenAI's [App Review process](https://beta.openai.com/docs/usage-guidelines/app-review) to ensure they comply with OpenAI's policies. Apply [here](https://forms.gle/MU7vwyfq37mWF2QWA) by Ju"&amp;"ly 13, 5pm Pacific Time.")</f>
        <v>In this remote contractor role, you would evaluate submissions to OpenAI's [App Review process](https://beta.openai.com/docs/usage-guidelines/app-review) to ensure they comply with OpenAI's policies. Apply [here](https://forms.gle/MU7vwyfq37mWF2QWA) by July 13, 5pm Pacific Time.</v>
      </c>
    </row>
    <row r="1367">
      <c r="A1367" t="str">
        <f>IFERROR(__xludf.DUMMYFUNCTION("""COMPUTED_VALUE"""),"News")</f>
        <v>News</v>
      </c>
      <c r="B1367" t="str">
        <f>IFERROR(__xludf.DUMMYFUNCTION("""COMPUTED_VALUE"""),"")</f>
        <v/>
      </c>
      <c r="C1367" s="3" t="str">
        <f>IFERROR(__xludf.DUMMYFUNCTION("""COMPUTED_VALUE"""),"Job ad: Director of CSER")</f>
        <v>Job ad: Director of CSER</v>
      </c>
      <c r="E1367" t="str">
        <f>IFERROR(__xludf.DUMMYFUNCTION("""COMPUTED_VALUE"""),"CSER Website")</f>
        <v>CSER Website</v>
      </c>
      <c r="F1367">
        <f>IFERROR(__xludf.DUMMYFUNCTION("""COMPUTED_VALUE"""),2022.0)</f>
        <v>2022</v>
      </c>
      <c r="H1367" s="3" t="str">
        <f>IFERROR(__xludf.DUMMYFUNCTION("""COMPUTED_VALUE"""),"AN #172")</f>
        <v>AN #172</v>
      </c>
      <c r="I1367" t="str">
        <f>IFERROR(__xludf.DUMMYFUNCTION("""COMPUTED_VALUE"""),"Rohin")</f>
        <v>Rohin</v>
      </c>
      <c r="J1367" t="str">
        <f>IFERROR(__xludf.DUMMYFUNCTION("""COMPUTED_VALUE"""),"Application deadline is July 31. Quoting the job ad: ""The Director will be expected to provide visionary leadership for the Centre, to maintain and enhance its reputation for cutting-edge research, to develop and oversee fundraising and new project and p"&amp;"rogramme design, to ensure the proper functioning of its operations and administration, and to lead its endeavours to secure longevity for the Centre within the University.""")</f>
        <v>Application deadline is July 31. Quoting the job ad: "The Director will be expected to provide visionary leadership for the Centre, to maintain and enhance its reputation for cutting-edge research, to develop and oversee fundraising and new project and programme design, to ensure the proper functioning of its operations and administration, and to lead its endeavours to secure longevity for the Centre within the University."</v>
      </c>
    </row>
    <row r="1368">
      <c r="A1368" t="str">
        <f>IFERROR(__xludf.DUMMYFUNCTION("""COMPUTED_VALUE"""),"News")</f>
        <v>News</v>
      </c>
      <c r="B1368" t="str">
        <f>IFERROR(__xludf.DUMMYFUNCTION("""COMPUTED_VALUE"""),"")</f>
        <v/>
      </c>
      <c r="C1368" s="3" t="str">
        <f>IFERROR(__xludf.DUMMYFUNCTION("""COMPUTED_VALUE"""),"Job ads: Roles at the Fund for Alignment Research")</f>
        <v>Job ads: Roles at the Fund for Alignment Research</v>
      </c>
      <c r="E1368" t="str">
        <f>IFERROR(__xludf.DUMMYFUNCTION("""COMPUTED_VALUE"""),"FAR Website")</f>
        <v>FAR Website</v>
      </c>
      <c r="F1368">
        <f>IFERROR(__xludf.DUMMYFUNCTION("""COMPUTED_VALUE"""),2022.0)</f>
        <v>2022</v>
      </c>
      <c r="H1368" s="3" t="str">
        <f>IFERROR(__xludf.DUMMYFUNCTION("""COMPUTED_VALUE"""),"AN #172")</f>
        <v>AN #172</v>
      </c>
      <c r="I1368" t="str">
        <f>IFERROR(__xludf.DUMMYFUNCTION("""COMPUTED_VALUE"""),"Rohin")</f>
        <v>Rohin</v>
      </c>
      <c r="J1368" t="str">
        <f>IFERROR(__xludf.DUMMYFUNCTION("""COMPUTED_VALUE"""),"The Fund for Alignment Research (FAR) is a new organization that helps AI safety researchers, primarily in academia, pursue high-impact research by hiring contractors. It is currently hiring for Operation Manager, Research Engineer, and Communication Spec"&amp;"ialist roles.")</f>
        <v>The Fund for Alignment Research (FAR) is a new organization that helps AI safety researchers, primarily in academia, pursue high-impact research by hiring contractors. It is currently hiring for Operation Manager, Research Engineer, and Communication Specialist roles.</v>
      </c>
    </row>
    <row r="1369">
      <c r="A1369" t="str">
        <f>IFERROR(__xludf.DUMMYFUNCTION("""COMPUTED_VALUE"""),"News")</f>
        <v>News</v>
      </c>
      <c r="B1369" t="str">
        <f>IFERROR(__xludf.DUMMYFUNCTION("""COMPUTED_VALUE"""),"")</f>
        <v/>
      </c>
      <c r="C1369" s="3" t="str">
        <f>IFERROR(__xludf.DUMMYFUNCTION("""COMPUTED_VALUE"""),"New Seminar Series and Call For Proposals On Cooperative AI")</f>
        <v>New Seminar Series and Call For Proposals On Cooperative AI</v>
      </c>
      <c r="E1369" t="str">
        <f>IFERROR(__xludf.DUMMYFUNCTION("""COMPUTED_VALUE"""),"CAIF Website")</f>
        <v>CAIF Website</v>
      </c>
      <c r="F1369">
        <f>IFERROR(__xludf.DUMMYFUNCTION("""COMPUTED_VALUE"""),2022.0)</f>
        <v>2022</v>
      </c>
      <c r="H1369" s="3" t="str">
        <f>IFERROR(__xludf.DUMMYFUNCTION("""COMPUTED_VALUE"""),"AN #171")</f>
        <v>AN #171</v>
      </c>
      <c r="I1369" t="str">
        <f>IFERROR(__xludf.DUMMYFUNCTION("""COMPUTED_VALUE"""),"Rohin")</f>
        <v>Rohin</v>
      </c>
      <c r="J1369" t="str">
        <f>IFERROR(__xludf.DUMMYFUNCTION("""COMPUTED_VALUE"""),"The Cooperative AI Foundation (CAIF) will be hosting a new fortnightly seminar series in which leading thinkers offer their vision for research on Cooperative AI. The first talk, 'AI Agents May Cooperate Better If They Don’t Resemble Us’, was given on Thu"&amp;"rsday (Jan 20) by Vincent Conitzer (Duke University, University of Oxford). You can find more details and submit a proposal for the seminar series [here](https://www.cooperativeai.com/seminars).")</f>
        <v>The Cooperative AI Foundation (CAIF) will be hosting a new fortnightly seminar series in which leading thinkers offer their vision for research on Cooperative AI. The first talk, 'AI Agents May Cooperate Better If They Don’t Resemble Us’, was given on Thursday (Jan 20) by Vincent Conitzer (Duke University, University of Oxford). You can find more details and submit a proposal for the seminar series [here](https://www.cooperativeai.com/seminars).</v>
      </c>
    </row>
    <row r="1370">
      <c r="A1370" t="str">
        <f>IFERROR(__xludf.DUMMYFUNCTION("""COMPUTED_VALUE"""),"News")</f>
        <v>News</v>
      </c>
      <c r="B1370" t="str">
        <f>IFERROR(__xludf.DUMMYFUNCTION("""COMPUTED_VALUE"""),"")</f>
        <v/>
      </c>
      <c r="C1370" s="3" t="str">
        <f>IFERROR(__xludf.DUMMYFUNCTION("""COMPUTED_VALUE"""),"AI Risk Management Framework Concept Paper")</f>
        <v>AI Risk Management Framework Concept Paper</v>
      </c>
      <c r="F1370">
        <f>IFERROR(__xludf.DUMMYFUNCTION("""COMPUTED_VALUE"""),2021.0)</f>
        <v>2021</v>
      </c>
      <c r="H1370" s="3" t="str">
        <f>IFERROR(__xludf.DUMMYFUNCTION("""COMPUTED_VALUE"""),"AN #171")</f>
        <v>AN #171</v>
      </c>
      <c r="I1370" t="str">
        <f>IFERROR(__xludf.DUMMYFUNCTION("""COMPUTED_VALUE"""),"Rohin")</f>
        <v>Rohin</v>
      </c>
      <c r="J1370" t="str">
        <f>IFERROR(__xludf.DUMMYFUNCTION("""COMPUTED_VALUE"""),"After their &lt;@Request For Information last year@&gt;(@NIST AI Risk Management Framework@), NIST has now posted a concept paper detailing their current thinking around the AI Risk Management Framework that they are creating, and are soliciting comments by Jan"&amp;" 25. As before, if you're interested in helping with a response, email Tony Barrett at anthony.barrett@berkeley.edu.")</f>
        <v>After their &lt;@Request For Information last year@&gt;(@NIST AI Risk Management Framework@), NIST has now posted a concept paper detailing their current thinking around the AI Risk Management Framework that they are creating, and are soliciting comments by Jan 25. As before, if you're interested in helping with a response, email Tony Barrett at anthony.barrett@berkeley.edu.</v>
      </c>
    </row>
    <row r="1371">
      <c r="A1371" t="str">
        <f>IFERROR(__xludf.DUMMYFUNCTION("""COMPUTED_VALUE"""),"News")</f>
        <v>News</v>
      </c>
      <c r="B1371" t="str">
        <f>IFERROR(__xludf.DUMMYFUNCTION("""COMPUTED_VALUE"""),"")</f>
        <v/>
      </c>
      <c r="C1371" s="3" t="str">
        <f>IFERROR(__xludf.DUMMYFUNCTION("""COMPUTED_VALUE"""),"Announcing the PIBBSS Summer Research Fellowship")</f>
        <v>Announcing the PIBBSS Summer Research Fellowship</v>
      </c>
      <c r="D1371" t="str">
        <f>IFERROR(__xludf.DUMMYFUNCTION("""COMPUTED_VALUE"""),"Nora Ammann")</f>
        <v>Nora Ammann</v>
      </c>
      <c r="E1371" t="str">
        <f>IFERROR(__xludf.DUMMYFUNCTION("""COMPUTED_VALUE"""),"EA Forum")</f>
        <v>EA Forum</v>
      </c>
      <c r="F1371">
        <f>IFERROR(__xludf.DUMMYFUNCTION("""COMPUTED_VALUE"""),2021.0)</f>
        <v>2021</v>
      </c>
      <c r="H1371" s="3" t="str">
        <f>IFERROR(__xludf.DUMMYFUNCTION("""COMPUTED_VALUE"""),"AN #171")</f>
        <v>AN #171</v>
      </c>
      <c r="I1371" t="str">
        <f>IFERROR(__xludf.DUMMYFUNCTION("""COMPUTED_VALUE"""),"Rohin")</f>
        <v>Rohin</v>
      </c>
      <c r="J1371" t="str">
        <f>IFERROR(__xludf.DUMMYFUNCTION("""COMPUTED_VALUE"""),"Principles of Intelligent Behavior in Biological and Social Systems (PIBBSS) aims to facilitate knowledge transfer with the goal of building human-aligned AI systems. This summer research fellowship will bring together researchers from fields studying com"&amp;"plex and intelligent behavior in natural and social systems, such as evolutionary biology, neuroscience, linguistics, sociology, and more. The application deadline is Jan 23, and there are also [bounties](https://forum.effectivealtruism.org/posts/hhLbFmhX"&amp;"bmaX5PcCa/extended-deadline-jan-23rd-announcing-the-pibbss-summer) for referrals.")</f>
        <v>Principles of Intelligent Behavior in Biological and Social Systems (PIBBSS) aims to facilitate knowledge transfer with the goal of building human-aligned AI systems. This summer research fellowship will bring together researchers from fields studying complex and intelligent behavior in natural and social systems, such as evolutionary biology, neuroscience, linguistics, sociology, and more. The application deadline is Jan 23, and there are also [bounties](https://forum.effectivealtruism.org/posts/hhLbFmhXbmaX5PcCa/extended-deadline-jan-23rd-announcing-the-pibbss-summer) for referrals.</v>
      </c>
    </row>
    <row r="1372">
      <c r="A1372" t="str">
        <f>IFERROR(__xludf.DUMMYFUNCTION("""COMPUTED_VALUE"""),"News")</f>
        <v>News</v>
      </c>
      <c r="B1372" t="str">
        <f>IFERROR(__xludf.DUMMYFUNCTION("""COMPUTED_VALUE"""),"")</f>
        <v/>
      </c>
      <c r="C1372" s="3" t="str">
        <f>IFERROR(__xludf.DUMMYFUNCTION("""COMPUTED_VALUE"""),"Public reports are now optional for EA Funds grantees")</f>
        <v>Public reports are now optional for EA Funds grantees</v>
      </c>
      <c r="D1372" t="str">
        <f>IFERROR(__xludf.DUMMYFUNCTION("""COMPUTED_VALUE"""),"Asya Bergal and Jonas Vollmer")</f>
        <v>Asya Bergal and Jonas Vollmer</v>
      </c>
      <c r="E1372" t="str">
        <f>IFERROR(__xludf.DUMMYFUNCTION("""COMPUTED_VALUE"""),"EA Forum")</f>
        <v>EA Forum</v>
      </c>
      <c r="F1372">
        <f>IFERROR(__xludf.DUMMYFUNCTION("""COMPUTED_VALUE"""),2021.0)</f>
        <v>2021</v>
      </c>
      <c r="H1372" s="3" t="str">
        <f>IFERROR(__xludf.DUMMYFUNCTION("""COMPUTED_VALUE"""),"AN #170")</f>
        <v>AN #170</v>
      </c>
      <c r="I1372" t="str">
        <f>IFERROR(__xludf.DUMMYFUNCTION("""COMPUTED_VALUE"""),"Rohin")</f>
        <v>Rohin</v>
      </c>
      <c r="J1372" t="str">
        <f>IFERROR(__xludf.DUMMYFUNCTION("""COMPUTED_VALUE"""),"This is your regular reminder that you can apply to the Long-Term Future Fund (and the broader EA Funds) for funding for a wide variety of projects. They have now removed the requirement for public reporting of your grant. They encourage you to apply if y"&amp;"ou have a preference for private funding.")</f>
        <v>This is your regular reminder that you can apply to the Long-Term Future Fund (and the broader EA Funds) for funding for a wide variety of projects. They have now removed the requirement for public reporting of your grant. They encourage you to apply if you have a preference for private funding.</v>
      </c>
    </row>
    <row r="1373">
      <c r="A1373" t="str">
        <f>IFERROR(__xludf.DUMMYFUNCTION("""COMPUTED_VALUE"""),"News")</f>
        <v>News</v>
      </c>
      <c r="B1373" t="str">
        <f>IFERROR(__xludf.DUMMYFUNCTION("""COMPUTED_VALUE"""),"")</f>
        <v/>
      </c>
      <c r="C1373" s="3" t="str">
        <f>IFERROR(__xludf.DUMMYFUNCTION("""COMPUTED_VALUE"""),"Sydney AI Safety Fellowship")</f>
        <v>Sydney AI Safety Fellowship</v>
      </c>
      <c r="D1373" t="str">
        <f>IFERROR(__xludf.DUMMYFUNCTION("""COMPUTED_VALUE"""),"casebash")</f>
        <v>casebash</v>
      </c>
      <c r="E1373" t="str">
        <f>IFERROR(__xludf.DUMMYFUNCTION("""COMPUTED_VALUE"""),"EA Forum")</f>
        <v>EA Forum</v>
      </c>
      <c r="F1373">
        <f>IFERROR(__xludf.DUMMYFUNCTION("""COMPUTED_VALUE"""),2021.0)</f>
        <v>2021</v>
      </c>
      <c r="H1373" s="3" t="str">
        <f>IFERROR(__xludf.DUMMYFUNCTION("""COMPUTED_VALUE"""),"AN #170")</f>
        <v>AN #170</v>
      </c>
      <c r="I1373" t="str">
        <f>IFERROR(__xludf.DUMMYFUNCTION("""COMPUTED_VALUE"""),"Rohin")</f>
        <v>Rohin</v>
      </c>
      <c r="J1373" t="str">
        <f>IFERROR(__xludf.DUMMYFUNCTION("""COMPUTED_VALUE"""),"This 7-week fellowship will provide fellows from Australia and New Zealand the opportunity to pursue projects in AI Safety or spend time upskilling. Applications are due December 14.")</f>
        <v>This 7-week fellowship will provide fellows from Australia and New Zealand the opportunity to pursue projects in AI Safety or spend time upskilling. Applications are due December 14.</v>
      </c>
    </row>
    <row r="1374">
      <c r="A1374" t="str">
        <f>IFERROR(__xludf.DUMMYFUNCTION("""COMPUTED_VALUE"""),"News")</f>
        <v>News</v>
      </c>
      <c r="B1374" t="str">
        <f>IFERROR(__xludf.DUMMYFUNCTION("""COMPUTED_VALUE"""),"")</f>
        <v/>
      </c>
      <c r="C1374" s="3" t="str">
        <f>IFERROR(__xludf.DUMMYFUNCTION("""COMPUTED_VALUE"""),"$2 Million Donated to Keep Artificial General Intelligence Beneficial and Robust")</f>
        <v>$2 Million Donated to Keep Artificial General Intelligence Beneficial and Robust</v>
      </c>
      <c r="D1374" t="str">
        <f>IFERROR(__xludf.DUMMYFUNCTION("""COMPUTED_VALUE"""),"Ariel Conn")</f>
        <v>Ariel Conn</v>
      </c>
      <c r="E1374" t="str">
        <f>IFERROR(__xludf.DUMMYFUNCTION("""COMPUTED_VALUE"""),"FLI Website")</f>
        <v>FLI Website</v>
      </c>
      <c r="F1374">
        <f>IFERROR(__xludf.DUMMYFUNCTION("""COMPUTED_VALUE"""),2018.0)</f>
        <v>2018</v>
      </c>
      <c r="H1374" s="3" t="str">
        <f>IFERROR(__xludf.DUMMYFUNCTION("""COMPUTED_VALUE"""),"AN #17")</f>
        <v>AN #17</v>
      </c>
      <c r="I1374" t="str">
        <f>IFERROR(__xludf.DUMMYFUNCTION("""COMPUTED_VALUE"""),"Rohin")</f>
        <v>Rohin</v>
      </c>
      <c r="J1374" t="str">
        <f>IFERROR(__xludf.DUMMYFUNCTION("""COMPUTED_VALUE"""),"The next round of FLI grants have been announced! There are fewer grants than in their [first round](https://futureoflife.org/first-ai-grant-recipients/) and the topics seem more focused on AGI safety.")</f>
        <v>The next round of FLI grants have been announced! There are fewer grants than in their [first round](https://futureoflife.org/first-ai-grant-recipients/) and the topics seem more focused on AGI safety.</v>
      </c>
    </row>
    <row r="1375">
      <c r="A1375" t="str">
        <f>IFERROR(__xludf.DUMMYFUNCTION("""COMPUTED_VALUE"""),"News")</f>
        <v>News</v>
      </c>
      <c r="B1375" t="str">
        <f>IFERROR(__xludf.DUMMYFUNCTION("""COMPUTED_VALUE"""),"")</f>
        <v/>
      </c>
      <c r="C1375" s="3" t="str">
        <f>IFERROR(__xludf.DUMMYFUNCTION("""COMPUTED_VALUE"""),"AI Safety Needs Great Engineers")</f>
        <v>AI Safety Needs Great Engineers</v>
      </c>
      <c r="D1375" t="str">
        <f>IFERROR(__xludf.DUMMYFUNCTION("""COMPUTED_VALUE"""),"Andy Jones")</f>
        <v>Andy Jones</v>
      </c>
      <c r="E1375" t="str">
        <f>IFERROR(__xludf.DUMMYFUNCTION("""COMPUTED_VALUE"""),"Alignment Forum")</f>
        <v>Alignment Forum</v>
      </c>
      <c r="F1375">
        <f>IFERROR(__xludf.DUMMYFUNCTION("""COMPUTED_VALUE"""),2021.0)</f>
        <v>2021</v>
      </c>
      <c r="H1375" s="3" t="str">
        <f>IFERROR(__xludf.DUMMYFUNCTION("""COMPUTED_VALUE"""),"AN #169")</f>
        <v>AN #169</v>
      </c>
      <c r="I1375" t="str">
        <f>IFERROR(__xludf.DUMMYFUNCTION("""COMPUTED_VALUE"""),"Rohin")</f>
        <v>Rohin</v>
      </c>
      <c r="J1375" t="str">
        <f>IFERROR(__xludf.DUMMYFUNCTION("""COMPUTED_VALUE"""),"If the previous two roles weren't enough to convince you, this post explicitly argues that a lot of AI safety work is bottlenecked on good engineers, and encourages people to apply to such roles.")</f>
        <v>If the previous two roles weren't enough to convince you, this post explicitly argues that a lot of AI safety work is bottlenecked on good engineers, and encourages people to apply to such roles.</v>
      </c>
    </row>
    <row r="1376">
      <c r="A1376" t="str">
        <f>IFERROR(__xludf.DUMMYFUNCTION("""COMPUTED_VALUE"""),"News")</f>
        <v>News</v>
      </c>
      <c r="B1376" t="str">
        <f>IFERROR(__xludf.DUMMYFUNCTION("""COMPUTED_VALUE"""),"")</f>
        <v/>
      </c>
      <c r="C1376" s="3" t="str">
        <f>IFERROR(__xludf.DUMMYFUNCTION("""COMPUTED_VALUE"""),"AI Safety Camp Virtual 2022")</f>
        <v>AI Safety Camp Virtual 2022</v>
      </c>
      <c r="E1376" t="str">
        <f>IFERROR(__xludf.DUMMYFUNCTION("""COMPUTED_VALUE"""),"AI Safety Camp Website")</f>
        <v>AI Safety Camp Website</v>
      </c>
      <c r="F1376">
        <f>IFERROR(__xludf.DUMMYFUNCTION("""COMPUTED_VALUE"""),2021.0)</f>
        <v>2021</v>
      </c>
      <c r="H1376" s="3" t="str">
        <f>IFERROR(__xludf.DUMMYFUNCTION("""COMPUTED_VALUE"""),"AN #169")</f>
        <v>AN #169</v>
      </c>
      <c r="I1376" t="str">
        <f>IFERROR(__xludf.DUMMYFUNCTION("""COMPUTED_VALUE"""),"Rohin")</f>
        <v>Rohin</v>
      </c>
      <c r="J1376" t="str">
        <f>IFERROR(__xludf.DUMMYFUNCTION("""COMPUTED_VALUE"""),"Applications are open for this remote research program, where people from various disciplines come together to research an open problem under the mentorship of an established AI-alignment researcher. Deadline to apply is December 1st.")</f>
        <v>Applications are open for this remote research program, where people from various disciplines come together to research an open problem under the mentorship of an established AI-alignment researcher. Deadline to apply is December 1st.</v>
      </c>
    </row>
    <row r="1377">
      <c r="A1377" t="str">
        <f>IFERROR(__xludf.DUMMYFUNCTION("""COMPUTED_VALUE"""),"News")</f>
        <v>News</v>
      </c>
      <c r="B1377" t="str">
        <f>IFERROR(__xludf.DUMMYFUNCTION("""COMPUTED_VALUE"""),"")</f>
        <v/>
      </c>
      <c r="C1377" s="3" t="str">
        <f>IFERROR(__xludf.DUMMYFUNCTION("""COMPUTED_VALUE"""),"Q&amp;A Panel on Applying for Grad School")</f>
        <v>Q&amp;A Panel on Applying for Grad School</v>
      </c>
      <c r="E1377" t="str">
        <f>IFERROR(__xludf.DUMMYFUNCTION("""COMPUTED_VALUE"""),"AI Safety Support")</f>
        <v>AI Safety Support</v>
      </c>
      <c r="F1377">
        <f>IFERROR(__xludf.DUMMYFUNCTION("""COMPUTED_VALUE"""),2021.0)</f>
        <v>2021</v>
      </c>
      <c r="H1377" s="3" t="str">
        <f>IFERROR(__xludf.DUMMYFUNCTION("""COMPUTED_VALUE"""),"AN #168")</f>
        <v>AN #168</v>
      </c>
      <c r="I1377" t="str">
        <f>IFERROR(__xludf.DUMMYFUNCTION("""COMPUTED_VALUE"""),"Rohin")</f>
        <v>Rohin</v>
      </c>
      <c r="J1377" t="str">
        <f>IFERROR(__xludf.DUMMYFUNCTION("""COMPUTED_VALUE"""),"In this event run by AI Safety Support on November 7, current PhD students will share their experiences navigating the application process and AI Safety research in academia. RSVP [here](evt.to/dhaimisw).")</f>
        <v>In this event run by AI Safety Support on November 7, current PhD students will share their experiences navigating the application process and AI Safety research in academia. RSVP [here](evt.to/dhaimisw).</v>
      </c>
    </row>
    <row r="1378">
      <c r="A1378" t="str">
        <f>IFERROR(__xludf.DUMMYFUNCTION("""COMPUTED_VALUE"""),"News")</f>
        <v>News</v>
      </c>
      <c r="B1378" t="str">
        <f>IFERROR(__xludf.DUMMYFUNCTION("""COMPUTED_VALUE"""),"")</f>
        <v/>
      </c>
      <c r="C1378" s="3" t="str">
        <f>IFERROR(__xludf.DUMMYFUNCTION("""COMPUTED_VALUE"""),"SafeAI Workshop 2022")</f>
        <v>SafeAI Workshop 2022</v>
      </c>
      <c r="E1378" t="str">
        <f>IFERROR(__xludf.DUMMYFUNCTION("""COMPUTED_VALUE"""),"SafeAI Website")</f>
        <v>SafeAI Website</v>
      </c>
      <c r="F1378">
        <f>IFERROR(__xludf.DUMMYFUNCTION("""COMPUTED_VALUE"""),2021.0)</f>
        <v>2021</v>
      </c>
      <c r="H1378" s="3" t="str">
        <f>IFERROR(__xludf.DUMMYFUNCTION("""COMPUTED_VALUE"""),"AN #168")</f>
        <v>AN #168</v>
      </c>
      <c r="I1378" t="str">
        <f>IFERROR(__xludf.DUMMYFUNCTION("""COMPUTED_VALUE"""),"Rohin")</f>
        <v>Rohin</v>
      </c>
      <c r="J1378" t="str">
        <f>IFERROR(__xludf.DUMMYFUNCTION("""COMPUTED_VALUE"""),"The SafeAI workshop at AAAI is now accepting paper submissions, with a deadline of Nov 12.")</f>
        <v>The SafeAI workshop at AAAI is now accepting paper submissions, with a deadline of Nov 12.</v>
      </c>
    </row>
    <row r="1379">
      <c r="A1379" t="str">
        <f>IFERROR(__xludf.DUMMYFUNCTION("""COMPUTED_VALUE"""),"News")</f>
        <v>News</v>
      </c>
      <c r="B1379" t="str">
        <f>IFERROR(__xludf.DUMMYFUNCTION("""COMPUTED_VALUE"""),"")</f>
        <v/>
      </c>
      <c r="C1379" s="3" t="str">
        <f>IFERROR(__xludf.DUMMYFUNCTION("""COMPUTED_VALUE"""),"FLI's $25M Grants Program for Existential Risk Reduction")</f>
        <v>FLI's $25M Grants Program for Existential Risk Reduction</v>
      </c>
      <c r="E1379" t="str">
        <f>IFERROR(__xludf.DUMMYFUNCTION("""COMPUTED_VALUE"""),"Lucas Perry and Max Tegmark")</f>
        <v>Lucas Perry and Max Tegmark</v>
      </c>
      <c r="F1379">
        <f>IFERROR(__xludf.DUMMYFUNCTION("""COMPUTED_VALUE"""),2021.0)</f>
        <v>2021</v>
      </c>
      <c r="H1379" s="3" t="str">
        <f>IFERROR(__xludf.DUMMYFUNCTION("""COMPUTED_VALUE"""),"AN #168")</f>
        <v>AN #168</v>
      </c>
      <c r="I1379" t="str">
        <f>IFERROR(__xludf.DUMMYFUNCTION("""COMPUTED_VALUE"""),"Rohin")</f>
        <v>Rohin</v>
      </c>
      <c r="J1379" t="str">
        <f>IFERROR(__xludf.DUMMYFUNCTION("""COMPUTED_VALUE"""),"This podcast talks about FLI's recent grants program for x-risk reduction. I've previously mentioned the &lt;@fellowships@&gt;(@Announcing the Vitalik Buterin Fellowships in AI Existential Safety@) they are running as part of this program. As a reminder, the ap"&amp;"plication deadline is October 29 for the PhD fellowship, and November 5 for the postdoc fellowship.")</f>
        <v>This podcast talks about FLI's recent grants program for x-risk reduction. I've previously mentioned the &lt;@fellowships@&gt;(@Announcing the Vitalik Buterin Fellowships in AI Existential Safety@) they are running as part of this program. As a reminder, the application deadline is October 29 for the PhD fellowship, and November 5 for the postdoc fellowship.</v>
      </c>
    </row>
    <row r="1380">
      <c r="A1380" t="str">
        <f>IFERROR(__xludf.DUMMYFUNCTION("""COMPUTED_VALUE"""),"News")</f>
        <v>News</v>
      </c>
      <c r="B1380" t="str">
        <f>IFERROR(__xludf.DUMMYFUNCTION("""COMPUTED_VALUE"""),"")</f>
        <v/>
      </c>
      <c r="C1380" s="3" t="str">
        <f>IFERROR(__xludf.DUMMYFUNCTION("""COMPUTED_VALUE"""),"[Job ad] Research important longtermist topics at Rethink Priorities!")</f>
        <v>[Job ad] Research important longtermist topics at Rethink Priorities!</v>
      </c>
      <c r="D1380" t="str">
        <f>IFERROR(__xludf.DUMMYFUNCTION("""COMPUTED_VALUE"""),"Linch Zhang")</f>
        <v>Linch Zhang</v>
      </c>
      <c r="E1380" t="str">
        <f>IFERROR(__xludf.DUMMYFUNCTION("""COMPUTED_VALUE"""),"EA Forum")</f>
        <v>EA Forum</v>
      </c>
      <c r="F1380">
        <f>IFERROR(__xludf.DUMMYFUNCTION("""COMPUTED_VALUE"""),2021.0)</f>
        <v>2021</v>
      </c>
      <c r="H1380" s="3" t="str">
        <f>IFERROR(__xludf.DUMMYFUNCTION("""COMPUTED_VALUE"""),"AN #166")</f>
        <v>AN #166</v>
      </c>
      <c r="I1380" t="str">
        <f>IFERROR(__xludf.DUMMYFUNCTION("""COMPUTED_VALUE"""),"Rohin")</f>
        <v>Rohin</v>
      </c>
      <c r="J1380" t="str">
        <f>IFERROR(__xludf.DUMMYFUNCTION("""COMPUTED_VALUE"""),"Of particular interest to readers, there are roles available in AI governance and strategy. The application deadline is Oct 24.")</f>
        <v>Of particular interest to readers, there are roles available in AI governance and strategy. The application deadline is Oct 24.</v>
      </c>
    </row>
    <row r="1381">
      <c r="A1381" t="str">
        <f>IFERROR(__xludf.DUMMYFUNCTION("""COMPUTED_VALUE"""),"News")</f>
        <v>News</v>
      </c>
      <c r="B1381" t="str">
        <f>IFERROR(__xludf.DUMMYFUNCTION("""COMPUTED_VALUE"""),"")</f>
        <v/>
      </c>
      <c r="C1381" s="3" t="str">
        <f>IFERROR(__xludf.DUMMYFUNCTION("""COMPUTED_VALUE"""),"2022 IEEE Conference on Assured Autonomy")</f>
        <v>2022 IEEE Conference on Assured Autonomy</v>
      </c>
      <c r="E1381" t="str">
        <f>IFERROR(__xludf.DUMMYFUNCTION("""COMPUTED_VALUE"""),"Author's Website")</f>
        <v>Author's Website</v>
      </c>
      <c r="F1381">
        <f>IFERROR(__xludf.DUMMYFUNCTION("""COMPUTED_VALUE"""),2021.0)</f>
        <v>2021</v>
      </c>
      <c r="H1381" s="3" t="str">
        <f>IFERROR(__xludf.DUMMYFUNCTION("""COMPUTED_VALUE"""),"AN #164")</f>
        <v>AN #164</v>
      </c>
      <c r="I1381" t="str">
        <f>IFERROR(__xludf.DUMMYFUNCTION("""COMPUTED_VALUE"""),"Rohin")</f>
        <v>Rohin</v>
      </c>
      <c r="J1381" t="str">
        <f>IFERROR(__xludf.DUMMYFUNCTION("""COMPUTED_VALUE"""),"The ICAA conference seeks contributions on all aspects of AI safety, security, and privacy in autonomous systems. The paper submission deadline is October 18 and the conference itself will take place March 22-24.")</f>
        <v>The ICAA conference seeks contributions on all aspects of AI safety, security, and privacy in autonomous systems. The paper submission deadline is October 18 and the conference itself will take place March 22-24.</v>
      </c>
    </row>
    <row r="1382">
      <c r="A1382" t="str">
        <f>IFERROR(__xludf.DUMMYFUNCTION("""COMPUTED_VALUE"""),"News")</f>
        <v>News</v>
      </c>
      <c r="B1382" t="str">
        <f>IFERROR(__xludf.DUMMYFUNCTION("""COMPUTED_VALUE"""),"")</f>
        <v/>
      </c>
      <c r="C1382" s="3" t="str">
        <f>IFERROR(__xludf.DUMMYFUNCTION("""COMPUTED_VALUE"""),"CSER Job Posting: Academic Programme Manager")</f>
        <v>CSER Job Posting: Academic Programme Manager</v>
      </c>
      <c r="E1382" t="str">
        <f>IFERROR(__xludf.DUMMYFUNCTION("""COMPUTED_VALUE"""),"Cambridge Website")</f>
        <v>Cambridge Website</v>
      </c>
      <c r="F1382">
        <f>IFERROR(__xludf.DUMMYFUNCTION("""COMPUTED_VALUE"""),2021.0)</f>
        <v>2021</v>
      </c>
      <c r="H1382" s="3" t="str">
        <f>IFERROR(__xludf.DUMMYFUNCTION("""COMPUTED_VALUE"""),"AN #164")</f>
        <v>AN #164</v>
      </c>
      <c r="I1382" t="str">
        <f>IFERROR(__xludf.DUMMYFUNCTION("""COMPUTED_VALUE"""),"Rohin")</f>
        <v>Rohin</v>
      </c>
      <c r="J1382" t="str">
        <f>IFERROR(__xludf.DUMMYFUNCTION("""COMPUTED_VALUE"""),"CSER is searching for a candidate for a relatively senior role that combines academic, management and administrative responsibilities. The application deadline is September 20.")</f>
        <v>CSER is searching for a candidate for a relatively senior role that combines academic, management and administrative responsibilities. The application deadline is September 20.</v>
      </c>
    </row>
    <row r="1383">
      <c r="A1383" t="str">
        <f>IFERROR(__xludf.DUMMYFUNCTION("""COMPUTED_VALUE"""),"News")</f>
        <v>News</v>
      </c>
      <c r="B1383" t="str">
        <f>IFERROR(__xludf.DUMMYFUNCTION("""COMPUTED_VALUE"""),"")</f>
        <v/>
      </c>
      <c r="C1383" s="3" t="str">
        <f>IFERROR(__xludf.DUMMYFUNCTION("""COMPUTED_VALUE"""),"NIST AI Risk Management Framework")</f>
        <v>NIST AI Risk Management Framework</v>
      </c>
      <c r="E1383" t="str">
        <f>IFERROR(__xludf.DUMMYFUNCTION("""COMPUTED_VALUE"""),"NIST Website")</f>
        <v>NIST Website</v>
      </c>
      <c r="F1383">
        <f>IFERROR(__xludf.DUMMYFUNCTION("""COMPUTED_VALUE"""),2021.0)</f>
        <v>2021</v>
      </c>
      <c r="H1383" s="3" t="str">
        <f>IFERROR(__xludf.DUMMYFUNCTION("""COMPUTED_VALUE"""),"AN #161")</f>
        <v>AN #161</v>
      </c>
      <c r="I1383" t="str">
        <f>IFERROR(__xludf.DUMMYFUNCTION("""COMPUTED_VALUE"""),"Rohin")</f>
        <v>Rohin</v>
      </c>
      <c r="J1383" t="str">
        <f>IFERROR(__xludf.DUMMYFUNCTION("""COMPUTED_VALUE"""),"The National Institute of Standards and Technology (NIST) has put out a formal Request For Information (RFI) in the process of developing an AI Risk Management Framework that is intended for voluntary use in order to improve trustworthiness and mitigate r"&amp;"isks of AI systems. According to the [legislative mandate](https://www.congress.gov/116/bills/hr6395/BILLS-116hr6395enr.pdf#page=1151), aspects of trustworthiness include “explainability, transparency, safety, privacy, security, robustness, fairness, bias"&amp;", ethics, validation, verification, interpretability, and other properties related to artificial intelligence systems that are common across all sectors”. Multiple AI safety organizations are submitting responses to the RFI and would like additional AI sa"&amp;"fety researchers to engage with it. Responses are due September 15; if you'd like to help out, email Tony Barrett at tbambarrett@gmail.com.")</f>
        <v>The National Institute of Standards and Technology (NIST) has put out a formal Request For Information (RFI) in the process of developing an AI Risk Management Framework that is intended for voluntary use in order to improve trustworthiness and mitigate risks of AI systems. According to the [legislative mandate](https://www.congress.gov/116/bills/hr6395/BILLS-116hr6395enr.pdf#page=1151), aspects of trustworthiness include “explainability, transparency, safety, privacy, security, robustness, fairness, bias, ethics, validation, verification, interpretability, and other properties related to artificial intelligence systems that are common across all sectors”. Multiple AI safety organizations are submitting responses to the RFI and would like additional AI safety researchers to engage with it. Responses are due September 15; if you'd like to help out, email Tony Barrett at tbambarrett@gmail.com.</v>
      </c>
    </row>
    <row r="1384">
      <c r="A1384" t="str">
        <f>IFERROR(__xludf.DUMMYFUNCTION("""COMPUTED_VALUE"""),"News")</f>
        <v>News</v>
      </c>
      <c r="B1384" t="str">
        <f>IFERROR(__xludf.DUMMYFUNCTION("""COMPUTED_VALUE"""),"")</f>
        <v/>
      </c>
      <c r="C1384" s="3" t="str">
        <f>IFERROR(__xludf.DUMMYFUNCTION("""COMPUTED_VALUE"""),"Introducing the AI Objectives Institute")</f>
        <v>Introducing the AI Objectives Institute</v>
      </c>
      <c r="D1384" t="str">
        <f>IFERROR(__xludf.DUMMYFUNCTION("""COMPUTED_VALUE"""),"Peter Eckersley")</f>
        <v>Peter Eckersley</v>
      </c>
      <c r="E1384" t="str">
        <f>IFERROR(__xludf.DUMMYFUNCTION("""COMPUTED_VALUE"""),"AI Objectives Website")</f>
        <v>AI Objectives Website</v>
      </c>
      <c r="F1384">
        <f>IFERROR(__xludf.DUMMYFUNCTION("""COMPUTED_VALUE"""),2021.0)</f>
        <v>2021</v>
      </c>
      <c r="H1384" s="3" t="str">
        <f>IFERROR(__xludf.DUMMYFUNCTION("""COMPUTED_VALUE"""),"AN #160")</f>
        <v>AN #160</v>
      </c>
      <c r="I1384" t="str">
        <f>IFERROR(__xludf.DUMMYFUNCTION("""COMPUTED_VALUE"""),"Rohin")</f>
        <v>Rohin</v>
      </c>
      <c r="J1384" t="str">
        <f>IFERROR(__xludf.DUMMYFUNCTION("""COMPUTED_VALUE"""),"For years people have been talking about corporations and capitalism as an example of superintelligence that we have failed to align so far. This new institute plans to take this correspondence seriously and transfer insights between the two. In particula"&amp;"r, we can (a) examine how proposed problems with AI are already taking place with capitalism, (b) use tools and ideas from AI safety to improve upon capitalism, and (c) use lessons from capitalism to assist in the project of building a safely aligned AI.")</f>
        <v>For years people have been talking about corporations and capitalism as an example of superintelligence that we have failed to align so far. This new institute plans to take this correspondence seriously and transfer insights between the two. In particular, we can (a) examine how proposed problems with AI are already taking place with capitalism, (b) use tools and ideas from AI safety to improve upon capitalism, and (c) use lessons from capitalism to assist in the project of building a safely aligned AI.</v>
      </c>
    </row>
    <row r="1385">
      <c r="A1385" t="str">
        <f>IFERROR(__xludf.DUMMYFUNCTION("""COMPUTED_VALUE"""),"News")</f>
        <v>News</v>
      </c>
      <c r="B1385" t="str">
        <f>IFERROR(__xludf.DUMMYFUNCTION("""COMPUTED_VALUE"""),"")</f>
        <v/>
      </c>
      <c r="C1385" s="3" t="str">
        <f>IFERROR(__xludf.DUMMYFUNCTION("""COMPUTED_VALUE"""),"ML Engineer Position at Preamble")</f>
        <v>ML Engineer Position at Preamble</v>
      </c>
      <c r="D1385" t="str">
        <f>IFERROR(__xludf.DUMMYFUNCTION("""COMPUTED_VALUE"""),"Dylan Hadfield-Menell")</f>
        <v>Dylan Hadfield-Menell</v>
      </c>
      <c r="E1385" t="str">
        <f>IFERROR(__xludf.DUMMYFUNCTION("""COMPUTED_VALUE"""),"Preamble Website")</f>
        <v>Preamble Website</v>
      </c>
      <c r="F1385">
        <f>IFERROR(__xludf.DUMMYFUNCTION("""COMPUTED_VALUE"""),2021.0)</f>
        <v>2021</v>
      </c>
      <c r="H1385" s="3" t="str">
        <f>IFERROR(__xludf.DUMMYFUNCTION("""COMPUTED_VALUE"""),"AN #160")</f>
        <v>AN #160</v>
      </c>
      <c r="I1385" t="str">
        <f>IFERROR(__xludf.DUMMYFUNCTION("""COMPUTED_VALUE"""),"Rohin")</f>
        <v>Rohin</v>
      </c>
      <c r="J1385" t="str">
        <f>IFERROR(__xludf.DUMMYFUNCTION("""COMPUTED_VALUE"""),"[Preamble](https://www.preamble.com/) is a seed-stage company aiming to build middleware for AI ethics and safety, with a current focus on recommender systems. They have an early prototype for Twitter users, implemented as a browser extension. They are cu"&amp;"rrently trying to hire an ML engineer to push forward their work.")</f>
        <v>[Preamble](https://www.preamble.com/) is a seed-stage company aiming to build middleware for AI ethics and safety, with a current focus on recommender systems. They have an early prototype for Twitter users, implemented as a browser extension. They are currently trying to hire an ML engineer to push forward their work.</v>
      </c>
    </row>
    <row r="1386">
      <c r="A1386" t="str">
        <f>IFERROR(__xludf.DUMMYFUNCTION("""COMPUTED_VALUE"""),"News")</f>
        <v>News</v>
      </c>
      <c r="B1386" t="str">
        <f>IFERROR(__xludf.DUMMYFUNCTION("""COMPUTED_VALUE"""),"")</f>
        <v/>
      </c>
      <c r="C1386" s="3" t="str">
        <f>IFERROR(__xludf.DUMMYFUNCTION("""COMPUTED_VALUE"""),"Ought's Progress Update July 2018")</f>
        <v>Ought's Progress Update July 2018</v>
      </c>
      <c r="D1386" t="str">
        <f>IFERROR(__xludf.DUMMYFUNCTION("""COMPUTED_VALUE"""),"Andreas Stuhlmüller")</f>
        <v>Andreas Stuhlmüller</v>
      </c>
      <c r="E1386" t="str">
        <f>IFERROR(__xludf.DUMMYFUNCTION("""COMPUTED_VALUE"""),"Ought Website")</f>
        <v>Ought Website</v>
      </c>
      <c r="F1386">
        <f>IFERROR(__xludf.DUMMYFUNCTION("""COMPUTED_VALUE"""),2018.0)</f>
        <v>2018</v>
      </c>
      <c r="H1386" s="3" t="str">
        <f>IFERROR(__xludf.DUMMYFUNCTION("""COMPUTED_VALUE"""),"AN #16")</f>
        <v>AN #16</v>
      </c>
      <c r="I1386" t="str">
        <f>IFERROR(__xludf.DUMMYFUNCTION("""COMPUTED_VALUE"""),"Rohin")</f>
        <v>Rohin</v>
      </c>
      <c r="J1386" t="str">
        <f>IFERROR(__xludf.DUMMYFUNCTION("""COMPUTED_VALUE"""),"A lot of organizational updates that I won't summarize here. There's a retrospective about the Predicting Slow Judgments project, and some updates on the Factored Cognition project. Two particularly interesting points -- first, they have not yet run into "&amp;"questions where it seemed impossible to make progress by decomposing the problem, making them slightly more optimistic; and second, they are now more confident that decomposition will take a large amount of work, such that experiments will require some am"&amp;"ount of automation using ML in order to be feasible.")</f>
        <v>A lot of organizational updates that I won't summarize here. There's a retrospective about the Predicting Slow Judgments project, and some updates on the Factored Cognition project. Two particularly interesting points -- first, they have not yet run into questions where it seemed impossible to make progress by decomposing the problem, making them slightly more optimistic; and second, they are now more confident that decomposition will take a large amount of work, such that experiments will require some amount of automation using ML in order to be feasible.</v>
      </c>
    </row>
    <row r="1387">
      <c r="A1387" t="str">
        <f>IFERROR(__xludf.DUMMYFUNCTION("""COMPUTED_VALUE"""),"News")</f>
        <v>News</v>
      </c>
      <c r="B1387" t="str">
        <f>IFERROR(__xludf.DUMMYFUNCTION("""COMPUTED_VALUE"""),"")</f>
        <v/>
      </c>
      <c r="C1387" s="3" t="str">
        <f>IFERROR(__xludf.DUMMYFUNCTION("""COMPUTED_VALUE"""),"Political Economy of Reinforcement Learning (PERLS) Workshop")</f>
        <v>Political Economy of Reinforcement Learning (PERLS) Workshop</v>
      </c>
      <c r="D1387" t="str">
        <f>IFERROR(__xludf.DUMMYFUNCTION("""COMPUTED_VALUE"""),"Stuart Russell, Thomas Gilbert, Tom Zick, Aaron Snoswell, Michael Dennis")</f>
        <v>Stuart Russell, Thomas Gilbert, Tom Zick, Aaron Snoswell, Michael Dennis</v>
      </c>
      <c r="F1387">
        <f>IFERROR(__xludf.DUMMYFUNCTION("""COMPUTED_VALUE"""),2021.0)</f>
        <v>2021</v>
      </c>
      <c r="H1387" s="3" t="str">
        <f>IFERROR(__xludf.DUMMYFUNCTION("""COMPUTED_VALUE"""),"AN #159")</f>
        <v>AN #159</v>
      </c>
      <c r="I1387" t="str">
        <f>IFERROR(__xludf.DUMMYFUNCTION("""COMPUTED_VALUE"""),"Rohin")</f>
        <v>Rohin</v>
      </c>
      <c r="J1387" t="str">
        <f>IFERROR(__xludf.DUMMYFUNCTION("""COMPUTED_VALUE"""),"The deadline for submissions to this NeurIPS 2021 workshop is Sep 18. From the website: ""The aim of this workshop will be to establish a common language around the state of the art of RL across key societal domains. From this examination, we hope to iden"&amp;"tify specific interpretive gaps that can be elaborated or filled by members of our community. Our ultimate goal will be to map near-term societal concerns and indicate possible cross-disciplinary avenues towards addressing them.""")</f>
        <v>The deadline for submissions to this NeurIPS 2021 workshop is Sep 18. From the website: "The aim of this workshop will be to establish a common language around the state of the art of RL across key societal domains. From this examination, we hope to identify specific interpretive gaps that can be elaborated or filled by members of our community. Our ultimate goal will be to map near-term societal concerns and indicate possible cross-disciplinary avenues towards addressing them."</v>
      </c>
    </row>
    <row r="1388">
      <c r="A1388" t="str">
        <f>IFERROR(__xludf.DUMMYFUNCTION("""COMPUTED_VALUE"""),"News")</f>
        <v>News</v>
      </c>
      <c r="B1388" t="str">
        <f>IFERROR(__xludf.DUMMYFUNCTION("""COMPUTED_VALUE"""),"")</f>
        <v/>
      </c>
      <c r="C1388" s="3" t="str">
        <f>IFERROR(__xludf.DUMMYFUNCTION("""COMPUTED_VALUE"""),"Building and Evaluating Ethical Robotic Systems")</f>
        <v>Building and Evaluating Ethical Robotic Systems</v>
      </c>
      <c r="D1388" t="str">
        <f>IFERROR(__xludf.DUMMYFUNCTION("""COMPUTED_VALUE"""),"Justin Svegliato*, Samer Nashed*, Alan Winfield, Dylan Hadfield-Menell, Louise Dennis, Paul Bello")</f>
        <v>Justin Svegliato*, Samer Nashed*, Alan Winfield, Dylan Hadfield-Menell, Louise Dennis, Paul Bello</v>
      </c>
      <c r="E1388" t="str">
        <f>IFERROR(__xludf.DUMMYFUNCTION("""COMPUTED_VALUE"""),"ERS Website")</f>
        <v>ERS Website</v>
      </c>
      <c r="F1388">
        <f>IFERROR(__xludf.DUMMYFUNCTION("""COMPUTED_VALUE"""),2021.0)</f>
        <v>2021</v>
      </c>
      <c r="H1388" s="3" t="str">
        <f>IFERROR(__xludf.DUMMYFUNCTION("""COMPUTED_VALUE"""),"AN #158")</f>
        <v>AN #158</v>
      </c>
      <c r="I1388" t="str">
        <f>IFERROR(__xludf.DUMMYFUNCTION("""COMPUTED_VALUE"""),"Rohin")</f>
        <v>Rohin</v>
      </c>
      <c r="J1388" t="str">
        <f>IFERROR(__xludf.DUMMYFUNCTION("""COMPUTED_VALUE"""),"This workshop at IROS 2021 asks for work on ethical robotic systems, including value alignment as a subtopic. Notably, they also welcome researchers from disciplines beyond robotics, including philosophy, psychology, sociology, and law. The paper submissi"&amp;"on deadline is August 13.")</f>
        <v>This workshop at IROS 2021 asks for work on ethical robotic systems, including value alignment as a subtopic. Notably, they also welcome researchers from disciplines beyond robotics, including philosophy, psychology, sociology, and law. The paper submission deadline is August 13.</v>
      </c>
    </row>
    <row r="1389">
      <c r="A1389" t="str">
        <f>IFERROR(__xludf.DUMMYFUNCTION("""COMPUTED_VALUE"""),"News")</f>
        <v>News</v>
      </c>
      <c r="B1389" t="str">
        <f>IFERROR(__xludf.DUMMYFUNCTION("""COMPUTED_VALUE"""),"")</f>
        <v/>
      </c>
      <c r="C1389" s="3" t="str">
        <f>IFERROR(__xludf.DUMMYFUNCTION("""COMPUTED_VALUE"""),"Open Philanthropy Technology Policy Fellowship")</f>
        <v>Open Philanthropy Technology Policy Fellowship</v>
      </c>
      <c r="D1389" t="str">
        <f>IFERROR(__xludf.DUMMYFUNCTION("""COMPUTED_VALUE"""),"Luke Muehlhauser")</f>
        <v>Luke Muehlhauser</v>
      </c>
      <c r="E1389" t="str">
        <f>IFERROR(__xludf.DUMMYFUNCTION("""COMPUTED_VALUE"""),"Open Philanthropy")</f>
        <v>Open Philanthropy</v>
      </c>
      <c r="F1389">
        <f>IFERROR(__xludf.DUMMYFUNCTION("""COMPUTED_VALUE"""),2021.0)</f>
        <v>2021</v>
      </c>
      <c r="H1389" s="3" t="str">
        <f>IFERROR(__xludf.DUMMYFUNCTION("""COMPUTED_VALUE"""),"AN #157")</f>
        <v>AN #157</v>
      </c>
      <c r="I1389" t="str">
        <f>IFERROR(__xludf.DUMMYFUNCTION("""COMPUTED_VALUE"""),"Rohin")</f>
        <v>Rohin</v>
      </c>
      <c r="J1389" t="str">
        <f>IFERROR(__xludf.DUMMYFUNCTION("""COMPUTED_VALUE"""),"Open Philanthropy is seeking applicants for a US policy fellowship program focused on high-priority emerging technologies, especially AI and biotechnology. Application deadline is September 15.")</f>
        <v>Open Philanthropy is seeking applicants for a US policy fellowship program focused on high-priority emerging technologies, especially AI and biotechnology. Application deadline is September 15.</v>
      </c>
      <c r="M1389" s="3" t="str">
        <f>IFERROR(__xludf.DUMMYFUNCTION("""COMPUTED_VALUE"""),"EA Forum post")</f>
        <v>EA Forum post</v>
      </c>
    </row>
    <row r="1390">
      <c r="A1390" t="str">
        <f>IFERROR(__xludf.DUMMYFUNCTION("""COMPUTED_VALUE"""),"News")</f>
        <v>News</v>
      </c>
      <c r="B1390" t="str">
        <f>IFERROR(__xludf.DUMMYFUNCTION("""COMPUTED_VALUE"""),"")</f>
        <v/>
      </c>
      <c r="C1390" s="3" t="str">
        <f>IFERROR(__xludf.DUMMYFUNCTION("""COMPUTED_VALUE"""),"Hypermind forecasting contest on AI")</f>
        <v>Hypermind forecasting contest on AI</v>
      </c>
      <c r="E1390" t="str">
        <f>IFERROR(__xludf.DUMMYFUNCTION("""COMPUTED_VALUE"""),"Hypermind")</f>
        <v>Hypermind</v>
      </c>
      <c r="F1390">
        <f>IFERROR(__xludf.DUMMYFUNCTION("""COMPUTED_VALUE"""),2021.0)</f>
        <v>2021</v>
      </c>
      <c r="H1390" s="3" t="str">
        <f>IFERROR(__xludf.DUMMYFUNCTION("""COMPUTED_VALUE"""),"AN #155")</f>
        <v>AN #155</v>
      </c>
      <c r="I1390" t="str">
        <f>IFERROR(__xludf.DUMMYFUNCTION("""COMPUTED_VALUE"""),"Rohin")</f>
        <v>Rohin</v>
      </c>
      <c r="J1390" t="str">
        <f>IFERROR(__xludf.DUMMYFUNCTION("""COMPUTED_VALUE"""),"Hypermind is running a forecasting contest on the evolution of artificial intelligence with a $30,000 prize over four years. The questions ask both about the growth of compute and about performance on specific benchmarks such as the &lt;@MATH suite@&gt;(@Measur"&amp;"ing Mathematical Problem Solving With the MATH Dataset@).")</f>
        <v>Hypermind is running a forecasting contest on the evolution of artificial intelligence with a $30,000 prize over four years. The questions ask both about the growth of compute and about performance on specific benchmarks such as the &lt;@MATH suite@&gt;(@Measuring Mathematical Problem Solving With the MATH Dataset@).</v>
      </c>
    </row>
    <row r="1391">
      <c r="A1391" t="str">
        <f>IFERROR(__xludf.DUMMYFUNCTION("""COMPUTED_VALUE"""),"News")</f>
        <v>News</v>
      </c>
      <c r="B1391" t="str">
        <f>IFERROR(__xludf.DUMMYFUNCTION("""COMPUTED_VALUE"""),"")</f>
        <v/>
      </c>
      <c r="C1391" s="3" t="str">
        <f>IFERROR(__xludf.DUMMYFUNCTION("""COMPUTED_VALUE"""),"AI Safety Research Project Ideas")</f>
        <v>AI Safety Research Project Ideas</v>
      </c>
      <c r="D1391" t="str">
        <f>IFERROR(__xludf.DUMMYFUNCTION("""COMPUTED_VALUE"""),"Owain Evans, Stuart Armstrong")</f>
        <v>Owain Evans, Stuart Armstrong</v>
      </c>
      <c r="E1391" t="str">
        <f>IFERROR(__xludf.DUMMYFUNCTION("""COMPUTED_VALUE"""),"Alignment Forum")</f>
        <v>Alignment Forum</v>
      </c>
      <c r="F1391">
        <f>IFERROR(__xludf.DUMMYFUNCTION("""COMPUTED_VALUE"""),2021.0)</f>
        <v>2021</v>
      </c>
      <c r="H1391" s="3" t="str">
        <f>IFERROR(__xludf.DUMMYFUNCTION("""COMPUTED_VALUE"""),"AN #152")</f>
        <v>AN #152</v>
      </c>
      <c r="I1391" t="str">
        <f>IFERROR(__xludf.DUMMYFUNCTION("""COMPUTED_VALUE"""),"Rohin")</f>
        <v>Rohin</v>
      </c>
      <c r="J1391" t="str">
        <f>IFERROR(__xludf.DUMMYFUNCTION("""COMPUTED_VALUE"""),"In addition to a list of research project ideas, this post also contains an offer of mentorship and/or funding. The deadline to apply is June 20.")</f>
        <v>In addition to a list of research project ideas, this post also contains an offer of mentorship and/or funding. The deadline to apply is June 20.</v>
      </c>
    </row>
    <row r="1392">
      <c r="A1392" t="str">
        <f>IFERROR(__xludf.DUMMYFUNCTION("""COMPUTED_VALUE"""),"News")</f>
        <v>News</v>
      </c>
      <c r="B1392" t="str">
        <f>IFERROR(__xludf.DUMMYFUNCTION("""COMPUTED_VALUE"""),"")</f>
        <v/>
      </c>
      <c r="C1392" s="3" t="str">
        <f>IFERROR(__xludf.DUMMYFUNCTION("""COMPUTED_VALUE"""),"Research Fellow- AI TEV&amp;V")</f>
        <v>Research Fellow- AI TEV&amp;V</v>
      </c>
      <c r="E1392" t="str">
        <f>IFERROR(__xludf.DUMMYFUNCTION("""COMPUTED_VALUE"""),"CSET Website")</f>
        <v>CSET Website</v>
      </c>
      <c r="F1392">
        <f>IFERROR(__xludf.DUMMYFUNCTION("""COMPUTED_VALUE"""),2021.0)</f>
        <v>2021</v>
      </c>
      <c r="H1392" s="3" t="str">
        <f>IFERROR(__xludf.DUMMYFUNCTION("""COMPUTED_VALUE"""),"AN #152")</f>
        <v>AN #152</v>
      </c>
      <c r="I1392" t="str">
        <f>IFERROR(__xludf.DUMMYFUNCTION("""COMPUTED_VALUE"""),"Rohin")</f>
        <v>Rohin</v>
      </c>
      <c r="J1392" t="str">
        <f>IFERROR(__xludf.DUMMYFUNCTION("""COMPUTED_VALUE"""),"CSET is currently seeking a Research Fellow to focus on the safety and risk of deployed AI systems.")</f>
        <v>CSET is currently seeking a Research Fellow to focus on the safety and risk of deployed AI systems.</v>
      </c>
    </row>
    <row r="1393">
      <c r="A1393" t="str">
        <f>IFERROR(__xludf.DUMMYFUNCTION("""COMPUTED_VALUE"""),"News")</f>
        <v>News</v>
      </c>
      <c r="B1393" t="str">
        <f>IFERROR(__xludf.DUMMYFUNCTION("""COMPUTED_VALUE"""),"")</f>
        <v/>
      </c>
      <c r="C1393" s="3" t="str">
        <f>IFERROR(__xludf.DUMMYFUNCTION("""COMPUTED_VALUE"""),"Deputy Director (CSER)")</f>
        <v>Deputy Director (CSER)</v>
      </c>
      <c r="E1393" t="str">
        <f>IFERROR(__xludf.DUMMYFUNCTION("""COMPUTED_VALUE"""),"Cambridge Website")</f>
        <v>Cambridge Website</v>
      </c>
      <c r="F1393">
        <f>IFERROR(__xludf.DUMMYFUNCTION("""COMPUTED_VALUE"""),2021.0)</f>
        <v>2021</v>
      </c>
      <c r="H1393" s="3" t="str">
        <f>IFERROR(__xludf.DUMMYFUNCTION("""COMPUTED_VALUE"""),"AN #152")</f>
        <v>AN #152</v>
      </c>
      <c r="I1393" t="str">
        <f>IFERROR(__xludf.DUMMYFUNCTION("""COMPUTED_VALUE"""),"Rohin")</f>
        <v>Rohin</v>
      </c>
      <c r="J1393" t="str">
        <f>IFERROR(__xludf.DUMMYFUNCTION("""COMPUTED_VALUE"""),"The Centre for the Study of Existential Risk (CSER) is looking to hire a Deputy Director.")</f>
        <v>The Centre for the Study of Existential Risk (CSER) is looking to hire a Deputy Director.</v>
      </c>
    </row>
    <row r="1394">
      <c r="A1394" t="str">
        <f>IFERROR(__xludf.DUMMYFUNCTION("""COMPUTED_VALUE"""),"News")</f>
        <v>News</v>
      </c>
      <c r="B1394" t="str">
        <f>IFERROR(__xludf.DUMMYFUNCTION("""COMPUTED_VALUE"""),"")</f>
        <v/>
      </c>
      <c r="C1394" s="3" t="str">
        <f>IFERROR(__xludf.DUMMYFUNCTION("""COMPUTED_VALUE"""),"Open Call for Advisees and Collaborators, May 2021")</f>
        <v>Open Call for Advisees and Collaborators, May 2021</v>
      </c>
      <c r="D1394" t="str">
        <f>IFERROR(__xludf.DUMMYFUNCTION("""COMPUTED_VALUE"""),"GCRI Website")</f>
        <v>GCRI Website</v>
      </c>
      <c r="E1394" t="str">
        <f>IFERROR(__xludf.DUMMYFUNCTION("""COMPUTED_VALUE"""),"McKenna Fitzgerald")</f>
        <v>McKenna Fitzgerald</v>
      </c>
      <c r="F1394">
        <f>IFERROR(__xludf.DUMMYFUNCTION("""COMPUTED_VALUE"""),2021.0)</f>
        <v>2021</v>
      </c>
      <c r="H1394" s="3" t="str">
        <f>IFERROR(__xludf.DUMMYFUNCTION("""COMPUTED_VALUE"""),"AN #151")</f>
        <v>AN #151</v>
      </c>
      <c r="I1394" t="str">
        <f>IFERROR(__xludf.DUMMYFUNCTION("""COMPUTED_VALUE"""),"Rohin")</f>
        <v>Rohin</v>
      </c>
      <c r="J1394" t="str">
        <f>IFERROR(__xludf.DUMMYFUNCTION("""COMPUTED_VALUE"""),"GCRI is open to inquiries from potential collaborators or advisees, regardless of background, career point, or geographic location, about any aspect of global catastrophic risk. Participation can consist of a short email exchange to more extensive project"&amp;" work.")</f>
        <v>GCRI is open to inquiries from potential collaborators or advisees, regardless of background, career point, or geographic location, about any aspect of global catastrophic risk. Participation can consist of a short email exchange to more extensive project work.</v>
      </c>
    </row>
    <row r="1395">
      <c r="A1395" t="str">
        <f>IFERROR(__xludf.DUMMYFUNCTION("""COMPUTED_VALUE"""),"News")</f>
        <v>News</v>
      </c>
      <c r="B1395" t="str">
        <f>IFERROR(__xludf.DUMMYFUNCTION("""COMPUTED_VALUE"""),"")</f>
        <v/>
      </c>
      <c r="C1395" s="3" t="str">
        <f>IFERROR(__xludf.DUMMYFUNCTION("""COMPUTED_VALUE"""),"BERI Seeking New University Collaborators")</f>
        <v>BERI Seeking New University Collaborators</v>
      </c>
      <c r="D1395" t="str">
        <f>IFERROR(__xludf.DUMMYFUNCTION("""COMPUTED_VALUE"""),"Sawyer Bernath")</f>
        <v>Sawyer Bernath</v>
      </c>
      <c r="E1395" t="str">
        <f>IFERROR(__xludf.DUMMYFUNCTION("""COMPUTED_VALUE"""),"BERI Website")</f>
        <v>BERI Website</v>
      </c>
      <c r="F1395">
        <f>IFERROR(__xludf.DUMMYFUNCTION("""COMPUTED_VALUE"""),2021.0)</f>
        <v>2021</v>
      </c>
      <c r="H1395" s="3" t="str">
        <f>IFERROR(__xludf.DUMMYFUNCTION("""COMPUTED_VALUE"""),"AN #149")</f>
        <v>AN #149</v>
      </c>
      <c r="I1395" t="str">
        <f>IFERROR(__xludf.DUMMYFUNCTION("""COMPUTED_VALUE"""),"Rohin")</f>
        <v>Rohin</v>
      </c>
      <c r="J1395" t="str">
        <f>IFERROR(__xludf.DUMMYFUNCTION("""COMPUTED_VALUE"""),"[BERI](https://existence.org/faq) is seeking applications for new collaborators. They offer free services to university groups. If you’re a member of a research group, or an individual researcher, working on long-termist projects, you can [apply here](htt"&amp;"p://existence.org/apply). Applications are due June 20th.")</f>
        <v>[BERI](https://existence.org/faq) is seeking applications for new collaborators. They offer free services to university groups. If you’re a member of a research group, or an individual researcher, working on long-termist projects, you can [apply here](http://existence.org/apply). Applications are due June 20th.</v>
      </c>
    </row>
    <row r="1396">
      <c r="A1396" t="str">
        <f>IFERROR(__xludf.DUMMYFUNCTION("""COMPUTED_VALUE"""),"News")</f>
        <v>News</v>
      </c>
      <c r="B1396" t="str">
        <f>IFERROR(__xludf.DUMMYFUNCTION("""COMPUTED_VALUE"""),"")</f>
        <v/>
      </c>
      <c r="C1396" s="3" t="str">
        <f>IFERROR(__xludf.DUMMYFUNCTION("""COMPUTED_VALUE"""),"FLI Job Postings")</f>
        <v>FLI Job Postings</v>
      </c>
      <c r="E1396" t="str">
        <f>IFERROR(__xludf.DUMMYFUNCTION("""COMPUTED_VALUE"""),"FLI Website")</f>
        <v>FLI Website</v>
      </c>
      <c r="F1396">
        <f>IFERROR(__xludf.DUMMYFUNCTION("""COMPUTED_VALUE"""),2021.0)</f>
        <v>2021</v>
      </c>
      <c r="H1396" s="3" t="str">
        <f>IFERROR(__xludf.DUMMYFUNCTION("""COMPUTED_VALUE"""),"AN #146")</f>
        <v>AN #146</v>
      </c>
      <c r="I1396" t="str">
        <f>IFERROR(__xludf.DUMMYFUNCTION("""COMPUTED_VALUE"""),"Rohin")</f>
        <v>Rohin</v>
      </c>
      <c r="J1396" t="str">
        <f>IFERROR(__xludf.DUMMYFUNCTION("""COMPUTED_VALUE"""),"The [Future of Life Institute](https://futureoflife.org/) has 3 new job postings for full-time equivalent remote policy focused positions. They're looking for a Director of European Policy, a Policy Advocate, and a Policy Researcher, all primarily focused"&amp;" on AI policy and governance. Additional policy areas of interest may include lethal autonomous weapons, synthetic biology, nuclear weapons policy, and the management of existential and global catastrophic risk. Applications are accepted on a rolling basi"&amp;"s.")</f>
        <v>The [Future of Life Institute](https://futureoflife.org/) has 3 new job postings for full-time equivalent remote policy focused positions. They're looking for a Director of European Policy, a Policy Advocate, and a Policy Researcher, all primarily focused on AI policy and governance. Additional policy areas of interest may include lethal autonomous weapons, synthetic biology, nuclear weapons policy, and the management of existential and global catastrophic risk. Applications are accepted on a rolling basis.</v>
      </c>
    </row>
    <row r="1397">
      <c r="A1397" t="str">
        <f>IFERROR(__xludf.DUMMYFUNCTION("""COMPUTED_VALUE"""),"News")</f>
        <v>News</v>
      </c>
      <c r="B1397" t="str">
        <f>IFERROR(__xludf.DUMMYFUNCTION("""COMPUTED_VALUE"""),"")</f>
        <v/>
      </c>
      <c r="C1397" s="3" t="str">
        <f>IFERROR(__xludf.DUMMYFUNCTION("""COMPUTED_VALUE"""),"Postdoc role at CHAI")</f>
        <v>Postdoc role at CHAI</v>
      </c>
      <c r="D1397" t="str">
        <f>IFERROR(__xludf.DUMMYFUNCTION("""COMPUTED_VALUE"""),"CHAI")</f>
        <v>CHAI</v>
      </c>
      <c r="E1397" t="str">
        <f>IFERROR(__xludf.DUMMYFUNCTION("""COMPUTED_VALUE"""),"CHAI Website")</f>
        <v>CHAI Website</v>
      </c>
      <c r="F1397">
        <f>IFERROR(__xludf.DUMMYFUNCTION("""COMPUTED_VALUE"""),2021.0)</f>
        <v>2021</v>
      </c>
      <c r="H1397" s="3" t="str">
        <f>IFERROR(__xludf.DUMMYFUNCTION("""COMPUTED_VALUE"""),"AN #138")</f>
        <v>AN #138</v>
      </c>
      <c r="I1397" t="str">
        <f>IFERROR(__xludf.DUMMYFUNCTION("""COMPUTED_VALUE"""),"Rohin")</f>
        <v>Rohin</v>
      </c>
      <c r="J1397" t="str">
        <f>IFERROR(__xludf.DUMMYFUNCTION("""COMPUTED_VALUE"""),"The Center for Human-Compatible AI (where I did my PhD) is looking for postdocs. Apply [here](https://forms.gle/8w9Jfjr3X86osAvTA).")</f>
        <v>The Center for Human-Compatible AI (where I did my PhD) is looking for postdocs. Apply [here](https://forms.gle/8w9Jfjr3X86osAvTA).</v>
      </c>
    </row>
    <row r="1398">
      <c r="A1398" t="str">
        <f>IFERROR(__xludf.DUMMYFUNCTION("""COMPUTED_VALUE"""),"News")</f>
        <v>News</v>
      </c>
      <c r="B1398" t="str">
        <f>IFERROR(__xludf.DUMMYFUNCTION("""COMPUTED_VALUE"""),"")</f>
        <v/>
      </c>
      <c r="C1398" s="3" t="str">
        <f>IFERROR(__xludf.DUMMYFUNCTION("""COMPUTED_VALUE"""),"Apply to EA Funds now")</f>
        <v>Apply to EA Funds now</v>
      </c>
      <c r="D1398" t="str">
        <f>IFERROR(__xludf.DUMMYFUNCTION("""COMPUTED_VALUE"""),"Jonas Vollmer")</f>
        <v>Jonas Vollmer</v>
      </c>
      <c r="E1398" t="str">
        <f>IFERROR(__xludf.DUMMYFUNCTION("""COMPUTED_VALUE"""),"EA Forum")</f>
        <v>EA Forum</v>
      </c>
      <c r="F1398">
        <f>IFERROR(__xludf.DUMMYFUNCTION("""COMPUTED_VALUE"""),2021.0)</f>
        <v>2021</v>
      </c>
      <c r="H1398" s="3" t="str">
        <f>IFERROR(__xludf.DUMMYFUNCTION("""COMPUTED_VALUE"""),"AN #138")</f>
        <v>AN #138</v>
      </c>
      <c r="I1398" t="str">
        <f>IFERROR(__xludf.DUMMYFUNCTION("""COMPUTED_VALUE"""),"Rohin")</f>
        <v>Rohin</v>
      </c>
      <c r="J1398" t="str">
        <f>IFERROR(__xludf.DUMMYFUNCTION("""COMPUTED_VALUE"""),"EA Funds applications are open until the deadline of March 7. This includes the Long-Term Future Fund (LTFF), which often provides grants to people working on AI alignment. I’m told that LTFF is constrained by high-quality applications, and that applying "&amp;"only takes a few hours, so it is probably best to err on the side of applying.")</f>
        <v>EA Funds applications are open until the deadline of March 7. This includes the Long-Term Future Fund (LTFF), which often provides grants to people working on AI alignment. I’m told that LTFF is constrained by high-quality applications, and that applying only takes a few hours, so it is probably best to err on the side of applying.</v>
      </c>
    </row>
    <row r="1399">
      <c r="A1399" t="str">
        <f>IFERROR(__xludf.DUMMYFUNCTION("""COMPUTED_VALUE"""),"News")</f>
        <v>News</v>
      </c>
      <c r="B1399" t="str">
        <f>IFERROR(__xludf.DUMMYFUNCTION("""COMPUTED_VALUE"""),"")</f>
        <v/>
      </c>
      <c r="C1399" s="3" t="str">
        <f>IFERROR(__xludf.DUMMYFUNCTION("""COMPUTED_VALUE"""),"AISU 2021")</f>
        <v>AISU 2021</v>
      </c>
      <c r="E1399" t="str">
        <f>IFERROR(__xludf.DUMMYFUNCTION("""COMPUTED_VALUE"""),"AISU Website")</f>
        <v>AISU Website</v>
      </c>
      <c r="F1399">
        <f>IFERROR(__xludf.DUMMYFUNCTION("""COMPUTED_VALUE"""),2021.0)</f>
        <v>2021</v>
      </c>
      <c r="H1399" s="3" t="str">
        <f>IFERROR(__xludf.DUMMYFUNCTION("""COMPUTED_VALUE"""),"AN #136")</f>
        <v>AN #136</v>
      </c>
      <c r="I1399" t="str">
        <f>IFERROR(__xludf.DUMMYFUNCTION("""COMPUTED_VALUE"""),"Rohin")</f>
        <v>Rohin</v>
      </c>
      <c r="J1399" t="str">
        <f>IFERROR(__xludf.DUMMYFUNCTION("""COMPUTED_VALUE"""),"The third AI safety unconference will take place online from April 23rd to April 28th, 2021. The registration deadline is April 13th.")</f>
        <v>The third AI safety unconference will take place online from April 23rd to April 28th, 2021. The registration deadline is April 13th.</v>
      </c>
    </row>
    <row r="1400">
      <c r="A1400" t="str">
        <f>IFERROR(__xludf.DUMMYFUNCTION("""COMPUTED_VALUE"""),"News")</f>
        <v>News</v>
      </c>
      <c r="B1400" t="str">
        <f>IFERROR(__xludf.DUMMYFUNCTION("""COMPUTED_VALUE"""),"")</f>
        <v/>
      </c>
      <c r="C1400" s="3" t="str">
        <f>IFERROR(__xludf.DUMMYFUNCTION("""COMPUTED_VALUE"""),"MIT Postdoc Role")</f>
        <v>MIT Postdoc Role</v>
      </c>
      <c r="E1400" t="str">
        <f>IFERROR(__xludf.DUMMYFUNCTION("""COMPUTED_VALUE"""),"ResearchGate")</f>
        <v>ResearchGate</v>
      </c>
      <c r="F1400">
        <f>IFERROR(__xludf.DUMMYFUNCTION("""COMPUTED_VALUE"""),2020.0)</f>
        <v>2020</v>
      </c>
      <c r="H1400" s="3" t="str">
        <f>IFERROR(__xludf.DUMMYFUNCTION("""COMPUTED_VALUE"""),"AN #129")</f>
        <v>AN #129</v>
      </c>
      <c r="I1400" t="str">
        <f>IFERROR(__xludf.DUMMYFUNCTION("""COMPUTED_VALUE"""),"Rohin")</f>
        <v>Rohin</v>
      </c>
      <c r="J1400" t="str">
        <f>IFERROR(__xludf.DUMMYFUNCTION("""COMPUTED_VALUE"""),"[Neil Thompson](http://www.neil-t.com/), who works on forecasting progress in AI (see for example [The Computational Limits of Deep Learning](https://arxiv.org/abs/2007.05558)), is looking for a postdoc in economics and computer science to (1) understand "&amp;"the key innovation trends in computing and artificial intelligence, and (2) analyze the economic and policy implications of these trends. The application deadline is Jan 3.")</f>
        <v>[Neil Thompson](http://www.neil-t.com/), who works on forecasting progress in AI (see for example [The Computational Limits of Deep Learning](https://arxiv.org/abs/2007.05558)), is looking for a postdoc in economics and computer science to (1) understand the key innovation trends in computing and artificial intelligence, and (2) analyze the economic and policy implications of these trends. The application deadline is Jan 3.</v>
      </c>
    </row>
    <row r="1401">
      <c r="A1401" t="str">
        <f>IFERROR(__xludf.DUMMYFUNCTION("""COMPUTED_VALUE"""),"News")</f>
        <v>News</v>
      </c>
      <c r="B1401" t="str">
        <f>IFERROR(__xludf.DUMMYFUNCTION("""COMPUTED_VALUE"""),"")</f>
        <v/>
      </c>
      <c r="C1401" s="3" t="str">
        <f>IFERROR(__xludf.DUMMYFUNCTION("""COMPUTED_VALUE"""),"Metaculus AI Progress Tournament")</f>
        <v>Metaculus AI Progress Tournament</v>
      </c>
      <c r="E1401" t="str">
        <f>IFERROR(__xludf.DUMMYFUNCTION("""COMPUTED_VALUE"""),"Metaculus")</f>
        <v>Metaculus</v>
      </c>
      <c r="F1401">
        <f>IFERROR(__xludf.DUMMYFUNCTION("""COMPUTED_VALUE"""),2020.0)</f>
        <v>2020</v>
      </c>
      <c r="H1401" s="3" t="str">
        <f>IFERROR(__xludf.DUMMYFUNCTION("""COMPUTED_VALUE"""),"AN #128")</f>
        <v>AN #128</v>
      </c>
      <c r="I1401" t="str">
        <f>IFERROR(__xludf.DUMMYFUNCTION("""COMPUTED_VALUE"""),"Rohin")</f>
        <v>Rohin</v>
      </c>
      <c r="J1401" t="str">
        <f>IFERROR(__xludf.DUMMYFUNCTION("""COMPUTED_VALUE"""),"Metaculus is running an AI forecasting tournament, with up to $50,000 in prizes. The tournament starts December 14, and will continue till around mid-June, and will involve forecasting targets on a 6-24 month timescale. You can pre-register to forecast no"&amp;"w.")</f>
        <v>Metaculus is running an AI forecasting tournament, with up to $50,000 in prizes. The tournament starts December 14, and will continue till around mid-June, and will involve forecasting targets on a 6-24 month timescale. You can pre-register to forecast now.</v>
      </c>
    </row>
    <row r="1402">
      <c r="A1402" t="str">
        <f>IFERROR(__xludf.DUMMYFUNCTION("""COMPUTED_VALUE"""),"News")</f>
        <v>News</v>
      </c>
      <c r="B1402" t="str">
        <f>IFERROR(__xludf.DUMMYFUNCTION("""COMPUTED_VALUE"""),"")</f>
        <v/>
      </c>
      <c r="C1402" s="3" t="str">
        <f>IFERROR(__xludf.DUMMYFUNCTION("""COMPUTED_VALUE"""),"AI Safety Camp virtual edition 2021")</f>
        <v>AI Safety Camp virtual edition 2021</v>
      </c>
      <c r="D1402" t="str">
        <f>IFERROR(__xludf.DUMMYFUNCTION("""COMPUTED_VALUE"""),"Remmelt Ellen, Rebecca Baron, Richard Möhn, Max Chiswick, Nicholas Goldowsky-Dill")</f>
        <v>Remmelt Ellen, Rebecca Baron, Richard Möhn, Max Chiswick, Nicholas Goldowsky-Dill</v>
      </c>
      <c r="E1402" t="str">
        <f>IFERROR(__xludf.DUMMYFUNCTION("""COMPUTED_VALUE"""),"Author's Website")</f>
        <v>Author's Website</v>
      </c>
      <c r="F1402">
        <f>IFERROR(__xludf.DUMMYFUNCTION("""COMPUTED_VALUE"""),2020.0)</f>
        <v>2020</v>
      </c>
      <c r="H1402" s="3" t="str">
        <f>IFERROR(__xludf.DUMMYFUNCTION("""COMPUTED_VALUE"""),"AN #126")</f>
        <v>AN #126</v>
      </c>
      <c r="I1402" t="str">
        <f>IFERROR(__xludf.DUMMYFUNCTION("""COMPUTED_VALUE"""),"Rohin")</f>
        <v>Rohin</v>
      </c>
      <c r="J1402" t="str">
        <f>IFERROR(__xludf.DUMMYFUNCTION("""COMPUTED_VALUE"""),"The second virtual AI Safety Camp will take place over the first half of 2021. Applications will close on December 15.")</f>
        <v>The second virtual AI Safety Camp will take place over the first half of 2021. Applications will close on December 15.</v>
      </c>
    </row>
    <row r="1403">
      <c r="A1403" t="str">
        <f>IFERROR(__xludf.DUMMYFUNCTION("""COMPUTED_VALUE"""),"News")</f>
        <v>News</v>
      </c>
      <c r="B1403" t="str">
        <f>IFERROR(__xludf.DUMMYFUNCTION("""COMPUTED_VALUE"""),"")</f>
        <v/>
      </c>
      <c r="C1403" s="3" t="str">
        <f>IFERROR(__xludf.DUMMYFUNCTION("""COMPUTED_VALUE"""),"European Master's Programs in Machine Learning, Artificial Intelligence, and related fields")</f>
        <v>European Master's Programs in Machine Learning, Artificial Intelligence, and related fields</v>
      </c>
      <c r="D1403" t="str">
        <f>IFERROR(__xludf.DUMMYFUNCTION("""COMPUTED_VALUE"""),"Marius*, Leon*, Marco, Xander, David, Lauro, Jérémy, Ago, Richard, James, Javier, Charlie, Magdalena, Kyle")</f>
        <v>Marius*, Leon*, Marco, Xander, David, Lauro, Jérémy, Ago, Richard, James, Javier, Charlie, Magdalena, Kyle</v>
      </c>
      <c r="E1403" t="str">
        <f>IFERROR(__xludf.DUMMYFUNCTION("""COMPUTED_VALUE"""),"LessWrong")</f>
        <v>LessWrong</v>
      </c>
      <c r="F1403">
        <f>IFERROR(__xludf.DUMMYFUNCTION("""COMPUTED_VALUE"""),2020.0)</f>
        <v>2020</v>
      </c>
      <c r="H1403" s="3" t="str">
        <f>IFERROR(__xludf.DUMMYFUNCTION("""COMPUTED_VALUE"""),"AN #126")</f>
        <v>AN #126</v>
      </c>
      <c r="I1403" t="str">
        <f>IFERROR(__xludf.DUMMYFUNCTION("""COMPUTED_VALUE"""),"Rohin")</f>
        <v>Rohin</v>
      </c>
      <c r="J1403" t="str">
        <f>IFERROR(__xludf.DUMMYFUNCTION("""COMPUTED_VALUE"""),"Each article in this series is supposed to give prospective students an honest evaluation of the teaching, research, industry opportunities, and city life of a specific European Master’s program in ML or AI. Note that I have not read through the articles "&amp;"myself.")</f>
        <v>Each article in this series is supposed to give prospective students an honest evaluation of the teaching, research, industry opportunities, and city life of a specific European Master’s program in ML or AI. Note that I have not read through the articles myself.</v>
      </c>
    </row>
    <row r="1404">
      <c r="A1404" t="str">
        <f>IFERROR(__xludf.DUMMYFUNCTION("""COMPUTED_VALUE"""),"News")</f>
        <v>News</v>
      </c>
      <c r="B1404" t="str">
        <f>IFERROR(__xludf.DUMMYFUNCTION("""COMPUTED_VALUE"""),"")</f>
        <v/>
      </c>
      <c r="C1404" s="3" t="str">
        <f>IFERROR(__xludf.DUMMYFUNCTION("""COMPUTED_VALUE"""),"PhD Studentships in Safe and Trusted Artificial Intelligence")</f>
        <v>PhD Studentships in Safe and Trusted Artificial Intelligence</v>
      </c>
      <c r="E1404" t="str">
        <f>IFERROR(__xludf.DUMMYFUNCTION("""COMPUTED_VALUE"""),"Safe and Trusted AI Website")</f>
        <v>Safe and Trusted AI Website</v>
      </c>
      <c r="F1404">
        <f>IFERROR(__xludf.DUMMYFUNCTION("""COMPUTED_VALUE"""),2020.0)</f>
        <v>2020</v>
      </c>
      <c r="H1404" s="3" t="str">
        <f>IFERROR(__xludf.DUMMYFUNCTION("""COMPUTED_VALUE"""),"AN #122")</f>
        <v>AN #122</v>
      </c>
      <c r="I1404" t="str">
        <f>IFERROR(__xludf.DUMMYFUNCTION("""COMPUTED_VALUE"""),"Rohin")</f>
        <v>Rohin</v>
      </c>
      <c r="J1404" t="str">
        <f>IFERROR(__xludf.DUMMYFUNCTION("""COMPUTED_VALUE"""),"The UKRI Centre for Doctoral Training in Safe and Trusted Artificial Intelligence is offering 12 fully funded PhD Studentships. They focus on the use of symbolic AI techniques for ensuring the safety and trustworthiness of AI systems. There are multiple a"&amp;"pplication periods; the application deadline for the first round is November 22.")</f>
        <v>The UKRI Centre for Doctoral Training in Safe and Trusted Artificial Intelligence is offering 12 fully funded PhD Studentships. They focus on the use of symbolic AI techniques for ensuring the safety and trustworthiness of AI systems. There are multiple application periods; the application deadline for the first round is November 22.</v>
      </c>
    </row>
    <row r="1405">
      <c r="A1405" t="str">
        <f>IFERROR(__xludf.DUMMYFUNCTION("""COMPUTED_VALUE"""),"News")</f>
        <v>News</v>
      </c>
      <c r="B1405" t="str">
        <f>IFERROR(__xludf.DUMMYFUNCTION("""COMPUTED_VALUE"""),"")</f>
        <v/>
      </c>
      <c r="C1405" s="3" t="str">
        <f>IFERROR(__xludf.DUMMYFUNCTION("""COMPUTED_VALUE"""),"OpenAI Licenses GPT-3 Technology to Microsoft")</f>
        <v>OpenAI Licenses GPT-3 Technology to Microsoft</v>
      </c>
      <c r="E1405" t="str">
        <f>IFERROR(__xludf.DUMMYFUNCTION("""COMPUTED_VALUE"""),"OpenAI Website")</f>
        <v>OpenAI Website</v>
      </c>
      <c r="F1405">
        <f>IFERROR(__xludf.DUMMYFUNCTION("""COMPUTED_VALUE"""),2020.0)</f>
        <v>2020</v>
      </c>
      <c r="H1405" s="3" t="str">
        <f>IFERROR(__xludf.DUMMYFUNCTION("""COMPUTED_VALUE"""),"AN #119")</f>
        <v>AN #119</v>
      </c>
      <c r="I1405" t="str">
        <f>IFERROR(__xludf.DUMMYFUNCTION("""COMPUTED_VALUE"""),"Rohin")</f>
        <v>Rohin</v>
      </c>
      <c r="J1405" t="str">
        <f>IFERROR(__xludf.DUMMYFUNCTION("""COMPUTED_VALUE"""),"In the &lt;@initial announcement of Microsoft’s investment in OpenAI@&gt;(@Microsoft invests in and partners with OpenAI to support us building beneficial AGI@), OpenAI suggested that they would likely license pre-AGI technologies to Microsoft in order to get e"&amp;"nough capital to run high-compute experiments. This has now happened with the &lt;@GPT-3 API@&gt;(@OpenAI API@).")</f>
        <v>In the &lt;@initial announcement of Microsoft’s investment in OpenAI@&gt;(@Microsoft invests in and partners with OpenAI to support us building beneficial AGI@), OpenAI suggested that they would likely license pre-AGI technologies to Microsoft in order to get enough capital to run high-compute experiments. This has now happened with the &lt;@GPT-3 API@&gt;(@OpenAI API@).</v>
      </c>
    </row>
    <row r="1406">
      <c r="A1406" t="str">
        <f>IFERROR(__xludf.DUMMYFUNCTION("""COMPUTED_VALUE"""),"News")</f>
        <v>News</v>
      </c>
      <c r="B1406" t="str">
        <f>IFERROR(__xludf.DUMMYFUNCTION("""COMPUTED_VALUE"""),"")</f>
        <v/>
      </c>
      <c r="C1406" s="3" t="str">
        <f>IFERROR(__xludf.DUMMYFUNCTION("""COMPUTED_VALUE"""),"AI Governance Project Manager")</f>
        <v>AI Governance Project Manager</v>
      </c>
      <c r="D1406" t="str">
        <f>IFERROR(__xludf.DUMMYFUNCTION("""COMPUTED_VALUE"""),"Markus Anderljung")</f>
        <v>Markus Anderljung</v>
      </c>
      <c r="E1406" t="str">
        <f>IFERROR(__xludf.DUMMYFUNCTION("""COMPUTED_VALUE"""),"FHI Website")</f>
        <v>FHI Website</v>
      </c>
      <c r="F1406">
        <f>IFERROR(__xludf.DUMMYFUNCTION("""COMPUTED_VALUE"""),2020.0)</f>
        <v>2020</v>
      </c>
      <c r="H1406" s="3" t="str">
        <f>IFERROR(__xludf.DUMMYFUNCTION("""COMPUTED_VALUE"""),"AN #115")</f>
        <v>AN #115</v>
      </c>
      <c r="I1406" t="str">
        <f>IFERROR(__xludf.DUMMYFUNCTION("""COMPUTED_VALUE"""),"Rohin")</f>
        <v>Rohin</v>
      </c>
      <c r="J1406" t="str">
        <f>IFERROR(__xludf.DUMMYFUNCTION("""COMPUTED_VALUE"""),"The Centre for the Governance of AI is hiring for a project manager role. The deadline to apply is September 30.")</f>
        <v>The Centre for the Governance of AI is hiring for a project manager role. The deadline to apply is September 30.</v>
      </c>
    </row>
    <row r="1407">
      <c r="A1407" t="str">
        <f>IFERROR(__xludf.DUMMYFUNCTION("""COMPUTED_VALUE"""),"News")</f>
        <v>News</v>
      </c>
      <c r="B1407" t="str">
        <f>IFERROR(__xludf.DUMMYFUNCTION("""COMPUTED_VALUE"""),"")</f>
        <v/>
      </c>
      <c r="C1407" s="3" t="str">
        <f>IFERROR(__xludf.DUMMYFUNCTION("""COMPUTED_VALUE"""),"FHI Research Scholars Programme -- Applications Open")</f>
        <v>FHI Research Scholars Programme -- Applications Open</v>
      </c>
      <c r="D1407" t="str">
        <f>IFERROR(__xludf.DUMMYFUNCTION("""COMPUTED_VALUE"""),"Anne Le Roux")</f>
        <v>Anne Le Roux</v>
      </c>
      <c r="E1407" t="str">
        <f>IFERROR(__xludf.DUMMYFUNCTION("""COMPUTED_VALUE"""),"FHI Website")</f>
        <v>FHI Website</v>
      </c>
      <c r="F1407">
        <f>IFERROR(__xludf.DUMMYFUNCTION("""COMPUTED_VALUE"""),2020.0)</f>
        <v>2020</v>
      </c>
      <c r="H1407" t="str">
        <f>IFERROR(__xludf.DUMMYFUNCTION("""COMPUTED_VALUE"""),"AN #113")</f>
        <v>AN #113</v>
      </c>
      <c r="I1407" t="str">
        <f>IFERROR(__xludf.DUMMYFUNCTION("""COMPUTED_VALUE"""),"Rohin")</f>
        <v>Rohin</v>
      </c>
      <c r="J1407" t="str">
        <f>IFERROR(__xludf.DUMMYFUNCTION("""COMPUTED_VALUE"""),"The Future of Humanity Institute’s Research Scholars Programme is hiring a second cohort of research scholars, likely to start in Spring 2021. The application deadline is September 14.")</f>
        <v>The Future of Humanity Institute’s Research Scholars Programme is hiring a second cohort of research scholars, likely to start in Spring 2021. The application deadline is September 14.</v>
      </c>
    </row>
    <row r="1408">
      <c r="A1408" t="str">
        <f>IFERROR(__xludf.DUMMYFUNCTION("""COMPUTED_VALUE"""),"News")</f>
        <v>News</v>
      </c>
      <c r="B1408" t="str">
        <f>IFERROR(__xludf.DUMMYFUNCTION("""COMPUTED_VALUE"""),"")</f>
        <v/>
      </c>
      <c r="C1408" s="3" t="str">
        <f>IFERROR(__xludf.DUMMYFUNCTION("""COMPUTED_VALUE"""),"Research Scholars Programme")</f>
        <v>Research Scholars Programme</v>
      </c>
      <c r="E1408" t="str">
        <f>IFERROR(__xludf.DUMMYFUNCTION("""COMPUTED_VALUE"""),"FHI Website")</f>
        <v>FHI Website</v>
      </c>
      <c r="F1408">
        <f>IFERROR(__xludf.DUMMYFUNCTION("""COMPUTED_VALUE"""),2018.0)</f>
        <v>2018</v>
      </c>
      <c r="H1408" s="3" t="str">
        <f>IFERROR(__xludf.DUMMYFUNCTION("""COMPUTED_VALUE"""),"AN #11")</f>
        <v>AN #11</v>
      </c>
      <c r="I1408" t="str">
        <f>IFERROR(__xludf.DUMMYFUNCTION("""COMPUTED_VALUE"""),"Rohin")</f>
        <v>Rohin</v>
      </c>
      <c r="J1408" t="str">
        <f>IFERROR(__xludf.DUMMYFUNCTION("""COMPUTED_VALUE"""),"From the website: ""The Future of Humanity Institute is launching a Research Scholars Programme, likely to start in October 2018. It is a selective, two-year research programme, with lots of latitude for exploration as well as significant training and sup"&amp;"port elements. We will offer around six salaried positions to early-career researchers who aim to answer questions that shed light on the big-picture questions critical to humanity’s wellbeing. We are collecting formal applications to the programme from n"&amp;"ow until 11 July, 2018.""")</f>
        <v>From the website: "The Future of Humanity Institute is launching a Research Scholars Programme, likely to start in October 2018. It is a selective, two-year research programme, with lots of latitude for exploration as well as significant training and support elements. We will offer around six salaried positions to early-career researchers who aim to answer questions that shed light on the big-picture questions critical to humanity’s wellbeing. We are collecting formal applications to the programme from now until 11 July, 2018."</v>
      </c>
    </row>
    <row r="1409">
      <c r="A1409" t="str">
        <f>IFERROR(__xludf.DUMMYFUNCTION("""COMPUTED_VALUE"""),"News")</f>
        <v>News</v>
      </c>
      <c r="B1409" t="str">
        <f>IFERROR(__xludf.DUMMYFUNCTION("""COMPUTED_VALUE"""),"")</f>
        <v/>
      </c>
      <c r="C1409" s="3" t="str">
        <f>IFERROR(__xludf.DUMMYFUNCTION("""COMPUTED_VALUE"""),"Announcing the 2018 AI Fellows")</f>
        <v>Announcing the 2018 AI Fellows</v>
      </c>
      <c r="E1409" t="str">
        <f>IFERROR(__xludf.DUMMYFUNCTION("""COMPUTED_VALUE"""),"Open Philanthropy Project website")</f>
        <v>Open Philanthropy Project website</v>
      </c>
      <c r="F1409">
        <f>IFERROR(__xludf.DUMMYFUNCTION("""COMPUTED_VALUE"""),2018.0)</f>
        <v>2018</v>
      </c>
      <c r="H1409" s="3" t="str">
        <f>IFERROR(__xludf.DUMMYFUNCTION("""COMPUTED_VALUE"""),"AN #10")</f>
        <v>AN #10</v>
      </c>
      <c r="I1409" t="str">
        <f>IFERROR(__xludf.DUMMYFUNCTION("""COMPUTED_VALUE"""),"Rohin")</f>
        <v>Rohin</v>
      </c>
      <c r="J1409" t="str">
        <f>IFERROR(__xludf.DUMMYFUNCTION("""COMPUTED_VALUE"""),"The Open Philanthropy Project has chosen seven out of 180 applicants as the first class of AI fellows.")</f>
        <v>The Open Philanthropy Project has chosen seven out of 180 applicants as the first class of AI fellows.</v>
      </c>
    </row>
    <row r="1410">
      <c r="A1410" t="str">
        <f>IFERROR(__xludf.DUMMYFUNCTION("""COMPUTED_VALUE"""),"News")</f>
        <v>News</v>
      </c>
      <c r="B1410" t="str">
        <f>IFERROR(__xludf.DUMMYFUNCTION("""COMPUTED_VALUE"""),"")</f>
        <v/>
      </c>
      <c r="C1410" s="3" t="str">
        <f>IFERROR(__xludf.DUMMYFUNCTION("""COMPUTED_VALUE"""),"OpenAI Fellows—Fall 2018")</f>
        <v>OpenAI Fellows—Fall 2018</v>
      </c>
      <c r="D1410" t="str">
        <f>IFERROR(__xludf.DUMMYFUNCTION("""COMPUTED_VALUE"""),"Larissa Schiavo, Igor Mordatch, and John Schulman")</f>
        <v>Larissa Schiavo, Igor Mordatch, and John Schulman</v>
      </c>
      <c r="E1410" t="str">
        <f>IFERROR(__xludf.DUMMYFUNCTION("""COMPUTED_VALUE"""),"OpenAI Blog")</f>
        <v>OpenAI Blog</v>
      </c>
      <c r="F1410">
        <f>IFERROR(__xludf.DUMMYFUNCTION("""COMPUTED_VALUE"""),2018.0)</f>
        <v>2018</v>
      </c>
      <c r="H1410" s="3" t="str">
        <f>IFERROR(__xludf.DUMMYFUNCTION("""COMPUTED_VALUE"""),"AN #10")</f>
        <v>AN #10</v>
      </c>
      <c r="I1410" t="str">
        <f>IFERROR(__xludf.DUMMYFUNCTION("""COMPUTED_VALUE"""),"Rohin")</f>
        <v>Rohin</v>
      </c>
      <c r="J1410" t="str">
        <f>IFERROR(__xludf.DUMMYFUNCTION("""COMPUTED_VALUE"""),"The OpenAI Fellows program is accepting applications until July 8 for positions starting in September. The program is aimed at people who want to transition into doing AI research, but they do want evidence of interest in AI, either through past projects "&amp;"or self-study.")</f>
        <v>The OpenAI Fellows program is accepting applications until July 8 for positions starting in September. The program is aimed at people who want to transition into doing AI research, but they do want evidence of interest in AI, either through past projects or self-study.</v>
      </c>
    </row>
    <row r="1411">
      <c r="A1411" t="str">
        <f>IFERROR(__xludf.DUMMYFUNCTION("""COMPUTED_VALUE"""),"News")</f>
        <v>News</v>
      </c>
      <c r="B1411" t="str">
        <f>IFERROR(__xludf.DUMMYFUNCTION("""COMPUTED_VALUE"""),"")</f>
        <v/>
      </c>
      <c r="C1411" s="3" t="str">
        <f>IFERROR(__xludf.DUMMYFUNCTION("""COMPUTED_VALUE"""),"Junior Research Assistant and Project Manager role at GCRI")</f>
        <v>Junior Research Assistant and Project Manager role at GCRI</v>
      </c>
      <c r="E1411" t="str">
        <f>IFERROR(__xludf.DUMMYFUNCTION("""COMPUTED_VALUE"""),"GCRI Website")</f>
        <v>GCRI Website</v>
      </c>
      <c r="F1411">
        <f>IFERROR(__xludf.DUMMYFUNCTION("""COMPUTED_VALUE"""),2020.0)</f>
        <v>2020</v>
      </c>
      <c r="H1411" s="3" t="str">
        <f>IFERROR(__xludf.DUMMYFUNCTION("""COMPUTED_VALUE"""),"AN #85")</f>
        <v>AN #85</v>
      </c>
      <c r="I1411" t="str">
        <f>IFERROR(__xludf.DUMMYFUNCTION("""COMPUTED_VALUE"""),"Rohin")</f>
        <v>Rohin</v>
      </c>
      <c r="J1411" t="str">
        <f>IFERROR(__xludf.DUMMYFUNCTION("""COMPUTED_VALUE"""),"This job is available immediately, and could be full-time or part-time. GCRI also currently has a [call](http://gcrinstitute.org/call-for-advisees-and-collaborators-for-select-ai-projects-january-2020/) for advisees and collaborators.")</f>
        <v>This job is available immediately, and could be full-time or part-time. GCRI also currently has a [call](http://gcrinstitute.org/call-for-advisees-and-collaborators-for-select-ai-projects-january-2020/) for advisees and collaborators.</v>
      </c>
    </row>
    <row r="1412">
      <c r="A1412" t="str">
        <f>IFERROR(__xludf.DUMMYFUNCTION("""COMPUTED_VALUE"""),"News")</f>
        <v>News</v>
      </c>
      <c r="B1412" t="str">
        <f>IFERROR(__xludf.DUMMYFUNCTION("""COMPUTED_VALUE"""),"")</f>
        <v/>
      </c>
      <c r="C1412" t="str">
        <f>IFERROR(__xludf.DUMMYFUNCTION("""COMPUTED_VALUE"""),"[Research Associate](https://www.jobs.cam.ac.uk/job/24516/) and [Senior Research Associate](https://www.jobs.cam.ac.uk/job/24517/) at CSER")</f>
        <v>[Research Associate](https://www.jobs.cam.ac.uk/job/24516/) and [Senior Research Associate](https://www.jobs.cam.ac.uk/job/24517/) at CSER</v>
      </c>
      <c r="E1412" t="str">
        <f>IFERROR(__xludf.DUMMYFUNCTION("""COMPUTED_VALUE"""),"Cambridge University Website")</f>
        <v>Cambridge University Website</v>
      </c>
      <c r="F1412">
        <f>IFERROR(__xludf.DUMMYFUNCTION("""COMPUTED_VALUE"""),2020.0)</f>
        <v>2020</v>
      </c>
      <c r="H1412" s="3" t="str">
        <f>IFERROR(__xludf.DUMMYFUNCTION("""COMPUTED_VALUE"""),"AN #85")</f>
        <v>AN #85</v>
      </c>
      <c r="I1412" t="str">
        <f>IFERROR(__xludf.DUMMYFUNCTION("""COMPUTED_VALUE"""),"Rohin")</f>
        <v>Rohin</v>
      </c>
      <c r="J1412" t="str">
        <f>IFERROR(__xludf.DUMMYFUNCTION("""COMPUTED_VALUE"""),"Application deadline is Feb 16.")</f>
        <v>Application deadline is Feb 16.</v>
      </c>
    </row>
    <row r="1413">
      <c r="A1413" t="str">
        <f>IFERROR(__xludf.DUMMYFUNCTION("""COMPUTED_VALUE"""),"News")</f>
        <v>News</v>
      </c>
      <c r="B1413" t="str">
        <f>IFERROR(__xludf.DUMMYFUNCTION("""COMPUTED_VALUE"""),"")</f>
        <v/>
      </c>
      <c r="C1413" s="3" t="str">
        <f>IFERROR(__xludf.DUMMYFUNCTION("""COMPUTED_VALUE"""),"AI Safety Camp Toronto")</f>
        <v>AI Safety Camp Toronto</v>
      </c>
      <c r="E1413" t="str">
        <f>IFERROR(__xludf.DUMMYFUNCTION("""COMPUTED_VALUE"""),"AI Safety Camp Website")</f>
        <v>AI Safety Camp Website</v>
      </c>
      <c r="F1413">
        <f>IFERROR(__xludf.DUMMYFUNCTION("""COMPUTED_VALUE"""),2019.0)</f>
        <v>2019</v>
      </c>
      <c r="H1413" s="3" t="str">
        <f>IFERROR(__xludf.DUMMYFUNCTION("""COMPUTED_VALUE"""),"AN #77")</f>
        <v>AN #77</v>
      </c>
      <c r="I1413" t="str">
        <f>IFERROR(__xludf.DUMMYFUNCTION("""COMPUTED_VALUE"""),"Rohin")</f>
        <v>Rohin</v>
      </c>
      <c r="J1413" t="str">
        <f>IFERROR(__xludf.DUMMYFUNCTION("""COMPUTED_VALUE"""),"The next &lt;@AI safety camp@&gt;(@The first AI Safety Camp and onwards@) will be held in early May, in Toronto. Apply [here](https://docs.google.com/forms/d/e/1FAIpQLSfZdu--EII061-KwWDSK6hZ5rtLCpBarKszw9btMs1dO1NOFA/viewform) by Jan 5.")</f>
        <v>The next &lt;@AI safety camp@&gt;(@The first AI Safety Camp and onwards@) will be held in early May, in Toronto. Apply [here](https://docs.google.com/forms/d/e/1FAIpQLSfZdu--EII061-KwWDSK6hZ5rtLCpBarKszw9btMs1dO1NOFA/viewform) by Jan 5.</v>
      </c>
    </row>
    <row r="1414">
      <c r="A1414" t="str">
        <f>IFERROR(__xludf.DUMMYFUNCTION("""COMPUTED_VALUE"""),"News")</f>
        <v>News</v>
      </c>
      <c r="B1414" t="str">
        <f>IFERROR(__xludf.DUMMYFUNCTION("""COMPUTED_VALUE"""),"")</f>
        <v/>
      </c>
      <c r="C1414" s="3" t="str">
        <f>IFERROR(__xludf.DUMMYFUNCTION("""COMPUTED_VALUE"""),"Post-Doctoral Fellowship on Ethically Aligned Artificial Intelligence")</f>
        <v>Post-Doctoral Fellowship on Ethically Aligned Artificial Intelligence</v>
      </c>
      <c r="E1414" t="str">
        <f>IFERROR(__xludf.DUMMYFUNCTION("""COMPUTED_VALUE"""),"MILA Website")</f>
        <v>MILA Website</v>
      </c>
      <c r="F1414">
        <f>IFERROR(__xludf.DUMMYFUNCTION("""COMPUTED_VALUE"""),2019.0)</f>
        <v>2019</v>
      </c>
      <c r="G1414" t="str">
        <f>IFERROR(__xludf.DUMMYFUNCTION("""COMPUTED_VALUE"""),"Daniel Dewey")</f>
        <v>Daniel Dewey</v>
      </c>
      <c r="H1414" s="3" t="str">
        <f>IFERROR(__xludf.DUMMYFUNCTION("""COMPUTED_VALUE"""),"AN #70")</f>
        <v>AN #70</v>
      </c>
      <c r="I1414" t="str">
        <f>IFERROR(__xludf.DUMMYFUNCTION("""COMPUTED_VALUE"""),"Rohin")</f>
        <v>Rohin</v>
      </c>
      <c r="J1414" t="str">
        <f>IFERROR(__xludf.DUMMYFUNCTION("""COMPUTED_VALUE"""),"Mila is looking for a postdoctoral fellow starting in Fall 2020 who would work on ethically aligned learning machines, towards building machines which can achieve specific goals while acting in a way consistent with human values and social norms. Applicat"&amp;"ions are already being processed, and will continue to be processed until the position is filled.")</f>
        <v>Mila is looking for a postdoctoral fellow starting in Fall 2020 who would work on ethically aligned learning machines, towards building machines which can achieve specific goals while acting in a way consistent with human values and social norms. Applications are already being processed, and will continue to be processed until the position is filled.</v>
      </c>
    </row>
    <row r="1415">
      <c r="A1415" t="str">
        <f>IFERROR(__xludf.DUMMYFUNCTION("""COMPUTED_VALUE"""),"News")</f>
        <v>News</v>
      </c>
      <c r="B1415" t="str">
        <f>IFERROR(__xludf.DUMMYFUNCTION("""COMPUTED_VALUE"""),"")</f>
        <v/>
      </c>
      <c r="C1415" s="3" t="str">
        <f>IFERROR(__xludf.DUMMYFUNCTION("""COMPUTED_VALUE"""),"Project Proposal: Considerations for trading off capabilities and safety impacts of AI research")</f>
        <v>Project Proposal: Considerations for trading off capabilities and safety impacts of AI research</v>
      </c>
      <c r="D1415" t="str">
        <f>IFERROR(__xludf.DUMMYFUNCTION("""COMPUTED_VALUE"""),"David Krueger")</f>
        <v>David Krueger</v>
      </c>
      <c r="E1415" t="str">
        <f>IFERROR(__xludf.DUMMYFUNCTION("""COMPUTED_VALUE"""),"Alignment Forum")</f>
        <v>Alignment Forum</v>
      </c>
      <c r="F1415">
        <f>IFERROR(__xludf.DUMMYFUNCTION("""COMPUTED_VALUE"""),2019.0)</f>
        <v>2019</v>
      </c>
      <c r="H1415" s="3" t="str">
        <f>IFERROR(__xludf.DUMMYFUNCTION("""COMPUTED_VALUE"""),"AN #62")</f>
        <v>AN #62</v>
      </c>
      <c r="I1415" t="str">
        <f>IFERROR(__xludf.DUMMYFUNCTION("""COMPUTED_VALUE"""),"Rohin")</f>
        <v>Rohin</v>
      </c>
      <c r="J1415" t="str">
        <f>IFERROR(__xludf.DUMMYFUNCTION("""COMPUTED_VALUE"""),"This post calls for a thorough and systematic evaluation of whether AI safety researchers should worry about the impact of their work on capabilities.")</f>
        <v>This post calls for a thorough and systematic evaluation of whether AI safety researchers should worry about the impact of their work on capabilities.</v>
      </c>
    </row>
    <row r="1416">
      <c r="A1416" t="str">
        <f>IFERROR(__xludf.DUMMYFUNCTION("""COMPUTED_VALUE"""),"News")</f>
        <v>News</v>
      </c>
      <c r="B1416" t="str">
        <f>IFERROR(__xludf.DUMMYFUNCTION("""COMPUTED_VALUE"""),"")</f>
        <v/>
      </c>
      <c r="C1416" s="3" t="str">
        <f>IFERROR(__xludf.DUMMYFUNCTION("""COMPUTED_VALUE"""),"Research Associate in Paradigms of Artificial General Intelligence and Their Associated Risk")</f>
        <v>Research Associate in Paradigms of Artificial General Intelligence and Their Associated Risk</v>
      </c>
      <c r="D1416" t="str">
        <f>IFERROR(__xludf.DUMMYFUNCTION("""COMPUTED_VALUE"""),"José Hernández-Orallo")</f>
        <v>José Hernández-Orallo</v>
      </c>
      <c r="E1416" t="str">
        <f>IFERROR(__xludf.DUMMYFUNCTION("""COMPUTED_VALUE"""),"CSER Website")</f>
        <v>CSER Website</v>
      </c>
      <c r="F1416">
        <f>IFERROR(__xludf.DUMMYFUNCTION("""COMPUTED_VALUE"""),2019.0)</f>
        <v>2019</v>
      </c>
      <c r="H1416" s="3" t="str">
        <f>IFERROR(__xludf.DUMMYFUNCTION("""COMPUTED_VALUE"""),"AN #61")</f>
        <v>AN #61</v>
      </c>
      <c r="I1416" t="str">
        <f>IFERROR(__xludf.DUMMYFUNCTION("""COMPUTED_VALUE"""),"Rohin")</f>
        <v>Rohin</v>
      </c>
      <c r="J1416" t="str">
        <f>IFERROR(__xludf.DUMMYFUNCTION("""COMPUTED_VALUE"""),"CSER is hiring a post-doctoral research assistant to inform the AGI safety agenda by looking at existing and possible kinds of agents; the deadline is August 26.")</f>
        <v>CSER is hiring a post-doctoral research assistant to inform the AGI safety agenda by looking at existing and possible kinds of agents; the deadline is August 26.</v>
      </c>
    </row>
    <row r="1417">
      <c r="A1417" t="str">
        <f>IFERROR(__xludf.DUMMYFUNCTION("""COMPUTED_VALUE"""),"News")</f>
        <v>News</v>
      </c>
      <c r="B1417" t="str">
        <f>IFERROR(__xludf.DUMMYFUNCTION("""COMPUTED_VALUE"""),"")</f>
        <v/>
      </c>
      <c r="C1417" s="3" t="str">
        <f>IFERROR(__xludf.DUMMYFUNCTION("""COMPUTED_VALUE"""),"Research Scholars Project Coordinator")</f>
        <v>Research Scholars Project Coordinator</v>
      </c>
      <c r="D1417" t="str">
        <f>IFERROR(__xludf.DUMMYFUNCTION("""COMPUTED_VALUE"""),"Rose Hadshar")</f>
        <v>Rose Hadshar</v>
      </c>
      <c r="E1417" t="str">
        <f>IFERROR(__xludf.DUMMYFUNCTION("""COMPUTED_VALUE"""),"FHI Website")</f>
        <v>FHI Website</v>
      </c>
      <c r="F1417">
        <f>IFERROR(__xludf.DUMMYFUNCTION("""COMPUTED_VALUE"""),2019.0)</f>
        <v>2019</v>
      </c>
      <c r="H1417" s="3" t="str">
        <f>IFERROR(__xludf.DUMMYFUNCTION("""COMPUTED_VALUE"""),"AN #59")</f>
        <v>AN #59</v>
      </c>
      <c r="I1417" t="str">
        <f>IFERROR(__xludf.DUMMYFUNCTION("""COMPUTED_VALUE"""),"Rohin")</f>
        <v>Rohin</v>
      </c>
      <c r="J1417" t="str">
        <f>IFERROR(__xludf.DUMMYFUNCTION("""COMPUTED_VALUE"""),"FHI is looking to hire a coordinator for the Research Scholars Programme. Application deadline is July 10.")</f>
        <v>FHI is looking to hire a coordinator for the Research Scholars Programme. Application deadline is July 10.</v>
      </c>
    </row>
    <row r="1418">
      <c r="A1418" t="str">
        <f>IFERROR(__xludf.DUMMYFUNCTION("""COMPUTED_VALUE"""),"News")</f>
        <v>News</v>
      </c>
      <c r="B1418" t="str">
        <f>IFERROR(__xludf.DUMMYFUNCTION("""COMPUTED_VALUE"""),"")</f>
        <v/>
      </c>
      <c r="C1418" s="3" t="str">
        <f>IFERROR(__xludf.DUMMYFUNCTION("""COMPUTED_VALUE"""),"Open Phil AI Fellowship — 2019 Class")</f>
        <v>Open Phil AI Fellowship — 2019 Class</v>
      </c>
      <c r="E1418" t="str">
        <f>IFERROR(__xludf.DUMMYFUNCTION("""COMPUTED_VALUE"""),"Open Phil Website")</f>
        <v>Open Phil Website</v>
      </c>
      <c r="F1418">
        <f>IFERROR(__xludf.DUMMYFUNCTION("""COMPUTED_VALUE"""),2019.0)</f>
        <v>2019</v>
      </c>
      <c r="H1418" s="3" t="str">
        <f>IFERROR(__xludf.DUMMYFUNCTION("""COMPUTED_VALUE"""),"AN #57")</f>
        <v>AN #57</v>
      </c>
      <c r="I1418" t="str">
        <f>IFERROR(__xludf.DUMMYFUNCTION("""COMPUTED_VALUE"""),"Rohin")</f>
        <v>Rohin</v>
      </c>
      <c r="J1418" t="str">
        <f>IFERROR(__xludf.DUMMYFUNCTION("""COMPUTED_VALUE"""),"The Open Phil AI Fellows for this year have been announced! Congratulations to all of the fellows :)")</f>
        <v>The Open Phil AI Fellows for this year have been announced! Congratulations to all of the fellows :)</v>
      </c>
    </row>
    <row r="1419">
      <c r="A1419" t="str">
        <f>IFERROR(__xludf.DUMMYFUNCTION("""COMPUTED_VALUE"""),"News")</f>
        <v>News</v>
      </c>
      <c r="B1419" t="str">
        <f>IFERROR(__xludf.DUMMYFUNCTION("""COMPUTED_VALUE"""),"")</f>
        <v/>
      </c>
      <c r="C1419" s="3" t="str">
        <f>IFERROR(__xludf.DUMMYFUNCTION("""COMPUTED_VALUE"""),"TAISU - Technical AI Safety Unconference")</f>
        <v>TAISU - Technical AI Safety Unconference</v>
      </c>
      <c r="D1419" t="str">
        <f>IFERROR(__xludf.DUMMYFUNCTION("""COMPUTED_VALUE"""),"Linda Linsefors")</f>
        <v>Linda Linsefors</v>
      </c>
      <c r="E1419" t="str">
        <f>IFERROR(__xludf.DUMMYFUNCTION("""COMPUTED_VALUE"""),"LessWrong")</f>
        <v>LessWrong</v>
      </c>
      <c r="H1419" s="3" t="str">
        <f>IFERROR(__xludf.DUMMYFUNCTION("""COMPUTED_VALUE"""),"AN #57")</f>
        <v>AN #57</v>
      </c>
    </row>
    <row r="1420">
      <c r="A1420" t="str">
        <f>IFERROR(__xludf.DUMMYFUNCTION("""COMPUTED_VALUE"""),"News")</f>
        <v>News</v>
      </c>
      <c r="B1420" t="str">
        <f>IFERROR(__xludf.DUMMYFUNCTION("""COMPUTED_VALUE"""),"")</f>
        <v/>
      </c>
      <c r="C1420" s="3" t="str">
        <f>IFERROR(__xludf.DUMMYFUNCTION("""COMPUTED_VALUE"""),"The AAAI's Workshop on Artificial Intelligence Safety")</f>
        <v>The AAAI's Workshop on Artificial Intelligence Safety</v>
      </c>
      <c r="E1420" t="str">
        <f>IFERROR(__xludf.DUMMYFUNCTION("""COMPUTED_VALUE"""),"SafeAI Website")</f>
        <v>SafeAI Website</v>
      </c>
      <c r="F1420">
        <f>IFERROR(__xludf.DUMMYFUNCTION("""COMPUTED_VALUE"""),2018.0)</f>
        <v>2018</v>
      </c>
      <c r="H1420" s="3" t="str">
        <f>IFERROR(__xludf.DUMMYFUNCTION("""COMPUTED_VALUE"""),"AN #28")</f>
        <v>AN #28</v>
      </c>
    </row>
    <row r="1421">
      <c r="A1421" t="str">
        <f>IFERROR(__xludf.DUMMYFUNCTION("""COMPUTED_VALUE"""),"News")</f>
        <v>News</v>
      </c>
      <c r="B1421" t="str">
        <f>IFERROR(__xludf.DUMMYFUNCTION("""COMPUTED_VALUE"""),"")</f>
        <v/>
      </c>
      <c r="C1421" s="3" t="str">
        <f>IFERROR(__xludf.DUMMYFUNCTION("""COMPUTED_VALUE"""),"AAAS Policy Fellowship")</f>
        <v>AAAS Policy Fellowship</v>
      </c>
      <c r="D1421" t="str">
        <f>IFERROR(__xludf.DUMMYFUNCTION("""COMPUTED_VALUE"""),"Niel Bowerman")</f>
        <v>Niel Bowerman</v>
      </c>
      <c r="E1421" t="str">
        <f>IFERROR(__xludf.DUMMYFUNCTION("""COMPUTED_VALUE"""),"80,000 Hours")</f>
        <v>80,000 Hours</v>
      </c>
      <c r="F1421">
        <f>IFERROR(__xludf.DUMMYFUNCTION("""COMPUTED_VALUE"""),2018.0)</f>
        <v>2018</v>
      </c>
      <c r="H1421" s="3" t="str">
        <f>IFERROR(__xludf.DUMMYFUNCTION("""COMPUTED_VALUE"""),"AN #26")</f>
        <v>AN #26</v>
      </c>
      <c r="I1421" t="str">
        <f>IFERROR(__xludf.DUMMYFUNCTION("""COMPUTED_VALUE"""),"Rohin")</f>
        <v>Rohin</v>
      </c>
      <c r="J1421" t="str">
        <f>IFERROR(__xludf.DUMMYFUNCTION("""COMPUTED_VALUE"""),"The AAAS Science &amp; Technology Fellowship is open to Americans with a science PhD or 3 years of industry experience and a CS Masters. 80,000 Hours thinks this is one of the best ways into US Government AI policy careers. Application deadline is Nov 1.")</f>
        <v>The AAAS Science &amp; Technology Fellowship is open to Americans with a science PhD or 3 years of industry experience and a CS Masters. 80,000 Hours thinks this is one of the best ways into US Government AI policy careers. Application deadline is Nov 1.</v>
      </c>
    </row>
    <row r="1422">
      <c r="A1422" t="str">
        <f>IFERROR(__xludf.DUMMYFUNCTION("""COMPUTED_VALUE"""),"News")</f>
        <v>News</v>
      </c>
      <c r="B1422" t="str">
        <f>IFERROR(__xludf.DUMMYFUNCTION("""COMPUTED_VALUE"""),"")</f>
        <v/>
      </c>
      <c r="C1422" s="3" t="str">
        <f>IFERROR(__xludf.DUMMYFUNCTION("""COMPUTED_VALUE"""),"$500 bounty for alignment contest ideas")</f>
        <v>$500 bounty for alignment contest ideas</v>
      </c>
      <c r="D1422" t="str">
        <f>IFERROR(__xludf.DUMMYFUNCTION("""COMPUTED_VALUE"""),"Akash")</f>
        <v>Akash</v>
      </c>
      <c r="E1422" t="str">
        <f>IFERROR(__xludf.DUMMYFUNCTION("""COMPUTED_VALUE"""),"LessWrong")</f>
        <v>LessWrong</v>
      </c>
      <c r="F1422">
        <f>IFERROR(__xludf.DUMMYFUNCTION("""COMPUTED_VALUE"""),2022.0)</f>
        <v>2022</v>
      </c>
      <c r="H1422" s="3" t="str">
        <f>IFERROR(__xludf.DUMMYFUNCTION("""COMPUTED_VALUE"""),"AN #172")</f>
        <v>AN #172</v>
      </c>
      <c r="I1422" t="str">
        <f>IFERROR(__xludf.DUMMYFUNCTION("""COMPUTED_VALUE"""),"Rohin")</f>
        <v>Rohin</v>
      </c>
      <c r="J1422" t="str">
        <f>IFERROR(__xludf.DUMMYFUNCTION("""COMPUTED_VALUE"""),"The authors are offering a $500 bounty for producing a frame of the alignment problem that is accessible to smart high schoolers/college students and people without ML backgrounds. (See the post for details; this summary doesn't capture everything well.)")</f>
        <v>The authors are offering a $500 bounty for producing a frame of the alignment problem that is accessible to smart high schoolers/college students and people without ML backgrounds. (See the post for details; this summary doesn't capture everything well.)</v>
      </c>
    </row>
    <row r="1423">
      <c r="A1423" t="str">
        <f>IFERROR(__xludf.DUMMYFUNCTION("""COMPUTED_VALUE"""),"News")</f>
        <v>News</v>
      </c>
      <c r="B1423" t="str">
        <f>IFERROR(__xludf.DUMMYFUNCTION("""COMPUTED_VALUE"""),"")</f>
        <v/>
      </c>
      <c r="C1423" s="3" t="str">
        <f>IFERROR(__xludf.DUMMYFUNCTION("""COMPUTED_VALUE"""),"Job ads: Encultured AI")</f>
        <v>Job ads: Encultured AI</v>
      </c>
      <c r="E1423" t="str">
        <f>IFERROR(__xludf.DUMMYFUNCTION("""COMPUTED_VALUE"""),"Encultured Website")</f>
        <v>Encultured Website</v>
      </c>
      <c r="F1423">
        <f>IFERROR(__xludf.DUMMYFUNCTION("""COMPUTED_VALUE"""),2022.0)</f>
        <v>2022</v>
      </c>
      <c r="H1423" s="3" t="str">
        <f>IFERROR(__xludf.DUMMYFUNCTION("""COMPUTED_VALUE"""),"AN #172")</f>
        <v>AN #172</v>
      </c>
      <c r="I1423" t="str">
        <f>IFERROR(__xludf.DUMMYFUNCTION("""COMPUTED_VALUE"""),"Rohin")</f>
        <v>Rohin</v>
      </c>
      <c r="J1423" t="str">
        <f>IFERROR(__xludf.DUMMYFUNCTION("""COMPUTED_VALUE"""),"Encultured AI is a new for-profit company with a public benefit mission: to develop technologies promoting the long-term survival and flourishing of humanity and other sentient life. They are hiring for a Machine Learning Engineer and an Immersive Interfa"&amp;"ce Engineer role.")</f>
        <v>Encultured AI is a new for-profit company with a public benefit mission: to develop technologies promoting the long-term survival and flourishing of humanity and other sentient life. They are hiring for a Machine Learning Engineer and an Immersive Interface Engineer role.</v>
      </c>
    </row>
    <row r="1424">
      <c r="A1424" t="str">
        <f>IFERROR(__xludf.DUMMYFUNCTION("""COMPUTED_VALUE"""),"News")</f>
        <v>News</v>
      </c>
      <c r="B1424" t="str">
        <f>IFERROR(__xludf.DUMMYFUNCTION("""COMPUTED_VALUE"""),"")</f>
        <v/>
      </c>
      <c r="C1424" s="3" t="str">
        <f>IFERROR(__xludf.DUMMYFUNCTION("""COMPUTED_VALUE"""),"Job ads: Fathom Radiant")</f>
        <v>Job ads: Fathom Radiant</v>
      </c>
      <c r="E1424" t="str">
        <f>IFERROR(__xludf.DUMMYFUNCTION("""COMPUTED_VALUE"""),"Fathom Radiant Website")</f>
        <v>Fathom Radiant Website</v>
      </c>
      <c r="F1424">
        <f>IFERROR(__xludf.DUMMYFUNCTION("""COMPUTED_VALUE"""),2022.0)</f>
        <v>2022</v>
      </c>
      <c r="H1424" s="3" t="str">
        <f>IFERROR(__xludf.DUMMYFUNCTION("""COMPUTED_VALUE"""),"AN #172")</f>
        <v>AN #172</v>
      </c>
      <c r="I1424" t="str">
        <f>IFERROR(__xludf.DUMMYFUNCTION("""COMPUTED_VALUE"""),"Rohin")</f>
        <v>Rohin</v>
      </c>
      <c r="J1424" t="str">
        <f>IFERROR(__xludf.DUMMYFUNCTION("""COMPUTED_VALUE"""),"Fathom Radiant is a public benefit corporation that aims to build a new type of computer which they hope to use to support AI alignment efforts. They have several open roles, including (but not limited to) [Scientists / Engineers, Builders](https://jobs.l"&amp;"ever.co/fathomradiant/2ce600fa-720d-4d23-afe1-c302cb35cdaa) and [Software Engineer, Lab](https://jobs.lever.co/fathomradiant/d7a4cdd3-92ba-436e-823e-53df14a903f6).")</f>
        <v>Fathom Radiant is a public benefit corporation that aims to build a new type of computer which they hope to use to support AI alignment efforts. They have several open roles, including (but not limited to) [Scientists / Engineers, Builders](https://jobs.lever.co/fathomradiant/2ce600fa-720d-4d23-afe1-c302cb35cdaa) and [Software Engineer, Lab](https://jobs.lever.co/fathomradiant/d7a4cdd3-92ba-436e-823e-53df14a903f6).</v>
      </c>
    </row>
    <row r="1425">
      <c r="A1425" t="str">
        <f>IFERROR(__xludf.DUMMYFUNCTION("""COMPUTED_VALUE"""),"News")</f>
        <v>News</v>
      </c>
      <c r="B1425" t="str">
        <f>IFERROR(__xludf.DUMMYFUNCTION("""COMPUTED_VALUE"""),"")</f>
        <v/>
      </c>
      <c r="C1425" s="3" t="str">
        <f>IFERROR(__xludf.DUMMYFUNCTION("""COMPUTED_VALUE"""),"Action: Help expand funding for AI Safety by coordinating on NSF response")</f>
        <v>Action: Help expand funding for AI Safety by coordinating on NSF response</v>
      </c>
      <c r="D1425" t="str">
        <f>IFERROR(__xludf.DUMMYFUNCTION("""COMPUTED_VALUE"""),"Evan R. Murphy")</f>
        <v>Evan R. Murphy</v>
      </c>
      <c r="E1425" t="str">
        <f>IFERROR(__xludf.DUMMYFUNCTION("""COMPUTED_VALUE"""),"LessWrong")</f>
        <v>LessWrong</v>
      </c>
      <c r="F1425">
        <f>IFERROR(__xludf.DUMMYFUNCTION("""COMPUTED_VALUE"""),2022.0)</f>
        <v>2022</v>
      </c>
      <c r="H1425" s="3" t="str">
        <f>IFERROR(__xludf.DUMMYFUNCTION("""COMPUTED_VALUE"""),"AN #171")</f>
        <v>AN #171</v>
      </c>
      <c r="I1425" t="str">
        <f>IFERROR(__xludf.DUMMYFUNCTION("""COMPUTED_VALUE"""),"Rohin")</f>
        <v>Rohin</v>
      </c>
      <c r="J1425" t="str">
        <f>IFERROR(__xludf.DUMMYFUNCTION("""COMPUTED_VALUE"""),"The National Science Foundation (NSF) has put out a Request for Information relating to topics they will be funding in 2023 as part of their NSF Convergence Accelerator program. The author and others are coordinating responses to increase funding to AI sa"&amp;"fety, and ask that you fill out this [short form](https://airtable.com/shrk0bAxm0EeJbyPC) if you are willing to help out with a few small, simple actions.")</f>
        <v>The National Science Foundation (NSF) has put out a Request for Information relating to topics they will be funding in 2023 as part of their NSF Convergence Accelerator program. The author and others are coordinating responses to increase funding to AI safety, and ask that you fill out this [short form](https://airtable.com/shrk0bAxm0EeJbyPC) if you are willing to help out with a few small, simple actions.</v>
      </c>
    </row>
    <row r="1426">
      <c r="A1426" t="str">
        <f>IFERROR(__xludf.DUMMYFUNCTION("""COMPUTED_VALUE"""),"News")</f>
        <v>News</v>
      </c>
      <c r="B1426" t="str">
        <f>IFERROR(__xludf.DUMMYFUNCTION("""COMPUTED_VALUE"""),"")</f>
        <v/>
      </c>
      <c r="C1426" s="3" t="str">
        <f>IFERROR(__xludf.DUMMYFUNCTION("""COMPUTED_VALUE"""),"BERI hiring ML Software Engineer")</f>
        <v>BERI hiring ML Software Engineer</v>
      </c>
      <c r="D1426" t="str">
        <f>IFERROR(__xludf.DUMMYFUNCTION("""COMPUTED_VALUE"""),"Sawyer Bernath")</f>
        <v>Sawyer Bernath</v>
      </c>
      <c r="E1426" t="str">
        <f>IFERROR(__xludf.DUMMYFUNCTION("""COMPUTED_VALUE"""),"BERI Website")</f>
        <v>BERI Website</v>
      </c>
      <c r="F1426">
        <f>IFERROR(__xludf.DUMMYFUNCTION("""COMPUTED_VALUE"""),2021.0)</f>
        <v>2021</v>
      </c>
      <c r="H1426" s="3" t="str">
        <f>IFERROR(__xludf.DUMMYFUNCTION("""COMPUTED_VALUE"""),"AN #169")</f>
        <v>AN #169</v>
      </c>
      <c r="I1426" t="str">
        <f>IFERROR(__xludf.DUMMYFUNCTION("""COMPUTED_VALUE"""),"Rohin")</f>
        <v>Rohin</v>
      </c>
      <c r="J1426" t="str">
        <f>IFERROR(__xludf.DUMMYFUNCTION("""COMPUTED_VALUE"""),"BERI is hiring a remote ML Engineer as part of their collaboration with the [Autonomous Learning Lab](https://all.cs.umass.edu/) at UMass Amherst. The goal is to create a software library that enables easy deployment of the ALL's Seldonian algorithm frame"&amp;"work for safe and aligned AI.")</f>
        <v>BERI is hiring a remote ML Engineer as part of their collaboration with the [Autonomous Learning Lab](https://all.cs.umass.edu/) at UMass Amherst. The goal is to create a software library that enables easy deployment of the ALL's Seldonian algorithm framework for safe and aligned AI.</v>
      </c>
    </row>
    <row r="1427">
      <c r="A1427" t="str">
        <f>IFERROR(__xludf.DUMMYFUNCTION("""COMPUTED_VALUE"""),"News")</f>
        <v>News</v>
      </c>
      <c r="B1427" t="str">
        <f>IFERROR(__xludf.DUMMYFUNCTION("""COMPUTED_VALUE"""),"")</f>
        <v/>
      </c>
      <c r="C1427" s="3" t="str">
        <f>IFERROR(__xludf.DUMMYFUNCTION("""COMPUTED_VALUE"""),"Political Economy of Reinforcement Learning schedule")</f>
        <v>Political Economy of Reinforcement Learning schedule</v>
      </c>
      <c r="E1427" t="str">
        <f>IFERROR(__xludf.DUMMYFUNCTION("""COMPUTED_VALUE"""),"PERLS Website")</f>
        <v>PERLS Website</v>
      </c>
      <c r="F1427">
        <f>IFERROR(__xludf.DUMMYFUNCTION("""COMPUTED_VALUE"""),2021.0)</f>
        <v>2021</v>
      </c>
      <c r="H1427" s="3" t="str">
        <f>IFERROR(__xludf.DUMMYFUNCTION("""COMPUTED_VALUE"""),"AN #169")</f>
        <v>AN #169</v>
      </c>
      <c r="I1427" t="str">
        <f>IFERROR(__xludf.DUMMYFUNCTION("""COMPUTED_VALUE"""),"Rohin")</f>
        <v>Rohin</v>
      </c>
      <c r="J1427" t="str">
        <f>IFERROR(__xludf.DUMMYFUNCTION("""COMPUTED_VALUE"""),"The date for the &lt;@PERLS workshop@&gt;(@Political Economy of Reinforcement Learning (PERLS) Workshop@) at NeurIPS has been set for December 14, and the schedule and speaker list are now available on the website.")</f>
        <v>The date for the &lt;@PERLS workshop@&gt;(@Political Economy of Reinforcement Learning (PERLS) Workshop@) at NeurIPS has been set for December 14, and the schedule and speaker list are now available on the website.</v>
      </c>
    </row>
    <row r="1428">
      <c r="A1428" t="str">
        <f>IFERROR(__xludf.DUMMYFUNCTION("""COMPUTED_VALUE"""),"News")</f>
        <v>News</v>
      </c>
      <c r="B1428" t="str">
        <f>IFERROR(__xludf.DUMMYFUNCTION("""COMPUTED_VALUE"""),"")</f>
        <v/>
      </c>
      <c r="C1428" s="3" t="str">
        <f>IFERROR(__xludf.DUMMYFUNCTION("""COMPUTED_VALUE"""),"Seeking social science students / collaborators interested in AI existential risks")</f>
        <v>Seeking social science students / collaborators interested in AI existential risks</v>
      </c>
      <c r="D1428" t="str">
        <f>IFERROR(__xludf.DUMMYFUNCTION("""COMPUTED_VALUE"""),"Vael Gates")</f>
        <v>Vael Gates</v>
      </c>
      <c r="E1428" t="str">
        <f>IFERROR(__xludf.DUMMYFUNCTION("""COMPUTED_VALUE"""),"EA Forum")</f>
        <v>EA Forum</v>
      </c>
      <c r="F1428">
        <f>IFERROR(__xludf.DUMMYFUNCTION("""COMPUTED_VALUE"""),2021.0)</f>
        <v>2021</v>
      </c>
      <c r="H1428" s="3" t="str">
        <f>IFERROR(__xludf.DUMMYFUNCTION("""COMPUTED_VALUE"""),"AN #166")</f>
        <v>AN #166</v>
      </c>
      <c r="I1428" t="str">
        <f>IFERROR(__xludf.DUMMYFUNCTION("""COMPUTED_VALUE"""),"Rohin")</f>
        <v>Rohin</v>
      </c>
      <c r="J1428" t="str">
        <f>IFERROR(__xludf.DUMMYFUNCTION("""COMPUTED_VALUE"""),"This post presents a list of research questions around existential risk from AI that can be tackled by social scientists. The author is looking for collaborators to expand the list and tackle some of the questions on it, and is aiming to provide some ment"&amp;"orship for people getting involved.")</f>
        <v>This post presents a list of research questions around existential risk from AI that can be tackled by social scientists. The author is looking for collaborators to expand the list and tackle some of the questions on it, and is aiming to provide some mentorship for people getting involved.</v>
      </c>
    </row>
    <row r="1429">
      <c r="A1429" t="str">
        <f>IFERROR(__xludf.DUMMYFUNCTION("""COMPUTED_VALUE"""),"News")</f>
        <v>News</v>
      </c>
      <c r="B1429" t="str">
        <f>IFERROR(__xludf.DUMMYFUNCTION("""COMPUTED_VALUE"""),"")</f>
        <v/>
      </c>
      <c r="C1429" s="3" t="str">
        <f>IFERROR(__xludf.DUMMYFUNCTION("""COMPUTED_VALUE"""),"Survey: classifying AI systems used in response to the COVID-19 pandemic")</f>
        <v>Survey: classifying AI systems used in response to the COVID-19 pandemic</v>
      </c>
      <c r="D1429" t="str">
        <f>IFERROR(__xludf.DUMMYFUNCTION("""COMPUTED_VALUE"""),"Samuel Curtis, Adriana Bora, Nicolas Miailhe, Rui Wang")</f>
        <v>Samuel Curtis, Adriana Bora, Nicolas Miailhe, Rui Wang</v>
      </c>
      <c r="E1429" t="str">
        <f>IFERROR(__xludf.DUMMYFUNCTION("""COMPUTED_VALUE"""),"OECD AI Website")</f>
        <v>OECD AI Website</v>
      </c>
      <c r="F1429">
        <f>IFERROR(__xludf.DUMMYFUNCTION("""COMPUTED_VALUE"""),2021.0)</f>
        <v>2021</v>
      </c>
      <c r="H1429" s="3" t="str">
        <f>IFERROR(__xludf.DUMMYFUNCTION("""COMPUTED_VALUE"""),"AN #158")</f>
        <v>AN #158</v>
      </c>
      <c r="I1429" t="str">
        <f>IFERROR(__xludf.DUMMYFUNCTION("""COMPUTED_VALUE"""),"Rohin")</f>
        <v>Rohin</v>
      </c>
      <c r="J1429" t="str">
        <f>IFERROR(__xludf.DUMMYFUNCTION("""COMPUTED_VALUE"""),"A team at The Future Society aims to build a living database of AI systems used to respond to COVID, classified using the [OECD framework](https://www.oecd.ai/classification). I think this is an interesting example of building capacity for effective AI go"&amp;"vernance. If you were involved in developing an AI system used in the COVID response, they ask that you take [this survey](https://survey.oecd.org/index.php?r=survey/index&amp;sid=145657&amp;lang=en) by August 2nd.")</f>
        <v>A team at The Future Society aims to build a living database of AI systems used to respond to COVID, classified using the [OECD framework](https://www.oecd.ai/classification). I think this is an interesting example of building capacity for effective AI governance. If you were involved in developing an AI system used in the COVID response, they ask that you take [this survey](https://survey.oecd.org/index.php?r=survey/index&amp;sid=145657&amp;lang=en) by August 2nd.</v>
      </c>
    </row>
    <row r="1430">
      <c r="A1430" t="str">
        <f>IFERROR(__xludf.DUMMYFUNCTION("""COMPUTED_VALUE"""),"News")</f>
        <v>News</v>
      </c>
      <c r="B1430" t="str">
        <f>IFERROR(__xludf.DUMMYFUNCTION("""COMPUTED_VALUE"""),"")</f>
        <v/>
      </c>
      <c r="C1430" s="3" t="str">
        <f>IFERROR(__xludf.DUMMYFUNCTION("""COMPUTED_VALUE"""),"AI Safety Career Bottlenecks Survey")</f>
        <v>AI Safety Career Bottlenecks Survey</v>
      </c>
      <c r="D1430" t="str">
        <f>IFERROR(__xludf.DUMMYFUNCTION("""COMPUTED_VALUE"""),"AI Safety Support")</f>
        <v>AI Safety Support</v>
      </c>
      <c r="E1430" t="str">
        <f>IFERROR(__xludf.DUMMYFUNCTION("""COMPUTED_VALUE"""),"AISS Website")</f>
        <v>AISS Website</v>
      </c>
      <c r="F1430">
        <f>IFERROR(__xludf.DUMMYFUNCTION("""COMPUTED_VALUE"""),2021.0)</f>
        <v>2021</v>
      </c>
      <c r="H1430" s="3" t="str">
        <f>IFERROR(__xludf.DUMMYFUNCTION("""COMPUTED_VALUE"""),"AN #136")</f>
        <v>AN #136</v>
      </c>
      <c r="I1430" t="str">
        <f>IFERROR(__xludf.DUMMYFUNCTION("""COMPUTED_VALUE"""),"Rohin")</f>
        <v>Rohin</v>
      </c>
      <c r="J1430" t="str">
        <f>IFERROR(__xludf.DUMMYFUNCTION("""COMPUTED_VALUE"""),"[AI Safety Support](https://www.aisafetysupport.org/home) have released a career bottlenecks survey that they will use to guide their work. You can take the survey [here](https://www.guidedtrack.com/programs/n8cydtu/run).")</f>
        <v>[AI Safety Support](https://www.aisafetysupport.org/home) have released a career bottlenecks survey that they will use to guide their work. You can take the survey [here](https://www.guidedtrack.com/programs/n8cydtu/run).</v>
      </c>
    </row>
    <row r="1431">
      <c r="A1431" t="str">
        <f>IFERROR(__xludf.DUMMYFUNCTION("""COMPUTED_VALUE"""),"News")</f>
        <v>News</v>
      </c>
      <c r="B1431" t="str">
        <f>IFERROR(__xludf.DUMMYFUNCTION("""COMPUTED_VALUE"""),"")</f>
        <v/>
      </c>
      <c r="C1431" s="3" t="str">
        <f>IFERROR(__xludf.DUMMYFUNCTION("""COMPUTED_VALUE"""),"Formal Methods for the Informal Engineer")</f>
        <v>Formal Methods for the Informal Engineer</v>
      </c>
      <c r="D1431" t="str">
        <f>IFERROR(__xludf.DUMMYFUNCTION("""COMPUTED_VALUE"""),"Gopal Sarma, Jimmy Koppel, Ramana Kumar, Eric Drexler, Patrick Schultz, Gregory Malecha")</f>
        <v>Gopal Sarma, Jimmy Koppel, Ramana Kumar, Eric Drexler, Patrick Schultz, Gregory Malecha</v>
      </c>
      <c r="E1431" t="str">
        <f>IFERROR(__xludf.DUMMYFUNCTION("""COMPUTED_VALUE"""),"FMIE Website")</f>
        <v>FMIE Website</v>
      </c>
      <c r="F1431">
        <f>IFERROR(__xludf.DUMMYFUNCTION("""COMPUTED_VALUE"""),2020.0)</f>
        <v>2020</v>
      </c>
      <c r="H1431" s="3" t="str">
        <f>IFERROR(__xludf.DUMMYFUNCTION("""COMPUTED_VALUE"""),"AN #130")</f>
        <v>AN #130</v>
      </c>
      <c r="I1431" t="str">
        <f>IFERROR(__xludf.DUMMYFUNCTION("""COMPUTED_VALUE"""),"Rohin")</f>
        <v>Rohin</v>
      </c>
      <c r="J1431" t="str">
        <f>IFERROR(__xludf.DUMMYFUNCTION("""COMPUTED_VALUE"""),"This online workshop will teach engineers how to use verification tools like Z3 and Coq, and then discuss how formal verification can be applied in many different areas of software engineering (including robust machine learning). The organizers tell me th"&amp;"ey plan to produce a white-paper with high-level recommendations following the workshop. You can register [here](https://docs.google.com/forms/d/e/1FAIpQLSf2SVrwHFz-5oDj3LT9ks5moUjF6VFzNrUfnTGYshDw2XYnfg/viewform).")</f>
        <v>This online workshop will teach engineers how to use verification tools like Z3 and Coq, and then discuss how formal verification can be applied in many different areas of software engineering (including robust machine learning). The organizers tell me they plan to produce a white-paper with high-level recommendations following the workshop. You can register [here](https://docs.google.com/forms/d/e/1FAIpQLSf2SVrwHFz-5oDj3LT9ks5moUjF6VFzNrUfnTGYshDw2XYnfg/viewform).</v>
      </c>
    </row>
    <row r="1432">
      <c r="A1432" t="str">
        <f>IFERROR(__xludf.DUMMYFUNCTION("""COMPUTED_VALUE"""),"News")</f>
        <v>News</v>
      </c>
      <c r="B1432" t="str">
        <f>IFERROR(__xludf.DUMMYFUNCTION("""COMPUTED_VALUE"""),"")</f>
        <v/>
      </c>
      <c r="C1432" s="3" t="str">
        <f>IFERROR(__xludf.DUMMYFUNCTION("""COMPUTED_VALUE"""),"S-Risk Intro Seminar")</f>
        <v>S-Risk Intro Seminar</v>
      </c>
      <c r="D1432" t="str">
        <f>IFERROR(__xludf.DUMMYFUNCTION("""COMPUTED_VALUE"""),"Stefan Torges")</f>
        <v>Stefan Torges</v>
      </c>
      <c r="E1432" t="str">
        <f>IFERROR(__xludf.DUMMYFUNCTION("""COMPUTED_VALUE"""),"CLR Website")</f>
        <v>CLR Website</v>
      </c>
      <c r="F1432">
        <f>IFERROR(__xludf.DUMMYFUNCTION("""COMPUTED_VALUE"""),2020.0)</f>
        <v>2020</v>
      </c>
      <c r="H1432" s="3" t="str">
        <f>IFERROR(__xludf.DUMMYFUNCTION("""COMPUTED_VALUE"""),"AN #129")</f>
        <v>AN #129</v>
      </c>
      <c r="I1432" t="str">
        <f>IFERROR(__xludf.DUMMYFUNCTION("""COMPUTED_VALUE"""),"Rohin")</f>
        <v>Rohin</v>
      </c>
      <c r="J1432" t="str">
        <f>IFERROR(__xludf.DUMMYFUNCTION("""COMPUTED_VALUE"""),"The first intro seminar to s-risks will take place on the weekend of February 20 &amp; 21, 2021. It is targeted at people who are at least seriously thinking about addressing s-risks as part of their career, and who have not yet spent a lot of time interactin"&amp;"g with the Center on Long-Term Risk.")</f>
        <v>The first intro seminar to s-risks will take place on the weekend of February 20 &amp; 21, 2021. It is targeted at people who are at least seriously thinking about addressing s-risks as part of their career, and who have not yet spent a lot of time interacting with the Center on Long-Term Risk.</v>
      </c>
    </row>
    <row r="1433">
      <c r="A1433" t="str">
        <f>IFERROR(__xludf.DUMMYFUNCTION("""COMPUTED_VALUE"""),"News")</f>
        <v>News</v>
      </c>
      <c r="B1433" t="str">
        <f>IFERROR(__xludf.DUMMYFUNCTION("""COMPUTED_VALUE"""),"")</f>
        <v/>
      </c>
      <c r="C1433" s="3" t="str">
        <f>IFERROR(__xludf.DUMMYFUNCTION("""COMPUTED_VALUE"""),"Researcher / Writer job")</f>
        <v>Researcher / Writer job</v>
      </c>
      <c r="E1433" t="str">
        <f>IFERROR(__xludf.DUMMYFUNCTION("""COMPUTED_VALUE"""),"Convergence Website")</f>
        <v>Convergence Website</v>
      </c>
      <c r="F1433">
        <f>IFERROR(__xludf.DUMMYFUNCTION("""COMPUTED_VALUE"""),2019.0)</f>
        <v>2019</v>
      </c>
      <c r="H1433" s="3" t="str">
        <f>IFERROR(__xludf.DUMMYFUNCTION("""COMPUTED_VALUE"""),"AN #73")</f>
        <v>AN #73</v>
      </c>
      <c r="I1433" t="str">
        <f>IFERROR(__xludf.DUMMYFUNCTION("""COMPUTED_VALUE"""),"Rohin")</f>
        <v>Rohin</v>
      </c>
      <c r="J1433" t="str">
        <f>IFERROR(__xludf.DUMMYFUNCTION("""COMPUTED_VALUE"""),"This full-time researcher / writer position would involve half the time working with [Convergence](https://www.convergenceanalysis.org/) on x-risk strategy research and the other half with [Normative](https://normative.io/) on environmental and climate ch"&amp;"ange analysis documents.")</f>
        <v>This full-time researcher / writer position would involve half the time working with [Convergence](https://www.convergenceanalysis.org/) on x-risk strategy research and the other half with [Normative](https://normative.io/) on environmental and climate change analysis documents.</v>
      </c>
    </row>
    <row r="1434">
      <c r="A1434" t="str">
        <f>IFERROR(__xludf.DUMMYFUNCTION("""COMPUTED_VALUE"""),"News")</f>
        <v>News</v>
      </c>
      <c r="B1434" t="str">
        <f>IFERROR(__xludf.DUMMYFUNCTION("""COMPUTED_VALUE"""),"")</f>
        <v/>
      </c>
      <c r="C1434" s="3" t="str">
        <f>IFERROR(__xludf.DUMMYFUNCTION("""COMPUTED_VALUE"""),"Self-driving cars are here")</f>
        <v>Self-driving cars are here</v>
      </c>
      <c r="D1434" t="str">
        <f>IFERROR(__xludf.DUMMYFUNCTION("""COMPUTED_VALUE"""),"Andrew Ng")</f>
        <v>Andrew Ng</v>
      </c>
      <c r="E1434" t="str">
        <f>IFERROR(__xludf.DUMMYFUNCTION("""COMPUTED_VALUE"""),"Medium")</f>
        <v>Medium</v>
      </c>
      <c r="F1434">
        <f>IFERROR(__xludf.DUMMYFUNCTION("""COMPUTED_VALUE"""),2018.0)</f>
        <v>2018</v>
      </c>
      <c r="H1434" s="3" t="str">
        <f>IFERROR(__xludf.DUMMYFUNCTION("""COMPUTED_VALUE"""),"AN #6")</f>
        <v>AN #6</v>
      </c>
      <c r="I1434" t="str">
        <f>IFERROR(__xludf.DUMMYFUNCTION("""COMPUTED_VALUE"""),"Rohin")</f>
        <v>Rohin</v>
      </c>
      <c r="J1434" t="str">
        <f>IFERROR(__xludf.DUMMYFUNCTION("""COMPUTED_VALUE"""),"Drive.ai will offer a self-driving car service for public use in Frisco, Texas starting in July, 2018. The post goes into details of how the cars will be rolled out, and some plans for how to make them easier for humans to interact with.")</f>
        <v>Drive.ai will offer a self-driving car service for public use in Frisco, Texas starting in July, 2018. The post goes into details of how the cars will be rolled out, and some plans for how to make them easier for humans to interact with.</v>
      </c>
    </row>
    <row r="1435">
      <c r="A1435" t="str">
        <f>IFERROR(__xludf.DUMMYFUNCTION("""COMPUTED_VALUE"""),"News")</f>
        <v>News</v>
      </c>
      <c r="B1435" t="str">
        <f>IFERROR(__xludf.DUMMYFUNCTION("""COMPUTED_VALUE"""),"")</f>
        <v/>
      </c>
      <c r="C1435" s="3" t="str">
        <f>IFERROR(__xludf.DUMMYFUNCTION("""COMPUTED_VALUE"""),"Learning-by-doing AI Safety workshop")</f>
        <v>Learning-by-doing AI Safety workshop</v>
      </c>
      <c r="D1435" t="str">
        <f>IFERROR(__xludf.DUMMYFUNCTION("""COMPUTED_VALUE"""),"Linda Linsefors")</f>
        <v>Linda Linsefors</v>
      </c>
      <c r="E1435" t="str">
        <f>IFERROR(__xludf.DUMMYFUNCTION("""COMPUTED_VALUE"""),"LessWrong")</f>
        <v>LessWrong</v>
      </c>
      <c r="H1435" s="3" t="str">
        <f>IFERROR(__xludf.DUMMYFUNCTION("""COMPUTED_VALUE"""),"AN #57")</f>
        <v>AN #57</v>
      </c>
    </row>
    <row r="1436">
      <c r="A1436" t="str">
        <f>IFERROR(__xludf.DUMMYFUNCTION("""COMPUTED_VALUE"""),"News")</f>
        <v>News</v>
      </c>
      <c r="B1436" t="str">
        <f>IFERROR(__xludf.DUMMYFUNCTION("""COMPUTED_VALUE"""),"")</f>
        <v/>
      </c>
      <c r="C1436" s="3" t="str">
        <f>IFERROR(__xludf.DUMMYFUNCTION("""COMPUTED_VALUE"""),"Facebook Open Sources ELF OpenGo")</f>
        <v>Facebook Open Sources ELF OpenGo</v>
      </c>
      <c r="D1436" t="str">
        <f>IFERROR(__xludf.DUMMYFUNCTION("""COMPUTED_VALUE"""),"Yuandong Tian and Larry Zitnick")</f>
        <v>Yuandong Tian and Larry Zitnick</v>
      </c>
      <c r="E1436" t="str">
        <f>IFERROR(__xludf.DUMMYFUNCTION("""COMPUTED_VALUE"""),"Facebook Research")</f>
        <v>Facebook Research</v>
      </c>
      <c r="F1436">
        <f>IFERROR(__xludf.DUMMYFUNCTION("""COMPUTED_VALUE"""),2018.0)</f>
        <v>2018</v>
      </c>
      <c r="H1436" s="3" t="str">
        <f>IFERROR(__xludf.DUMMYFUNCTION("""COMPUTED_VALUE"""),"AN #5")</f>
        <v>AN #5</v>
      </c>
      <c r="I1436" t="str">
        <f>IFERROR(__xludf.DUMMYFUNCTION("""COMPUTED_VALUE"""),"Rohin")</f>
        <v>Rohin</v>
      </c>
      <c r="J1436" t="str">
        <f>IFERROR(__xludf.DUMMYFUNCTION("""COMPUTED_VALUE"""),"Facebook has created an open-source AI bot that has beaten world champion professional Go players in matches where the professional player was allowed unlimited time to think.")</f>
        <v>Facebook has created an open-source AI bot that has beaten world champion professional Go players in matches where the professional player was allowed unlimited time to think.</v>
      </c>
    </row>
    <row r="1437">
      <c r="A1437" t="str">
        <f>IFERROR(__xludf.DUMMYFUNCTION("""COMPUTED_VALUE"""),"News")</f>
        <v>News</v>
      </c>
      <c r="B1437" t="str">
        <f>IFERROR(__xludf.DUMMYFUNCTION("""COMPUTED_VALUE"""),"")</f>
        <v/>
      </c>
      <c r="C1437" t="str">
        <f>IFERROR(__xludf.DUMMYFUNCTION("""COMPUTED_VALUE"""),"RAISE [releases prereq modules](https://www.lesswrong.com/posts/vi48CMtZL8ZkRpuad/soon-a-weekly-ai-safety-prerequisites-module-on-lesswrong) and [is looking for high level feedback](https://www.lesswrong.com/posts/z5SJBmTpqG6rexTgH/looking-for-ai-safety-e"&amp;"xperts-to-provide-high-level-guidance)")</f>
        <v>RAISE [releases prereq modules](https://www.lesswrong.com/posts/vi48CMtZL8ZkRpuad/soon-a-weekly-ai-safety-prerequisites-module-on-lesswrong) and [is looking for high level feedback](https://www.lesswrong.com/posts/z5SJBmTpqG6rexTgH/looking-for-ai-safety-experts-to-provide-high-level-guidance)</v>
      </c>
      <c r="E1437" t="str">
        <f>IFERROR(__xludf.DUMMYFUNCTION("""COMPUTED_VALUE"""),"LessWrong")</f>
        <v>LessWrong</v>
      </c>
      <c r="F1437">
        <f>IFERROR(__xludf.DUMMYFUNCTION("""COMPUTED_VALUE"""),2018.0)</f>
        <v>2018</v>
      </c>
      <c r="H1437" s="3" t="str">
        <f>IFERROR(__xludf.DUMMYFUNCTION("""COMPUTED_VALUE"""),"AN #5")</f>
        <v>AN #5</v>
      </c>
      <c r="I1437" t="str">
        <f>IFERROR(__xludf.DUMMYFUNCTION("""COMPUTED_VALUE"""),"Rohin")</f>
        <v>Rohin</v>
      </c>
      <c r="J1437" t="str">
        <f>IFERROR(__xludf.DUMMYFUNCTION("""COMPUTED_VALUE"""),"RAISE in collaboration with Erik Istre and Trent Fowler are developing a curriculum for prereqs to AI safety (topics like logic and probability). The first topic (logic) is available [here](https://play.ihatestatistics.com/#/course/141?access_token=3HCK4o"&amp;"RipeFY2ghyYMqDJKYX57KUnzNL). Also, they are [looking](https://www.lesswrong.com/posts/z5SJBmTpqG6rexTgH/looking-for-ai-safety-experts-to-provide-high-level-guidance) for AI safety experts to provide high-level feedback and guidance on the course structure"&amp;" for the MOOC they are building.")</f>
        <v>RAISE in collaboration with Erik Istre and Trent Fowler are developing a curriculum for prereqs to AI safety (topics like logic and probability). The first topic (logic) is available [here](https://play.ihatestatistics.com/#/course/141?access_token=3HCK4oRipeFY2ghyYMqDJKYX57KUnzNL). Also, they are [looking](https://www.lesswrong.com/posts/z5SJBmTpqG6rexTgH/looking-for-ai-safety-experts-to-provide-high-level-guidance) for AI safety experts to provide high-level feedback and guidance on the course structure for the MOOC they are building.</v>
      </c>
    </row>
    <row r="1438">
      <c r="A1438" t="str">
        <f>IFERROR(__xludf.DUMMYFUNCTION("""COMPUTED_VALUE"""),"News")</f>
        <v>News</v>
      </c>
      <c r="B1438" t="str">
        <f>IFERROR(__xludf.DUMMYFUNCTION("""COMPUTED_VALUE"""),"")</f>
        <v/>
      </c>
      <c r="C1438" s="3" t="str">
        <f>IFERROR(__xludf.DUMMYFUNCTION("""COMPUTED_VALUE"""),"Introducing Stanford's Human-Centered AI Initiative")</f>
        <v>Introducing Stanford's Human-Centered AI Initiative</v>
      </c>
      <c r="D1438" t="str">
        <f>IFERROR(__xludf.DUMMYFUNCTION("""COMPUTED_VALUE"""),"Fei-Fei Li and John Etchemendy")</f>
        <v>Fei-Fei Li and John Etchemendy</v>
      </c>
      <c r="E1438" t="str">
        <f>IFERROR(__xludf.DUMMYFUNCTION("""COMPUTED_VALUE"""),"HAI website")</f>
        <v>HAI website</v>
      </c>
      <c r="F1438">
        <f>IFERROR(__xludf.DUMMYFUNCTION("""COMPUTED_VALUE"""),2018.0)</f>
        <v>2018</v>
      </c>
      <c r="H1438" s="3" t="str">
        <f>IFERROR(__xludf.DUMMYFUNCTION("""COMPUTED_VALUE"""),"AN #29")</f>
        <v>AN #29</v>
      </c>
      <c r="I1438" t="str">
        <f>IFERROR(__xludf.DUMMYFUNCTION("""COMPUTED_VALUE"""),"Rohin")</f>
        <v>Rohin</v>
      </c>
      <c r="J1438" t="str">
        <f>IFERROR(__xludf.DUMMYFUNCTION("""COMPUTED_VALUE"""),"Stanford will house the Human-centered AI Initiative (HAI), which will take a multidisciplinary approach to understand how to develop and deploy AI so that it is robustly beneficial to humanity.")</f>
        <v>Stanford will house the Human-centered AI Initiative (HAI), which will take a multidisciplinary approach to understand how to develop and deploy AI so that it is robustly beneficial to humanity.</v>
      </c>
      <c r="K1438" t="str">
        <f>IFERROR(__xludf.DUMMYFUNCTION("""COMPUTED_VALUE"""),"It's always hard to tell from these announcements what exactly the initiative will do, but it seems to be focused on making sure that AI does not make humans obsolete. Instead, AI should allow us to focus more on the creative, emotional work that we are b"&amp;"etter at. Given this, it's probably not going to focus on AI alignment, unlike the similarly named Center for Human-Compatible AI (CHAI) at Berkeley. My main question for the author would be what she would do if we could develop AI systems that could repl"&amp;"ace all human labor (including creative and emotional work). Should we not develop such AI systems? Is it never going to happen?")</f>
        <v>It's always hard to tell from these announcements what exactly the initiative will do, but it seems to be focused on making sure that AI does not make humans obsolete. Instead, AI should allow us to focus more on the creative, emotional work that we are better at. Given this, it's probably not going to focus on AI alignment, unlike the similarly named Center for Human-Compatible AI (CHAI) at Berkeley. My main question for the author would be what she would do if we could develop AI systems that could replace all human labor (including creative and emotional work). Should we not develop such AI systems? Is it never going to happen?</v>
      </c>
      <c r="M1438" s="3" t="str">
        <f>IFERROR(__xludf.DUMMYFUNCTION("""COMPUTED_VALUE"""),"How to Make A.I. That’s Good for People")</f>
        <v>How to Make A.I. That’s Good for People</v>
      </c>
    </row>
    <row r="1439">
      <c r="A1439" t="str">
        <f>IFERROR(__xludf.DUMMYFUNCTION("""COMPUTED_VALUE"""),"News")</f>
        <v>News</v>
      </c>
      <c r="B1439" t="str">
        <f>IFERROR(__xludf.DUMMYFUNCTION("""COMPUTED_VALUE"""),"")</f>
        <v/>
      </c>
      <c r="C1439" s="3" t="str">
        <f>IFERROR(__xludf.DUMMYFUNCTION("""COMPUTED_VALUE"""),"Slides from Human-Level AI 2018")</f>
        <v>Slides from Human-Level AI 2018</v>
      </c>
      <c r="E1439" t="str">
        <f>IFERROR(__xludf.DUMMYFUNCTION("""COMPUTED_VALUE"""),"SlidesLive")</f>
        <v>SlidesLive</v>
      </c>
      <c r="F1439">
        <f>IFERROR(__xludf.DUMMYFUNCTION("""COMPUTED_VALUE"""),2018.0)</f>
        <v>2018</v>
      </c>
      <c r="H1439" s="3" t="str">
        <f>IFERROR(__xludf.DUMMYFUNCTION("""COMPUTED_VALUE"""),"AN #25")</f>
        <v>AN #25</v>
      </c>
    </row>
    <row r="1440">
      <c r="A1440" t="str">
        <f>IFERROR(__xludf.DUMMYFUNCTION("""COMPUTED_VALUE"""),"News")</f>
        <v>News</v>
      </c>
      <c r="B1440" t="str">
        <f>IFERROR(__xludf.DUMMYFUNCTION("""COMPUTED_VALUE"""),"")</f>
        <v/>
      </c>
      <c r="C1440" s="3" t="str">
        <f>IFERROR(__xludf.DUMMYFUNCTION("""COMPUTED_VALUE"""),"HLAI 2018 Field Report")</f>
        <v>HLAI 2018 Field Report</v>
      </c>
      <c r="D1440" t="str">
        <f>IFERROR(__xludf.DUMMYFUNCTION("""COMPUTED_VALUE"""),"G Gordon Worley III")</f>
        <v>G Gordon Worley III</v>
      </c>
      <c r="E1440" t="str">
        <f>IFERROR(__xludf.DUMMYFUNCTION("""COMPUTED_VALUE"""),"LessWrong")</f>
        <v>LessWrong</v>
      </c>
      <c r="F1440">
        <f>IFERROR(__xludf.DUMMYFUNCTION("""COMPUTED_VALUE"""),2018.0)</f>
        <v>2018</v>
      </c>
      <c r="H1440" s="3" t="str">
        <f>IFERROR(__xludf.DUMMYFUNCTION("""COMPUTED_VALUE"""),"AN #22")</f>
        <v>AN #22</v>
      </c>
      <c r="I1440" t="str">
        <f>IFERROR(__xludf.DUMMYFUNCTION("""COMPUTED_VALUE"""),"Rohin")</f>
        <v>Rohin</v>
      </c>
      <c r="J1440" t="str">
        <f>IFERROR(__xludf.DUMMYFUNCTION("""COMPUTED_VALUE"""),"A report on the human-level AI multiconference from the perspective of a safety researcher who attended. The reflections are more about the state of the field rather than about technical insights gained. For example, he got the impression that most resear"&amp;"chers working on AGI hadn't thought deeply about safety. Based on this, he has two recommendations -- first, that we normalize thinking about AI safety, and second, that we establish a ""sink"" for dangerous AI research.")</f>
        <v>A report on the human-level AI multiconference from the perspective of a safety researcher who attended. The reflections are more about the state of the field rather than about technical insights gained. For example, he got the impression that most researchers working on AGI hadn't thought deeply about safety. Based on this, he has two recommendations -- first, that we normalize thinking about AI safety, and second, that we establish a "sink" for dangerous AI research.</v>
      </c>
      <c r="K1440" t="str">
        <f>IFERROR(__xludf.DUMMYFUNCTION("""COMPUTED_VALUE"""),"I definitely agree that we need to normalize thinking about AI safety, and I think that's been happening. In fact, I think of that as one of the major benefits of writing this newsletter, even though I started it with AI safety researchers in mind (who st"&amp;"ill remain the audience I write for, if not the audience I actually have). I'm less convinced that we should have a process for dangerous AI research. What counts as dangerous? Certainly this makes sense for AI research that can be dangerous in the short "&amp;"term, such as research that has military or surveillance applications, but what would be dangerous from a long-term perspective? It shouldn't just be research that differentially benefits general AI over long-term safety, since that's almost all AI resear"&amp;"ch. And even though on the current margin I would want research to differentially advance safety, it feels wrong to call other research dangerous, especially given its enormous potential for good.")</f>
        <v>I definitely agree that we need to normalize thinking about AI safety, and I think that's been happening. In fact, I think of that as one of the major benefits of writing this newsletter, even though I started it with AI safety researchers in mind (who still remain the audience I write for, if not the audience I actually have). I'm less convinced that we should have a process for dangerous AI research. What counts as dangerous? Certainly this makes sense for AI research that can be dangerous in the short term, such as research that has military or surveillance applications, but what would be dangerous from a long-term perspective? It shouldn't just be research that differentially benefits general AI over long-term safety, since that's almost all AI research. And even though on the current margin I would want research to differentially advance safety, it feels wrong to call other research dangerous, especially given its enormous potential for good.</v>
      </c>
    </row>
    <row r="1441">
      <c r="A1441" t="str">
        <f>IFERROR(__xludf.DUMMYFUNCTION("""COMPUTED_VALUE"""),"News")</f>
        <v>News</v>
      </c>
      <c r="B1441" t="str">
        <f>IFERROR(__xludf.DUMMYFUNCTION("""COMPUTED_VALUE"""),"")</f>
        <v/>
      </c>
      <c r="C1441" s="3" t="str">
        <f>IFERROR(__xludf.DUMMYFUNCTION("""COMPUTED_VALUE"""),"Human-Aligned AI Summer School: A Summary")</f>
        <v>Human-Aligned AI Summer School: A Summary</v>
      </c>
      <c r="D1441" t="str">
        <f>IFERROR(__xludf.DUMMYFUNCTION("""COMPUTED_VALUE"""),"Michaël Trazzi")</f>
        <v>Michaël Trazzi</v>
      </c>
      <c r="E1441" t="str">
        <f>IFERROR(__xludf.DUMMYFUNCTION("""COMPUTED_VALUE"""),"LessWrong")</f>
        <v>LessWrong</v>
      </c>
      <c r="F1441">
        <f>IFERROR(__xludf.DUMMYFUNCTION("""COMPUTED_VALUE"""),2018.0)</f>
        <v>2018</v>
      </c>
      <c r="H1441" s="3" t="str">
        <f>IFERROR(__xludf.DUMMYFUNCTION("""COMPUTED_VALUE"""),"AN #19")</f>
        <v>AN #19</v>
      </c>
      <c r="I1441" t="str">
        <f>IFERROR(__xludf.DUMMYFUNCTION("""COMPUTED_VALUE"""),"Rohin")</f>
        <v>Rohin</v>
      </c>
      <c r="J1441" t="str">
        <f>IFERROR(__xludf.DUMMYFUNCTION("""COMPUTED_VALUE"""),"A summary of the talks at the summer school that just happened, from one of the attendees, that covers value learning, agent foundations, bounded rationality, and side effects. Most of the cited papers have been covered in this newsletter, with the notabl"&amp;"e exceptions of Bayesian IRL and information-theoretic bounded rationality.")</f>
        <v>A summary of the talks at the summer school that just happened, from one of the attendees, that covers value learning, agent foundations, bounded rationality, and side effects. Most of the cited papers have been covered in this newsletter, with the notable exceptions of Bayesian IRL and information-theoretic bounded rationality.</v>
      </c>
    </row>
    <row r="1442">
      <c r="A1442" t="str">
        <f>IFERROR(__xludf.DUMMYFUNCTION("""COMPUTED_VALUE"""),"News")</f>
        <v>News</v>
      </c>
      <c r="B1442" t="str">
        <f>IFERROR(__xludf.DUMMYFUNCTION("""COMPUTED_VALUE"""),"")</f>
        <v/>
      </c>
      <c r="C1442" s="3" t="str">
        <f>IFERROR(__xludf.DUMMYFUNCTION("""COMPUTED_VALUE"""),"Conference on Fairness, Accountability, and Transparency (FAT*)")</f>
        <v>Conference on Fairness, Accountability, and Transparency (FAT*)</v>
      </c>
      <c r="E1442" t="str">
        <f>IFERROR(__xludf.DUMMYFUNCTION("""COMPUTED_VALUE"""),"FAT* Website")</f>
        <v>FAT* Website</v>
      </c>
      <c r="F1442">
        <f>IFERROR(__xludf.DUMMYFUNCTION("""COMPUTED_VALUE"""),2018.0)</f>
        <v>2018</v>
      </c>
      <c r="H1442" s="3" t="str">
        <f>IFERROR(__xludf.DUMMYFUNCTION("""COMPUTED_VALUE"""),"AN #15")</f>
        <v>AN #15</v>
      </c>
      <c r="I1442" t="str">
        <f>IFERROR(__xludf.DUMMYFUNCTION("""COMPUTED_VALUE"""),"Rohin")</f>
        <v>Rohin</v>
      </c>
      <c r="J1442" t="str">
        <f>IFERROR(__xludf.DUMMYFUNCTION("""COMPUTED_VALUE"""),"... will be held early 2019 in Atlanta, Georgia. Abstract pre-registration deadline is August 16.")</f>
        <v>... will be held early 2019 in Atlanta, Georgia. Abstract pre-registration deadline is August 16.</v>
      </c>
    </row>
    <row r="1443">
      <c r="A1443" t="str">
        <f>IFERROR(__xludf.DUMMYFUNCTION("""COMPUTED_VALUE"""),"News")</f>
        <v>News</v>
      </c>
      <c r="B1443" t="str">
        <f>IFERROR(__xludf.DUMMYFUNCTION("""COMPUTED_VALUE"""),"")</f>
        <v/>
      </c>
      <c r="C1443" s="3" t="str">
        <f>IFERROR(__xludf.DUMMYFUNCTION("""COMPUTED_VALUE"""),"RAISE is hiring")</f>
        <v>RAISE is hiring</v>
      </c>
      <c r="D1443" t="str">
        <f>IFERROR(__xludf.DUMMYFUNCTION("""COMPUTED_VALUE"""),"Toon")</f>
        <v>Toon</v>
      </c>
      <c r="E1443" t="str">
        <f>IFERROR(__xludf.DUMMYFUNCTION("""COMPUTED_VALUE"""),"RAISE Website")</f>
        <v>RAISE Website</v>
      </c>
      <c r="F1443">
        <f>IFERROR(__xludf.DUMMYFUNCTION("""COMPUTED_VALUE"""),2018.0)</f>
        <v>2018</v>
      </c>
      <c r="H1443" s="3" t="str">
        <f>IFERROR(__xludf.DUMMYFUNCTION("""COMPUTED_VALUE"""),"AN #15")</f>
        <v>AN #15</v>
      </c>
      <c r="I1443" t="str">
        <f>IFERROR(__xludf.DUMMYFUNCTION("""COMPUTED_VALUE"""),"Rohin")</f>
        <v>Rohin</v>
      </c>
      <c r="J1443" t="str">
        <f>IFERROR(__xludf.DUMMYFUNCTION("""COMPUTED_VALUE"""),"... for full-time content developers, to work at the [EA Hotel](http://effective-altruism.com/ea/1pc/ea_hotel_with_free_accommodation_and_board_for/) in Blackpool.")</f>
        <v>... for full-time content developers, to work at the [EA Hotel](http://effective-altruism.com/ea/1pc/ea_hotel_with_free_accommodation_and_board_for/) in Blackpool.</v>
      </c>
    </row>
    <row r="1444">
      <c r="A1444" t="str">
        <f>IFERROR(__xludf.DUMMYFUNCTION("""COMPUTED_VALUE"""),"News")</f>
        <v>News</v>
      </c>
      <c r="B1444" t="str">
        <f>IFERROR(__xludf.DUMMYFUNCTION("""COMPUTED_VALUE"""),"")</f>
        <v/>
      </c>
      <c r="C1444" s="3" t="str">
        <f>IFERROR(__xludf.DUMMYFUNCTION("""COMPUTED_VALUE"""),"RAISE status report April-June 2018")</f>
        <v>RAISE status report April-June 2018</v>
      </c>
      <c r="D1444" t="str">
        <f>IFERROR(__xludf.DUMMYFUNCTION("""COMPUTED_VALUE"""),"Veerle")</f>
        <v>Veerle</v>
      </c>
      <c r="E1444" t="str">
        <f>IFERROR(__xludf.DUMMYFUNCTION("""COMPUTED_VALUE"""),"RAISE Website")</f>
        <v>RAISE Website</v>
      </c>
      <c r="F1444">
        <f>IFERROR(__xludf.DUMMYFUNCTION("""COMPUTED_VALUE"""),2018.0)</f>
        <v>2018</v>
      </c>
      <c r="H1444" s="3" t="str">
        <f>IFERROR(__xludf.DUMMYFUNCTION("""COMPUTED_VALUE"""),"AN #13")</f>
        <v>AN #13</v>
      </c>
    </row>
    <row r="1445">
      <c r="A1445" t="str">
        <f>IFERROR(__xludf.DUMMYFUNCTION("""COMPUTED_VALUE"""),"News")</f>
        <v>News</v>
      </c>
      <c r="B1445" t="str">
        <f>IFERROR(__xludf.DUMMYFUNCTION("""COMPUTED_VALUE"""),"")</f>
        <v/>
      </c>
      <c r="C1445" s="3" t="str">
        <f>IFERROR(__xludf.DUMMYFUNCTION("""COMPUTED_VALUE"""),"Announcing the second AI Safety Camp")</f>
        <v>Announcing the second AI Safety Camp</v>
      </c>
      <c r="D1445" t="str">
        <f>IFERROR(__xludf.DUMMYFUNCTION("""COMPUTED_VALUE"""),"Anne Wissemann")</f>
        <v>Anne Wissemann</v>
      </c>
      <c r="E1445" t="str">
        <f>IFERROR(__xludf.DUMMYFUNCTION("""COMPUTED_VALUE"""),"EA Forum")</f>
        <v>EA Forum</v>
      </c>
      <c r="F1445">
        <f>IFERROR(__xludf.DUMMYFUNCTION("""COMPUTED_VALUE"""),2018.0)</f>
        <v>2018</v>
      </c>
      <c r="H1445" s="3" t="str">
        <f>IFERROR(__xludf.DUMMYFUNCTION("""COMPUTED_VALUE"""),"AN #11")</f>
        <v>AN #11</v>
      </c>
      <c r="I1445" t="str">
        <f>IFERROR(__xludf.DUMMYFUNCTION("""COMPUTED_VALUE"""),"Rohin")</f>
        <v>Rohin</v>
      </c>
      <c r="J1445" t="str">
        <f>IFERROR(__xludf.DUMMYFUNCTION("""COMPUTED_VALUE"""),"I forgot to mention last week that the second AI safety camp will be held Oct 4-14 in Prague.")</f>
        <v>I forgot to mention last week that the second AI safety camp will be held Oct 4-14 in Prague.</v>
      </c>
    </row>
    <row r="1446">
      <c r="A1446" t="str">
        <f>IFERROR(__xludf.DUMMYFUNCTION("""COMPUTED_VALUE"""),"News")</f>
        <v>News</v>
      </c>
      <c r="B1446" t="str">
        <f>IFERROR(__xludf.DUMMYFUNCTION("""COMPUTED_VALUE"""),"")</f>
        <v/>
      </c>
      <c r="C1446" s="3" t="str">
        <f>IFERROR(__xludf.DUMMYFUNCTION("""COMPUTED_VALUE"""),"Human-aligned AI Summer School")</f>
        <v>Human-aligned AI Summer School</v>
      </c>
      <c r="E1446" t="str">
        <f>IFERROR(__xludf.DUMMYFUNCTION("""COMPUTED_VALUE"""),"Human Aligned AI Website")</f>
        <v>Human Aligned AI Website</v>
      </c>
      <c r="F1446">
        <f>IFERROR(__xludf.DUMMYFUNCTION("""COMPUTED_VALUE"""),2018.0)</f>
        <v>2018</v>
      </c>
      <c r="H1446" s="3" t="str">
        <f>IFERROR(__xludf.DUMMYFUNCTION("""COMPUTED_VALUE"""),"AN #11")</f>
        <v>AN #11</v>
      </c>
      <c r="I1446" t="str">
        <f>IFERROR(__xludf.DUMMYFUNCTION("""COMPUTED_VALUE"""),"Rohin")</f>
        <v>Rohin</v>
      </c>
      <c r="J1446" t="str">
        <f>IFERROR(__xludf.DUMMYFUNCTION("""COMPUTED_VALUE"""),"The first Human-aligned AI Summer School will be held in Prague from 2nd to 5th August, with a focus on “learning from humans” (in particular, IRL and models of bounded rationality). Applications are open till July 14, but may close sooner if spots are fi"&amp;"lled up.")</f>
        <v>The first Human-aligned AI Summer School will be held in Prague from 2nd to 5th August, with a focus on “learning from humans” (in particular, IRL and models of bounded rationality). Applications are open till July 14, but may close sooner if spots are filled up.</v>
      </c>
    </row>
    <row r="1447">
      <c r="A1447" t="str">
        <f>IFERROR(__xludf.DUMMYFUNCTION("""COMPUTED_VALUE"""),"News")</f>
        <v>News</v>
      </c>
      <c r="B1447" t="str">
        <f>IFERROR(__xludf.DUMMYFUNCTION("""COMPUTED_VALUE"""),"")</f>
        <v/>
      </c>
      <c r="C1447" s="3" t="str">
        <f>IFERROR(__xludf.DUMMYFUNCTION("""COMPUTED_VALUE"""),"The first AI Safety Camp and onwards")</f>
        <v>The first AI Safety Camp and onwards</v>
      </c>
      <c r="D1447" t="str">
        <f>IFERROR(__xludf.DUMMYFUNCTION("""COMPUTED_VALUE"""),"Remmelt Ellen and Linda Linsefors")</f>
        <v>Remmelt Ellen and Linda Linsefors</v>
      </c>
      <c r="E1447" t="str">
        <f>IFERROR(__xludf.DUMMYFUNCTION("""COMPUTED_VALUE"""),"AI Safety Camp Blog")</f>
        <v>AI Safety Camp Blog</v>
      </c>
      <c r="F1447">
        <f>IFERROR(__xludf.DUMMYFUNCTION("""COMPUTED_VALUE"""),2018.0)</f>
        <v>2018</v>
      </c>
      <c r="H1447" s="3" t="str">
        <f>IFERROR(__xludf.DUMMYFUNCTION("""COMPUTED_VALUE"""),"AN #10")</f>
        <v>AN #10</v>
      </c>
      <c r="I1447" t="str">
        <f>IFERROR(__xludf.DUMMYFUNCTION("""COMPUTED_VALUE"""),"Rohin")</f>
        <v>Rohin</v>
      </c>
      <c r="J1447" t="str">
        <f>IFERROR(__xludf.DUMMYFUNCTION("""COMPUTED_VALUE"""),"The first AI safety camp was held in April, in which people interested in AI safety gathered to work on research within groups. Everyone prepared for the camp over the six weeks leading up to it, and then spent 10 days focusing on a particular research qu"&amp;"estion. There were five teams of around four people, and each team wrote up some notes on the results of their project at the end of the camp.")</f>
        <v>The first AI safety camp was held in April, in which people interested in AI safety gathered to work on research within groups. Everyone prepared for the camp over the six weeks leading up to it, and then spent 10 days focusing on a particular research question. There were five teams of around four people, and each team wrote up some notes on the results of their project at the end of the camp.</v>
      </c>
    </row>
    <row r="1448">
      <c r="A1448" t="str">
        <f>IFERROR(__xludf.DUMMYFUNCTION("""COMPUTED_VALUE"""),"News")</f>
        <v>News</v>
      </c>
      <c r="B1448" t="str">
        <f>IFERROR(__xludf.DUMMYFUNCTION("""COMPUTED_VALUE"""),"")</f>
        <v/>
      </c>
      <c r="C1448" s="3" t="str">
        <f>IFERROR(__xludf.DUMMYFUNCTION("""COMPUTED_VALUE"""),"BERI Project Grants Program")</f>
        <v>BERI Project Grants Program</v>
      </c>
      <c r="D1448" t="str">
        <f>IFERROR(__xludf.DUMMYFUNCTION("""COMPUTED_VALUE"""),"Rebecca Raible")</f>
        <v>Rebecca Raible</v>
      </c>
      <c r="E1448" t="str">
        <f>IFERROR(__xludf.DUMMYFUNCTION("""COMPUTED_VALUE"""),"BERI website")</f>
        <v>BERI website</v>
      </c>
      <c r="F1448">
        <f>IFERROR(__xludf.DUMMYFUNCTION("""COMPUTED_VALUE"""),2018.0)</f>
        <v>2018</v>
      </c>
      <c r="H1448" s="3" t="str">
        <f>IFERROR(__xludf.DUMMYFUNCTION("""COMPUTED_VALUE"""),"AN #10")</f>
        <v>AN #10</v>
      </c>
      <c r="I1448" t="str">
        <f>IFERROR(__xludf.DUMMYFUNCTION("""COMPUTED_VALUE"""),"Rohin")</f>
        <v>Rohin</v>
      </c>
      <c r="J1448" t="str">
        <f>IFERROR(__xludf.DUMMYFUNCTION("""COMPUTED_VALUE"""),"BERI is offering grants of up to $300,000 per year for work relating to their mission, with the application deadline of June 30. In their words, ""We are open to any ideas you have, as long as you can explain how the project will contribute to improving h"&amp;"uman civilization’s long-term prospects for survival and flourishing.""")</f>
        <v>BERI is offering grants of up to $300,000 per year for work relating to their mission, with the application deadline of June 30. In their words, "We are open to any ideas you have, as long as you can explain how the project will contribute to improving human civilization’s long-term prospects for survival and flourishing."</v>
      </c>
    </row>
    <row r="1449">
      <c r="A1449" t="str">
        <f>IFERROR(__xludf.DUMMYFUNCTION("""COMPUTED_VALUE"""),"News")</f>
        <v>News</v>
      </c>
      <c r="B1449" t="str">
        <f>IFERROR(__xludf.DUMMYFUNCTION("""COMPUTED_VALUE"""),"")</f>
        <v/>
      </c>
      <c r="C1449" s="3" t="str">
        <f>IFERROR(__xludf.DUMMYFUNCTION("""COMPUTED_VALUE"""),"Our essay competitions for young people")</f>
        <v>Our essay competitions for young people</v>
      </c>
      <c r="E1449" t="str">
        <f>IFERROR(__xludf.DUMMYFUNCTION("""COMPUTED_VALUE"""),"The Economist")</f>
        <v>The Economist</v>
      </c>
      <c r="F1449">
        <f>IFERROR(__xludf.DUMMYFUNCTION("""COMPUTED_VALUE"""),2018.0)</f>
        <v>2018</v>
      </c>
      <c r="H1449" s="3" t="str">
        <f>IFERROR(__xludf.DUMMYFUNCTION("""COMPUTED_VALUE"""),"AN #10")</f>
        <v>AN #10</v>
      </c>
      <c r="I1449" t="str">
        <f>IFERROR(__xludf.DUMMYFUNCTION("""COMPUTED_VALUE"""),"Rohin")</f>
        <v>Rohin</v>
      </c>
      <c r="J1449" t="str">
        <f>IFERROR(__xludf.DUMMYFUNCTION("""COMPUTED_VALUE"""),"There is an essay competition for people between 16 and 25 years old, where one of the topics is ""Do the benefits of artificial intelligence outweigh the risks?"" Winning essays will be published on The Economist’s Open Future website and the author will"&amp;" be invited to attend one of the three Open Future Festival events. The deadline is July 15th.")</f>
        <v>There is an essay competition for people between 16 and 25 years old, where one of the topics is "Do the benefits of artificial intelligence outweigh the risks?" Winning essays will be published on The Economist’s Open Future website and the author will be invited to attend one of the three Open Future Festival events. The deadline is July 15th.</v>
      </c>
    </row>
    <row r="1450">
      <c r="A1450" t="str">
        <f>IFERROR(__xludf.DUMMYFUNCTION("""COMPUTED_VALUE"""),"News")</f>
        <v>News</v>
      </c>
      <c r="B1450" t="str">
        <f>IFERROR(__xludf.DUMMYFUNCTION("""COMPUTED_VALUE"""),"")</f>
        <v/>
      </c>
      <c r="C1450" s="3" t="str">
        <f>IFERROR(__xludf.DUMMYFUNCTION("""COMPUTED_VALUE"""),"AI Alignment Podcast: AI Safety, Possible Minds, and Simulated Worlds")</f>
        <v>AI Alignment Podcast: AI Safety, Possible Minds, and Simulated Worlds</v>
      </c>
      <c r="D1450" t="str">
        <f>IFERROR(__xludf.DUMMYFUNCTION("""COMPUTED_VALUE"""),"Lucas Perry and Roman Yampolskiy")</f>
        <v>Lucas Perry and Roman Yampolskiy</v>
      </c>
      <c r="E1450" t="str">
        <f>IFERROR(__xludf.DUMMYFUNCTION("""COMPUTED_VALUE"""),"FLI Website")</f>
        <v>FLI Website</v>
      </c>
      <c r="F1450">
        <f>IFERROR(__xludf.DUMMYFUNCTION("""COMPUTED_VALUE"""),2018.0)</f>
        <v>2018</v>
      </c>
      <c r="H1450" s="3" t="str">
        <f>IFERROR(__xludf.DUMMYFUNCTION("""COMPUTED_VALUE"""),"AN #16")</f>
        <v>AN #16</v>
      </c>
      <c r="I1450" t="str">
        <f>IFERROR(__xludf.DUMMYFUNCTION("""COMPUTED_VALUE"""),"Rohin")</f>
        <v>Rohin</v>
      </c>
      <c r="J1450" t="str">
        <f>IFERROR(__xludf.DUMMYFUNCTION("""COMPUTED_VALUE"""),"")</f>
        <v/>
      </c>
      <c r="K1450" t="str">
        <f>IFERROR(__xludf.DUMMYFUNCTION("""COMPUTED_VALUE"""),"")</f>
        <v/>
      </c>
    </row>
    <row r="1451">
      <c r="A1451" t="str">
        <f>IFERROR(__xludf.DUMMYFUNCTION("""COMPUTED_VALUE"""),"News")</f>
        <v>News</v>
      </c>
      <c r="B1451" t="str">
        <f>IFERROR(__xludf.DUMMYFUNCTION("""COMPUTED_VALUE"""),"")</f>
        <v/>
      </c>
      <c r="C1451" s="3" t="str">
        <f>IFERROR(__xludf.DUMMYFUNCTION("""COMPUTED_VALUE"""),"Solving the AI Race finalists — $15,000 of prizes")</f>
        <v>Solving the AI Race finalists — $15,000 of prizes</v>
      </c>
      <c r="D1451" t="str">
        <f>IFERROR(__xludf.DUMMYFUNCTION("""COMPUTED_VALUE"""),"Marek Rosa")</f>
        <v>Marek Rosa</v>
      </c>
      <c r="E1451" t="str">
        <f>IFERROR(__xludf.DUMMYFUNCTION("""COMPUTED_VALUE"""),"Medium")</f>
        <v>Medium</v>
      </c>
      <c r="F1451">
        <f>IFERROR(__xludf.DUMMYFUNCTION("""COMPUTED_VALUE"""),2018.0)</f>
        <v>2018</v>
      </c>
      <c r="H1451" s="3" t="str">
        <f>IFERROR(__xludf.DUMMYFUNCTION("""COMPUTED_VALUE"""),"AN #16")</f>
        <v>AN #16</v>
      </c>
    </row>
    <row r="1452">
      <c r="A1452" t="str">
        <f>IFERROR(__xludf.DUMMYFUNCTION("""COMPUTED_VALUE"""),"Philosophical deliberation")</f>
        <v>Philosophical deliberation</v>
      </c>
      <c r="B1452" t="str">
        <f>IFERROR(__xludf.DUMMYFUNCTION("""COMPUTED_VALUE"""),"Highlight")</f>
        <v>Highlight</v>
      </c>
      <c r="C1452" t="str">
        <f>IFERROR(__xludf.DUMMYFUNCTION("""COMPUTED_VALUE"""),"[Three AI Safety Related Ideas](https://www.alignmentforum.org/posts/vbtvgNXkufFRSrx4j/three-ai-safety-related-ideas) and [Two Neglected Problems in Human-AI Safety](https://www.alignmentforum.org/posts/HTgakSs6JpnogD6c2/two-neglected-problems-in-human-ai"&amp;"-safety)")</f>
        <v>[Three AI Safety Related Ideas](https://www.alignmentforum.org/posts/vbtvgNXkufFRSrx4j/three-ai-safety-related-ideas) and [Two Neglected Problems in Human-AI Safety](https://www.alignmentforum.org/posts/HTgakSs6JpnogD6c2/two-neglected-problems-in-human-ai-safety)</v>
      </c>
      <c r="D1452" t="str">
        <f>IFERROR(__xludf.DUMMYFUNCTION("""COMPUTED_VALUE"""),"Wei Dai")</f>
        <v>Wei Dai</v>
      </c>
      <c r="E1452" t="str">
        <f>IFERROR(__xludf.DUMMYFUNCTION("""COMPUTED_VALUE"""),"Alignment Forum")</f>
        <v>Alignment Forum</v>
      </c>
      <c r="F1452">
        <f>IFERROR(__xludf.DUMMYFUNCTION("""COMPUTED_VALUE"""),2018.0)</f>
        <v>2018</v>
      </c>
      <c r="H1452" s="3" t="str">
        <f>IFERROR(__xludf.DUMMYFUNCTION("""COMPUTED_VALUE"""),"AN #37")</f>
        <v>AN #37</v>
      </c>
      <c r="I1452" t="str">
        <f>IFERROR(__xludf.DUMMYFUNCTION("""COMPUTED_VALUE"""),"Rohin")</f>
        <v>Rohin</v>
      </c>
      <c r="J1452" t="str">
        <f>IFERROR(__xludf.DUMMYFUNCTION("""COMPUTED_VALUE"""),"If any particular human got a lot of power, or was able to think a lot faster, then they might do something that we would consider bad. Perhaps power corrupts them, or perhaps they get so excited about the potential technologies they can develop that they"&amp;" do so without thinking seriously about the consequences. We now have both an opportunity and an obligation to design AI systems that operate more cautiously, that aren't prone to the same biases of reasoning and heuristics that we are, such that the futu"&amp;"re actually goes _better_ than it would if we magically made humans more intelligent.
If it's too hard to make AI systems in this way and we need to have them learn goals from humans, we could at least have them learn from _idealized_ humans rather than "&amp;"real ones. Human values don't extrapolate well -- just look at the myriad answers that people give to the various hypotheticals like the [trolley problem](https://en.wikipedia.org/wiki/Trolley_problem). So, it's better to learn from humans that are kept i"&amp;"n safe, familiar environment with all their basic needs taken care of. These are our idealized humans. In practice the AI system would learn a lot from the preferences of real humans, since that should be a very good indicator of the preferences of ideali"&amp;"zed humans. But if the idealized humans begin to have different preferences from real humans, then the AI system should ignore the ""corrupted"" values of the real humans.
More generally, it seems important for our AI systems to help us figure out what w"&amp;"e care about before we make drastic and irreversible changes to our environment, especially changes that prevent us from figuring out what we care about. For example, if we create a hedonic paradise where everyone is on side-effect-free recreational drugs"&amp;" all the time, it seems unlikely that we check whether this is actually what we wanted. This suggests that we need to work on AI systems that differentially advance our philosophical capabilities relative to other capabilities, such as technological ones."&amp;"
One particular way that ""aligned"" AI systems could make things worse is if they accidentally ""corrupt"" our values, as in the hedonic paradise example before. A nearer-term example would be making more addictive video games or social media. They migh"&amp;"t also make very persuasive but wrong moral arguments.
This could also happen in a multipolar setting, where different groups have their own AIs that try to manipulate other humans into having values similar to theirs. The attack is easy, since you have "&amp;"a clear objective (whether or not the humans start behaving according to your values), but it seems hard to defend against, because it is hard to determine the difference between manipulation and useful information.")</f>
        <v>If any particular human got a lot of power, or was able to think a lot faster, then they might do something that we would consider bad. Perhaps power corrupts them, or perhaps they get so excited about the potential technologies they can develop that they do so without thinking seriously about the consequences. We now have both an opportunity and an obligation to design AI systems that operate more cautiously, that aren't prone to the same biases of reasoning and heuristics that we are, such that the future actually goes _better_ than it would if we magically made humans more intelligent.
If it's too hard to make AI systems in this way and we need to have them learn goals from humans, we could at least have them learn from _idealized_ humans rather than real ones. Human values don't extrapolate well -- just look at the myriad answers that people give to the various hypotheticals like the [trolley problem](https://en.wikipedia.org/wiki/Trolley_problem). So, it's better to learn from humans that are kept in safe, familiar environment with all their basic needs taken care of. These are our idealized humans. In practice the AI system would learn a lot from the preferences of real humans, since that should be a very good indicator of the preferences of idealized humans. But if the idealized humans begin to have different preferences from real humans, then the AI system should ignore the "corrupted" values of the real humans.
More generally, it seems important for our AI systems to help us figure out what we care about before we make drastic and irreversible changes to our environment, especially changes that prevent us from figuring out what we care about. For example, if we create a hedonic paradise where everyone is on side-effect-free recreational drugs all the time, it seems unlikely that we check whether this is actually what we wanted. This suggests that we need to work on AI systems that differentially advance our philosophical capabilities relative to other capabilities, such as technological ones.
One particular way that "aligned" AI systems could make things worse is if they accidentally "corrupt" our values, as in the hedonic paradise example before. A nearer-term example would be making more addictive video games or social media. They might also make very persuasive but wrong moral arguments.
This could also happen in a multipolar setting, where different groups have their own AIs that try to manipulate other humans into having values similar to theirs. The attack is easy, since you have a clear objective (whether or not the humans start behaving according to your values), but it seems hard to defend against, because it is hard to determine the difference between manipulation and useful information.</v>
      </c>
      <c r="K1452" t="str">
        <f>IFERROR(__xludf.DUMMYFUNCTION("""COMPUTED_VALUE"""),"(A more detailed discussion is available on [these](https://www.alignmentforum.org/posts/vbtvgNXkufFRSrx4j/three-ai-safety-related-ideas#WP9Tc2eTAwsPNw3cz) [threads](https://www.alignmentforum.org/posts/HTgakSs6JpnogD6c2/two-neglected-problems-in-human-ai"&amp;"-safety#FoWAZFTnG8D2rreSs).) I'm glad these posts were written, they outline real problems that I think are neglected in the AI safety community and outline some angles of attack. The rest of this is going to be a bunch of disagreements I have, but these "&amp;"should be taken as disagreements on how to _solve_ these problems, not a disagreement that the problems exist.
It seems quite difficult to me to build AI systems that are safe, _without_ having them rely on humans making philosophical progress themselves"&amp;". We've been trying to figure this out for thousands of years. I'm pessimistic about our chances at creating AI systems that can outperform this huge intellectual effort correctly on the first try without feedback from humans. Learning from idealized huma"&amp;"ns might address this to some extent, but in many circumstances I think I would trust the real humans with [skin in the game](http://slatestarcodex.com/2016/05/14/skin-in-the-game/) more than the idealized humans who must reason about those circumstances "&amp;"from afar (in their safe, familiar environment).
I do think we want to have a general approach where we try to figure out how AIs _and_ humans should reason, such that the resulting system behaves well. On the human side, this might mean that the human n"&amp;"eeds to be more cautious for longer timescales, or to have more epistemic and moral humility. Idealized humans can be thought of an instance of this approach where rather than change the policy of real humans, we indirectly change their policy in a hypoth"&amp;"etical by putting them in safer environments.
For the problem of intentionally corrupting values, this seems to me an instance of the general class of ""Competing aligned superintelligent AI systems could do bad things"", in the same way that we have the"&amp;" risk of nuclear war today. I'm not sure why we're focusing on value corruption in particular. In any case, my current preferred solution is not to get into this situation in the first place (though admittedly that seems very hard to do, and I'd love to s"&amp;"ee more thought put into this).
Overall, I'm hoping that we can solve ""human safety problems"" by training the humans supervising the AI to not have those problems, because it sure does make the technical problem of aligning AI seem a lot easier. I don'"&amp;"t have a great answer to the problem of competing aligned superintelligent AI systems.")</f>
        <v>(A more detailed discussion is available on [these](https://www.alignmentforum.org/posts/vbtvgNXkufFRSrx4j/three-ai-safety-related-ideas#WP9Tc2eTAwsPNw3cz) [threads](https://www.alignmentforum.org/posts/HTgakSs6JpnogD6c2/two-neglected-problems-in-human-ai-safety#FoWAZFTnG8D2rreSs).) I'm glad these posts were written, they outline real problems that I think are neglected in the AI safety community and outline some angles of attack. The rest of this is going to be a bunch of disagreements I have, but these should be taken as disagreements on how to _solve_ these problems, not a disagreement that the problems exist.
It seems quite difficult to me to build AI systems that are safe, _without_ having them rely on humans making philosophical progress themselves. We've been trying to figure this out for thousands of years. I'm pessimistic about our chances at creating AI systems that can outperform this huge intellectual effort correctly on the first try without feedback from humans. Learning from idealized humans might address this to some extent, but in many circumstances I think I would trust the real humans with [skin in the game](http://slatestarcodex.com/2016/05/14/skin-in-the-game/) more than the idealized humans who must reason about those circumstances from afar (in their safe, familiar environment).
I do think we want to have a general approach where we try to figure out how AIs _and_ humans should reason, such that the resulting system behaves well. On the human side, this might mean that the human needs to be more cautious for longer timescales, or to have more epistemic and moral humility. Idealized humans can be thought of an instance of this approach where rather than change the policy of real humans, we indirectly change their policy in a hypothetical by putting them in safer environments.
For the problem of intentionally corrupting values, this seems to me an instance of the general class of "Competing aligned superintelligent AI systems could do bad things", in the same way that we have the risk of nuclear war today. I'm not sure why we're focusing on value corruption in particular. In any case, my current preferred solution is not to get into this situation in the first place (though admittedly that seems very hard to do, and I'd love to see more thought put into this).
Overall, I'm hoping that we can solve "human safety problems" by training the humans supervising the AI to not have those problems, because it sure does make the technical problem of aligning AI seem a lot easier. I don't have a great answer to the problem of competing aligned superintelligent AI systems.</v>
      </c>
    </row>
    <row r="1453">
      <c r="A1453" t="str">
        <f>IFERROR(__xludf.DUMMYFUNCTION("""COMPUTED_VALUE"""),"Philosophical deliberation")</f>
        <v>Philosophical deliberation</v>
      </c>
      <c r="B1453" t="str">
        <f>IFERROR(__xludf.DUMMYFUNCTION("""COMPUTED_VALUE"""),"")</f>
        <v/>
      </c>
      <c r="C1453" s="3" t="str">
        <f>IFERROR(__xludf.DUMMYFUNCTION("""COMPUTED_VALUE"""),"Some Thoughts on Metaphilosophy")</f>
        <v>Some Thoughts on Metaphilosophy</v>
      </c>
      <c r="D1453" t="str">
        <f>IFERROR(__xludf.DUMMYFUNCTION("""COMPUTED_VALUE"""),"Wei Dai")</f>
        <v>Wei Dai</v>
      </c>
      <c r="E1453" t="str">
        <f>IFERROR(__xludf.DUMMYFUNCTION("""COMPUTED_VALUE"""),"Alignment Forum")</f>
        <v>Alignment Forum</v>
      </c>
      <c r="F1453">
        <f>IFERROR(__xludf.DUMMYFUNCTION("""COMPUTED_VALUE"""),2019.0)</f>
        <v>2019</v>
      </c>
      <c r="H1453" s="3" t="str">
        <f>IFERROR(__xludf.DUMMYFUNCTION("""COMPUTED_VALUE"""),"AN #46")</f>
        <v>AN #46</v>
      </c>
      <c r="I1453" t="str">
        <f>IFERROR(__xludf.DUMMYFUNCTION("""COMPUTED_VALUE"""),"Rohin")</f>
        <v>Rohin</v>
      </c>
      <c r="J1453" t="str">
        <f>IFERROR(__xludf.DUMMYFUNCTION("""COMPUTED_VALUE"""),"This post considers some ways that we could think about what philosophy is. In particular, it highlights perspectives about what philosophy does (answer confusing questions, enable us to generalize out of distribution, solve meta-level problems that can t"&amp;"hen be turned into fast object-level domain-specific problem solvers) and how it works (slow but general problem solving, interminable debate, a [general Turing Machine](http://people.idsia.ch/~juergen/toes.pdf)). Given that we haven't figured out metaphi"&amp;"losophy yet, we might want to preserve option value by e.g. slowing down technological progress until we solve metaphilosophy, or try to replicate human metaphilosophical abilities using ML.")</f>
        <v>This post considers some ways that we could think about what philosophy is. In particular, it highlights perspectives about what philosophy does (answer confusing questions, enable us to generalize out of distribution, solve meta-level problems that can then be turned into fast object-level domain-specific problem solvers) and how it works (slow but general problem solving, interminable debate, a [general Turing Machine](http://people.idsia.ch/~juergen/toes.pdf)). Given that we haven't figured out metaphilosophy yet, we might want to preserve option value by e.g. slowing down technological progress until we solve metaphilosophy, or try to replicate human metaphilosophical abilities using ML.</v>
      </c>
      <c r="K1453" t="str">
        <f>IFERROR(__xludf.DUMMYFUNCTION("""COMPUTED_VALUE"""),"I think this is getting at a property that humans have that I've been thinking about that I sometimes call explicit or logical reasoning, and I think the key property is that it generalizes well out of distribution, but is very slow to run. I definitely w"&amp;"ant to understand it better for the purpose of forecasting what AI will be able to do in the future. It would also be great to understand the underlying principles in order to figure out how to actually get good generalization.")</f>
        <v>I think this is getting at a property that humans have that I've been thinking about that I sometimes call explicit or logical reasoning, and I think the key property is that it generalizes well out of distribution, but is very slow to run. I definitely want to understand it better for the purpose of forecasting what AI will be able to do in the future. It would also be great to understand the underlying principles in order to figure out how to actually get good generalization.</v>
      </c>
    </row>
    <row r="1454">
      <c r="A1454" t="str">
        <f>IFERROR(__xludf.DUMMYFUNCTION("""COMPUTED_VALUE"""),"Philosophical deliberation")</f>
        <v>Philosophical deliberation</v>
      </c>
      <c r="B1454" t="str">
        <f>IFERROR(__xludf.DUMMYFUNCTION("""COMPUTED_VALUE"""),"")</f>
        <v/>
      </c>
      <c r="C1454" s="3" t="str">
        <f>IFERROR(__xludf.DUMMYFUNCTION("""COMPUTED_VALUE"""),"The Argument from Philosophical Difficulty")</f>
        <v>The Argument from Philosophical Difficulty</v>
      </c>
      <c r="D1454" t="str">
        <f>IFERROR(__xludf.DUMMYFUNCTION("""COMPUTED_VALUE"""),"Wei Dai")</f>
        <v>Wei Dai</v>
      </c>
      <c r="E1454" t="str">
        <f>IFERROR(__xludf.DUMMYFUNCTION("""COMPUTED_VALUE"""),"Alignment Forum")</f>
        <v>Alignment Forum</v>
      </c>
      <c r="F1454">
        <f>IFERROR(__xludf.DUMMYFUNCTION("""COMPUTED_VALUE"""),2019.0)</f>
        <v>2019</v>
      </c>
      <c r="H1454" s="3" t="str">
        <f>IFERROR(__xludf.DUMMYFUNCTION("""COMPUTED_VALUE"""),"AN #46")</f>
        <v>AN #46</v>
      </c>
      <c r="I1454" t="str">
        <f>IFERROR(__xludf.DUMMYFUNCTION("""COMPUTED_VALUE"""),"Rohin")</f>
        <v>Rohin</v>
      </c>
      <c r="J1454" t="str">
        <f>IFERROR(__xludf.DUMMYFUNCTION("""COMPUTED_VALUE"""),"Since humans disagree wildly on what a good future looks like or what a good ethical theory is, we need to solve these philosophical problems in order to ensure a good future (which here means that we capture ""most"" of the value that we could get in the"&amp;"ory). For example, we need to [figure out what to do given that we might be in a simulation](https://www.lesswrong.com/posts/Qz6w4GYZpgeDp6ATB/beyond-astronomical-waste), and we need to [make sure we don't lose sight of our ""true"" values in the presence"&amp;" of manipulation](https://www.lesswrong.com/posts/HTgakSs6JpnogD6c2/two-neglected-problems-in-human-ai-safety) ([AN #37](https://mailchi.mp/6eb8190e723f/alignment-newsletter-37)). AI will tend to exacerbate these problems, for example because it will like"&amp;"ly differentially accelerate technological progress relative to moral progress.
One way to achieve this is to make sure the AI systems we build correctly solve these problems. We could either solve the philosophical issues ourselves and program them in, "&amp;"specify a metaphilosophy module that allows the AI to solve philosophy problems itself, or have the AI learn philosophy from humans/defer to humans for philosophical solutions. Other possibilities include coordination to ""keep the world stable"" over a p"&amp;"eriod of (say) millennia where we solve philosophical problems with AI help, and building corrigible AI systems with the hope that their overseers will want to solve philosophical problems. All of these approaches seem quite hard to get right, especially "&amp;"given ""human safety problems"", that is the fact that human moral intuitions likely do not generalize outside the current environment, and that they can be easily manipulated.")</f>
        <v>Since humans disagree wildly on what a good future looks like or what a good ethical theory is, we need to solve these philosophical problems in order to ensure a good future (which here means that we capture "most" of the value that we could get in theory). For example, we need to [figure out what to do given that we might be in a simulation](https://www.lesswrong.com/posts/Qz6w4GYZpgeDp6ATB/beyond-astronomical-waste), and we need to [make sure we don't lose sight of our "true" values in the presence of manipulation](https://www.lesswrong.com/posts/HTgakSs6JpnogD6c2/two-neglected-problems-in-human-ai-safety) ([AN #37](https://mailchi.mp/6eb8190e723f/alignment-newsletter-37)). AI will tend to exacerbate these problems, for example because it will likely differentially accelerate technological progress relative to moral progress.
One way to achieve this is to make sure the AI systems we build correctly solve these problems. We could either solve the philosophical issues ourselves and program them in, specify a metaphilosophy module that allows the AI to solve philosophy problems itself, or have the AI learn philosophy from humans/defer to humans for philosophical solutions. Other possibilities include coordination to "keep the world stable" over a period of (say) millennia where we solve philosophical problems with AI help, and building corrigible AI systems with the hope that their overseers will want to solve philosophical problems. All of these approaches seem quite hard to get right, especially given "human safety problems", that is the fact that human moral intuitions likely do not generalize outside the current environment, and that they can be easily manipulated.</v>
      </c>
      <c r="K1454" t="str">
        <f>IFERROR(__xludf.DUMMYFUNCTION("""COMPUTED_VALUE"""),"This seems like a real problem, but I'm not sure how important it is. It definitely seems worth thinking about more, but I don't want to rule out the possibility that the natural trajectory that we will take assuming we develop useful AI systems will lead"&amp;" to us solving philosophical problems before doing anything too extreme, or before our values are irreversibly corrupted. I currently lean towards this view; however, I'm very uncertain about this since I haven't thought about it enough. Regardless of imp"&amp;"ortance, it does seem to have almost no one working on it and could benefit from more thought. (See [this comment thread](https://www.lesswrong.com/posts/w6d7XBCegc96kz4n3/the-argument-from-philosophical-difficulty#6SoDfRkRw3LgvjChZ) for more details.)")</f>
        <v>This seems like a real problem, but I'm not sure how important it is. It definitely seems worth thinking about more, but I don't want to rule out the possibility that the natural trajectory that we will take assuming we develop useful AI systems will lead to us solving philosophical problems before doing anything too extreme, or before our values are irreversibly corrupted. I currently lean towards this view; however, I'm very uncertain about this since I haven't thought about it enough. Regardless of importance, it does seem to have almost no one working on it and could benefit from more thought. (See [this comment thread](https://www.lesswrong.com/posts/w6d7XBCegc96kz4n3/the-argument-from-philosophical-difficulty#6SoDfRkRw3LgvjChZ) for more details.)</v>
      </c>
    </row>
    <row r="1455">
      <c r="A1455" t="str">
        <f>IFERROR(__xludf.DUMMYFUNCTION("""COMPUTED_VALUE"""),"Preventing bad behavior")</f>
        <v>Preventing bad behavior</v>
      </c>
      <c r="B1455" t="str">
        <f>IFERROR(__xludf.DUMMYFUNCTION("""COMPUTED_VALUE"""),"Highlight")</f>
        <v>Highlight</v>
      </c>
      <c r="C1455" s="3" t="str">
        <f>IFERROR(__xludf.DUMMYFUNCTION("""COMPUTED_VALUE"""),"Reframing Impact - Part 2")</f>
        <v>Reframing Impact - Part 2</v>
      </c>
      <c r="D1455" t="str">
        <f>IFERROR(__xludf.DUMMYFUNCTION("""COMPUTED_VALUE"""),"Alex Turner")</f>
        <v>Alex Turner</v>
      </c>
      <c r="E1455" t="str">
        <f>IFERROR(__xludf.DUMMYFUNCTION("""COMPUTED_VALUE"""),"Alignment Forum")</f>
        <v>Alignment Forum</v>
      </c>
      <c r="F1455">
        <f>IFERROR(__xludf.DUMMYFUNCTION("""COMPUTED_VALUE"""),2020.0)</f>
        <v>2020</v>
      </c>
      <c r="H1455" s="3" t="str">
        <f>IFERROR(__xludf.DUMMYFUNCTION("""COMPUTED_VALUE"""),"AN #91")</f>
        <v>AN #91</v>
      </c>
      <c r="I1455" t="str">
        <f>IFERROR(__xludf.DUMMYFUNCTION("""COMPUTED_VALUE"""),"Rohin")</f>
        <v>Rohin</v>
      </c>
      <c r="J1455" t="str">
        <f>IFERROR(__xludf.DUMMYFUNCTION("""COMPUTED_VALUE"""),"In &lt;@part 1@&gt;(@Reframing Impact - Part 1@) of this sequence, we saw that an event is _impactful_ if it _changes our ability to get what we want_. This part takes this understanding and applies it to AI alignment.
In the real world, there are many events "&amp;"that cause _objective_ negative impacts: they reduce your ability to pursue nearly any goal. An asteroid impact that destroys the Earth is going to be pretty bad for you, whether you want to promote human flourishing or to make paperclips. Conversely, the"&amp;"re are many plans that produce objective positive impacts: for many potential goals, it's probably a good idea to earn a bunch of money, or to learn a lot about the world, or to command a perfectly loyal army. This is particularly exacerbated when the env"&amp;"ironment contains multiple agents: for goals that benefit from having more resources, it is objectively bad for you if a different agent seizes your resources, and objectively good for you if you seize other agents' resources.
Based on this intuitive (bu"&amp;"t certainly not ironclad) argument, we get the **Catastrophic Convergence Conjecture (CCC)**: ""Unaligned goals tend to have catastrophe-inducing optimal policies because of power-seeking incentives"".
Let's now consider a _conceptual_ version of &lt;@Attai"&amp;"nable Utility Preservation (AUP)@&gt;(@Towards a New Impact Measure@): the agent optimizes a primary (possibly unaligned) goal, but is penalized for changing its ""power"" (in the intuitive sense). Intuitively, such an agent no longer has power-seeking incen"&amp;"tives, and so (by the [contrapositive](https://en.wikipedia.org/wiki/Contraposition) of the CCC) it will not have a catastrophe-inducing optimal policy -- exactly what we want! This conceptual version of AUP also avoids thorny problems such as ontology id"&amp;"entification and butterfly effects, because the agent need only reason about its own beliefs, rather than having to reason directly about the external world.")</f>
        <v>In &lt;@part 1@&gt;(@Reframing Impact - Part 1@) of this sequence, we saw that an event is _impactful_ if it _changes our ability to get what we want_. This part takes this understanding and applies it to AI alignment.
In the real world, there are many events that cause _objective_ negative impacts: they reduce your ability to pursue nearly any goal. An asteroid impact that destroys the Earth is going to be pretty bad for you, whether you want to promote human flourishing or to make paperclips. Conversely, there are many plans that produce objective positive impacts: for many potential goals, it's probably a good idea to earn a bunch of money, or to learn a lot about the world, or to command a perfectly loyal army. This is particularly exacerbated when the environment contains multiple agents: for goals that benefit from having more resources, it is objectively bad for you if a different agent seizes your resources, and objectively good for you if you seize other agents' resources.
Based on this intuitive (but certainly not ironclad) argument, we get the **Catastrophic Convergence Conjecture (CCC)**: "Unaligned goals tend to have catastrophe-inducing optimal policies because of power-seeking incentives".
Let's now consider a _conceptual_ version of &lt;@Attainable Utility Preservation (AUP)@&gt;(@Towards a New Impact Measure@): the agent optimizes a primary (possibly unaligned) goal, but is penalized for changing its "power" (in the intuitive sense). Intuitively, such an agent no longer has power-seeking incentives, and so (by the [contrapositive](https://en.wikipedia.org/wiki/Contraposition) of the CCC) it will not have a catastrophe-inducing optimal policy -- exactly what we want! This conceptual version of AUP also avoids thorny problems such as ontology identification and butterfly effects, because the agent need only reason about its own beliefs, rather than having to reason directly about the external world.</v>
      </c>
      <c r="K1455" t="str">
        <f>IFERROR(__xludf.DUMMYFUNCTION("""COMPUTED_VALUE"""),"This was my favorite part of the sequence, as it explains the conceptual case for AUP clearly and concisely. I especially liked the CCC: I believe that we should be primarily aiming to prevent an AI system ""intentionally"" causing catastrophe, while not "&amp;"attempting to guarantee an absence of ""accidental"" mistakes (&lt;@1@&gt;(@Clarifying ""AI Alignment""@), &lt;@2@&gt;(@Techniques for optimizing worst-case performance@)), and the CCC is one way of cashing out this intuition. It's a more crisp version of the idea th"&amp;"at [convergent instrumental subgoals](https://selfawaresystems.files.wordpress.com/2008/01/ai_drives_final.pdf) are in some sense the ""source"" of AI accident risk, and if we can avoid instrumental subgoals we will probably have solved AI safety.")</f>
        <v>This was my favorite part of the sequence, as it explains the conceptual case for AUP clearly and concisely. I especially liked the CCC: I believe that we should be primarily aiming to prevent an AI system "intentionally" causing catastrophe, while not attempting to guarantee an absence of "accidental" mistakes (&lt;@1@&gt;(@Clarifying "AI Alignment"@), &lt;@2@&gt;(@Techniques for optimizing worst-case performance@)), and the CCC is one way of cashing out this intuition. It's a more crisp version of the idea that [convergent instrumental subgoals](https://selfawaresystems.files.wordpress.com/2008/01/ai_drives_final.pdf) are in some sense the "source" of AI accident risk, and if we can avoid instrumental subgoals we will probably have solved AI safety.</v>
      </c>
    </row>
    <row r="1456">
      <c r="A1456" t="str">
        <f>IFERROR(__xludf.DUMMYFUNCTION("""COMPUTED_VALUE"""),"Preventing bad behavior")</f>
        <v>Preventing bad behavior</v>
      </c>
      <c r="B1456" t="str">
        <f>IFERROR(__xludf.DUMMYFUNCTION("""COMPUTED_VALUE"""),"Highlight")</f>
        <v>Highlight</v>
      </c>
      <c r="C1456" s="3" t="str">
        <f>IFERROR(__xludf.DUMMYFUNCTION("""COMPUTED_VALUE"""),"Reframing Impact - Part 3")</f>
        <v>Reframing Impact - Part 3</v>
      </c>
      <c r="D1456" t="str">
        <f>IFERROR(__xludf.DUMMYFUNCTION("""COMPUTED_VALUE"""),"Alex Turner")</f>
        <v>Alex Turner</v>
      </c>
      <c r="E1456" t="str">
        <f>IFERROR(__xludf.DUMMYFUNCTION("""COMPUTED_VALUE"""),"Alignment Forum")</f>
        <v>Alignment Forum</v>
      </c>
      <c r="F1456">
        <f>IFERROR(__xludf.DUMMYFUNCTION("""COMPUTED_VALUE"""),2020.0)</f>
        <v>2020</v>
      </c>
      <c r="H1456" s="3" t="str">
        <f>IFERROR(__xludf.DUMMYFUNCTION("""COMPUTED_VALUE"""),"AN #91")</f>
        <v>AN #91</v>
      </c>
      <c r="I1456" t="str">
        <f>IFERROR(__xludf.DUMMYFUNCTION("""COMPUTED_VALUE"""),"Rohin")</f>
        <v>Rohin</v>
      </c>
      <c r="J1456" t="str">
        <f>IFERROR(__xludf.DUMMYFUNCTION("""COMPUTED_VALUE"""),"The final section of the sequence turns to an actual implementation of AUP, and deals with problems in how the implementation deviates from the conceptual version of AUP. We measure power by considering a set of auxiliary rewards, and measuring the change"&amp;" in attainable utilities of this auxiliary set as impact, and penalizing the agent for that. The first post presents some empirical results, many of which &lt;@we've covered before@&gt;(@Penalizing Impact via Attainable Utility Preservation@), but I wanted to n"&amp;"ote the new results on [SafeLife](https://www.partnershiponai.org/safelife/) (summarized below). On the high-dimensional world of SafeLife, the authors train a VAE to find a good latent representation, and choose a single linear reward function on the lat"&amp;"ent representation as their auxiliary reward function: it turns out this is enough to avoid side effects in at least some cases of SafeLife.
We then look at some improvements that can be made to the original AUP implementation. First, according to CCC, w"&amp;"e only need to penalize _power_, not _impact_: as a result we can just penalize _increases_ in attainable utilities, rather than both increases and decreases as in the original version. Second, the auxiliary set of rewards only provides a _proxy_ for impa"&amp;"ct / power, which an optimal agent could game (for example, by [creating subagents](https://www.alignmentforum.org/posts/mdQEraEZQLg7jtozn/subagents-and-impact-measures-full-and-fully-illustrated), summarized below). So instead, we can penalize increases "&amp;"in attainable utility for the _primary_ goal, rather than using auxiliary rewards. There are some other improvements that I won't go into here.")</f>
        <v>The final section of the sequence turns to an actual implementation of AUP, and deals with problems in how the implementation deviates from the conceptual version of AUP. We measure power by considering a set of auxiliary rewards, and measuring the change in attainable utilities of this auxiliary set as impact, and penalizing the agent for that. The first post presents some empirical results, many of which &lt;@we've covered before@&gt;(@Penalizing Impact via Attainable Utility Preservation@), but I wanted to note the new results on [SafeLife](https://www.partnershiponai.org/safelife/) (summarized below). On the high-dimensional world of SafeLife, the authors train a VAE to find a good latent representation, and choose a single linear reward function on the latent representation as their auxiliary reward function: it turns out this is enough to avoid side effects in at least some cases of SafeLife.
We then look at some improvements that can be made to the original AUP implementation. First, according to CCC, we only need to penalize _power_, not _impact_: as a result we can just penalize _increases_ in attainable utilities, rather than both increases and decreases as in the original version. Second, the auxiliary set of rewards only provides a _proxy_ for impact / power, which an optimal agent could game (for example, by [creating subagents](https://www.alignmentforum.org/posts/mdQEraEZQLg7jtozn/subagents-and-impact-measures-full-and-fully-illustrated), summarized below). So instead, we can penalize increases in attainable utility for the _primary_ goal, rather than using auxiliary rewards. There are some other improvements that I won't go into here.</v>
      </c>
      <c r="K1456" t="str">
        <f>IFERROR(__xludf.DUMMYFUNCTION("""COMPUTED_VALUE"""),"I think the plan ""ensure that the AI systems we build don't seek power"" is pretty reasonable and plausibly will be an important part of AI alignment. However, the implementation of AUP is trying to do this under the threat model of optimal agents with p"&amp;"otentially unaligned primary goals. I think this is probably going to do something quite different from the conceptual version of AUP, because impact (as defined in this sequence) occurs only when the agent's beliefs _change_, which doesn't happen for opt"&amp;"imal agents in deterministic environments. The current implementation of AUP tries to get around this using proxies for power (but these can be gamed) or by defining ""dumber"" beliefs against which power is measured (but this fails to leverage the AI sys"&amp;"tem's understanding of the world). See [this comment](https://www.alignmentforum.org/posts/wAAvP8RG6EwzCvHJy/reasons-for-excitement-about-impact-of-impact-measure?commentId=s48grPhMbuBEXNtyc) for more details.
Note that the author himself is more [excite"&amp;"d](https://www.alignmentforum.org/s/7CdoznhJaLEKHwvJW/p/wAAvP8RG6EwzCvHJy) about AUP as deconfusion, rather than as a solution to AI alignment, though he is more optimistic about the implementation of AUP than I am.")</f>
        <v>I think the plan "ensure that the AI systems we build don't seek power" is pretty reasonable and plausibly will be an important part of AI alignment. However, the implementation of AUP is trying to do this under the threat model of optimal agents with potentially unaligned primary goals. I think this is probably going to do something quite different from the conceptual version of AUP, because impact (as defined in this sequence) occurs only when the agent's beliefs _change_, which doesn't happen for optimal agents in deterministic environments. The current implementation of AUP tries to get around this using proxies for power (but these can be gamed) or by defining "dumber" beliefs against which power is measured (but this fails to leverage the AI system's understanding of the world). See [this comment](https://www.alignmentforum.org/posts/wAAvP8RG6EwzCvHJy/reasons-for-excitement-about-impact-of-impact-measure?commentId=s48grPhMbuBEXNtyc) for more details.
Note that the author himself is more [excited](https://www.alignmentforum.org/s/7CdoznhJaLEKHwvJW/p/wAAvP8RG6EwzCvHJy) about AUP as deconfusion, rather than as a solution to AI alignment, though he is more optimistic about the implementation of AUP than I am.</v>
      </c>
    </row>
    <row r="1457">
      <c r="A1457" t="str">
        <f>IFERROR(__xludf.DUMMYFUNCTION("""COMPUTED_VALUE"""),"Preventing bad behavior")</f>
        <v>Preventing bad behavior</v>
      </c>
      <c r="B1457" t="str">
        <f>IFERROR(__xludf.DUMMYFUNCTION("""COMPUTED_VALUE"""),"Highlight")</f>
        <v>Highlight</v>
      </c>
      <c r="C1457" s="3" t="str">
        <f>IFERROR(__xludf.DUMMYFUNCTION("""COMPUTED_VALUE"""),"Subagents and impact measures, full and fully illustrated")</f>
        <v>Subagents and impact measures, full and fully illustrated</v>
      </c>
      <c r="D1457" t="str">
        <f>IFERROR(__xludf.DUMMYFUNCTION("""COMPUTED_VALUE"""),"Stuart Armstrong")</f>
        <v>Stuart Armstrong</v>
      </c>
      <c r="E1457" t="str">
        <f>IFERROR(__xludf.DUMMYFUNCTION("""COMPUTED_VALUE"""),"Alignment Forum")</f>
        <v>Alignment Forum</v>
      </c>
      <c r="F1457">
        <f>IFERROR(__xludf.DUMMYFUNCTION("""COMPUTED_VALUE"""),2020.0)</f>
        <v>2020</v>
      </c>
      <c r="H1457" s="3" t="str">
        <f>IFERROR(__xludf.DUMMYFUNCTION("""COMPUTED_VALUE"""),"AN #91")</f>
        <v>AN #91</v>
      </c>
      <c r="I1457" t="str">
        <f>IFERROR(__xludf.DUMMYFUNCTION("""COMPUTED_VALUE"""),"Flo")</f>
        <v>Flo</v>
      </c>
      <c r="J1457" t="str">
        <f>IFERROR(__xludf.DUMMYFUNCTION("""COMPUTED_VALUE"""),"Impact measures reduce the reward an agent **A** receives for reaching a state **s** by the distance between **s** and some baseline state **s'**. This article clarifies the interaction of &lt;@impact measures and subagents@&gt;(@Attainable utility has a subage"&amp;"nt problem@).
In the &lt;@attainable utility framework@&gt;(@Penalizing Impact via Attainable Utility Preservation@) the distance metric measures changes in **A**'s power, its ability to optimize a set of auxiliary rewards **R**, relative to doing nothing. Thi"&amp;"s means that **A** is never penalized for doing nothing. Thus, if **A** manages to construct a subagent **SA** without getting penalized for that, **A** can just stop doing anything afterwards without getting a penalty, no matter what **SA** does. 
For t"&amp;"he *stepwise inaction baseline*, where **s'** is the state that **A** would have reached had it done nothing in the last time step, **A** can completely avoid the penalty by building an **SA** that commits to balance out the change in **A**'s ability to o"&amp;"ptimize the auxiliary reward **R** if **A** decided to optimize **R**, but instead becomes an optimizer for **A**'s real reward when **A** does nothing in the next step. 
For the *inaction baseline*, where **s'** is the state reached if **A** had not don"&amp;"e anything for the whole episode, it gets more complicated. When only gains in power are penalized, **SA** has to be built such that it does not cause a significant increase in **R**, even if **A** decided to optimize for **R** later on. If **SA** is cons"&amp;"tructed in a way such that **A** cannot control its behaviour after some time has passed, the penalty **A** receives for the construction only depends on the _actual_ effect of **SA** on **R**. This is a lot weaker than the original penalty, which was abo"&amp;"ut the _possible_ effects of **A**'s actions on **R**. 
In the case where decreases in power are also penalized, **A** needs to make sure that building **SA** does not reduce its ability to optimize **R**. This is not always possible without **A** retain"&amp;"ing some control over **SA**, but giving up control was only necessary to prevent the construction of **SA** from increasing **A**'s potential to optimize **R**. It seems like it is often possible for **A** to finetune the amount of control it retains ove"&amp;"r **SA** such that **A**'s ability to optimize **R** barely changes while **SA** is able to do things **A** could not do unpenalized. 
In the most extreme example, **A** boxes itself into **SA** and does nothing in reality, but is counterfactually able t"&amp;"o intervene on **SA**'s policy. If **A** is able to cleverly put constraints on its own future actions in other ways, no subagents are needed to avoid the penalty. While other impact penalties like &lt;@relative reachability@&gt;(@Measuring and avoiding side ef"&amp;"fects using relative reachability@) do allow for subagents to be constructed, they do not undermine the penalty for these.")</f>
        <v>Impact measures reduce the reward an agent **A** receives for reaching a state **s** by the distance between **s** and some baseline state **s'**. This article clarifies the interaction of &lt;@impact measures and subagents@&gt;(@Attainable utility has a subagent problem@).
In the &lt;@attainable utility framework@&gt;(@Penalizing Impact via Attainable Utility Preservation@) the distance metric measures changes in **A**'s power, its ability to optimize a set of auxiliary rewards **R**, relative to doing nothing. This means that **A** is never penalized for doing nothing. Thus, if **A** manages to construct a subagent **SA** without getting penalized for that, **A** can just stop doing anything afterwards without getting a penalty, no matter what **SA** does. 
For the *stepwise inaction baseline*, where **s'** is the state that **A** would have reached had it done nothing in the last time step, **A** can completely avoid the penalty by building an **SA** that commits to balance out the change in **A**'s ability to optimize the auxiliary reward **R** if **A** decided to optimize **R**, but instead becomes an optimizer for **A**'s real reward when **A** does nothing in the next step. 
For the *inaction baseline*, where **s'** is the state reached if **A** had not done anything for the whole episode, it gets more complicated. When only gains in power are penalized, **SA** has to be built such that it does not cause a significant increase in **R**, even if **A** decided to optimize for **R** later on. If **SA** is constructed in a way such that **A** cannot control its behaviour after some time has passed, the penalty **A** receives for the construction only depends on the _actual_ effect of **SA** on **R**. This is a lot weaker than the original penalty, which was about the _possible_ effects of **A**'s actions on **R**. 
In the case where decreases in power are also penalized, **A** needs to make sure that building **SA** does not reduce its ability to optimize **R**. This is not always possible without **A** retaining some control over **SA**, but giving up control was only necessary to prevent the construction of **SA** from increasing **A**'s potential to optimize **R**. It seems like it is often possible for **A** to finetune the amount of control it retains over **SA** such that **A**'s ability to optimize **R** barely changes while **SA** is able to do things **A** could not do unpenalized. 
In the most extreme example, **A** boxes itself into **SA** and does nothing in reality, but is counterfactually able to intervene on **SA**'s policy. If **A** is able to cleverly put constraints on its own future actions in other ways, no subagents are needed to avoid the penalty. While other impact penalties like &lt;@relative reachability@&gt;(@Measuring and avoiding side effects using relative reachability@) do allow for subagents to be constructed, they do not undermine the penalty for these.</v>
      </c>
      <c r="K1457" t="str">
        <f>IFERROR(__xludf.DUMMYFUNCTION("""COMPUTED_VALUE"""),"The article contains many useful examples in a grid world and I recommend reading it for a deeper understanding of the problem. The main problem with the attainable utility penalty seems to be the definition of power. While this has proven to be quite use"&amp;"ful in simple examples, it seems like agents in more complex environments would be able to disentangle their ability to optimize their own reward and the auxiliary rewards, for example by essentially committing to never optimize the auxiliary rewards beyo"&amp;"nd a certain threshold. Such an agent would still look very powerful from the outside and I don't see why power-reducing commitments would diminish the agent's incentive to take away power from others. So while the [catastrophic convergence conjecture](ht"&amp;"tps://www.lesswrong.com/posts/w6BtMqKRLxG9bNLMr/the-catastrophic-convergence-conjecture), which states that unaligned goals tend to lead to catastrophic optimal policies because of power-seeking incentives, still rings true, it seems like we need to look "&amp;"at power from our perspective instead of the agent's.
**Rohin's opinion:** I agree with Flo above: the issue is that AUP is measuring a proxy for our intuitive notion of power that falls apart under adversarial optimization. In particular, while it is no"&amp;"rmally reasonable to measure power by looking at the ability to optimize a set of auxiliary reward functions, this characterization no longer works when the agent can ensure that it won't be able to optimize those specific rewards, while still being able "&amp;"to optimize its primary reward. Subagents are a particularly clean way of demonstrating the problem.")</f>
        <v>The article contains many useful examples in a grid world and I recommend reading it for a deeper understanding of the problem. The main problem with the attainable utility penalty seems to be the definition of power. While this has proven to be quite useful in simple examples, it seems like agents in more complex environments would be able to disentangle their ability to optimize their own reward and the auxiliary rewards, for example by essentially committing to never optimize the auxiliary rewards beyond a certain threshold. Such an agent would still look very powerful from the outside and I don't see why power-reducing commitments would diminish the agent's incentive to take away power from others. So while the [catastrophic convergence conjecture](https://www.lesswrong.com/posts/w6BtMqKRLxG9bNLMr/the-catastrophic-convergence-conjecture), which states that unaligned goals tend to lead to catastrophic optimal policies because of power-seeking incentives, still rings true, it seems like we need to look at power from our perspective instead of the agent's.
**Rohin's opinion:** I agree with Flo above: the issue is that AUP is measuring a proxy for our intuitive notion of power that falls apart under adversarial optimization. In particular, while it is normally reasonable to measure power by looking at the ability to optimize a set of auxiliary reward functions, this characterization no longer works when the agent can ensure that it won't be able to optimize those specific rewards, while still being able to optimize its primary reward. Subagents are a particularly clean way of demonstrating the problem.</v>
      </c>
    </row>
    <row r="1458">
      <c r="A1458" t="str">
        <f>IFERROR(__xludf.DUMMYFUNCTION("""COMPUTED_VALUE"""),"Preventing bad behavior")</f>
        <v>Preventing bad behavior</v>
      </c>
      <c r="B1458" t="str">
        <f>IFERROR(__xludf.DUMMYFUNCTION("""COMPUTED_VALUE"""),"Highlight")</f>
        <v>Highlight</v>
      </c>
      <c r="C1458" s="3" t="str">
        <f>IFERROR(__xludf.DUMMYFUNCTION("""COMPUTED_VALUE"""),"Introducing SafeLife: Safety Benchmarks for Reinforcement Learning")</f>
        <v>Introducing SafeLife: Safety Benchmarks for Reinforcement Learning</v>
      </c>
      <c r="D1458" t="str">
        <f>IFERROR(__xludf.DUMMYFUNCTION("""COMPUTED_VALUE"""),"Carroll Wainwright, Peter Eckersley")</f>
        <v>Carroll Wainwright, Peter Eckersley</v>
      </c>
      <c r="E1458" t="str">
        <f>IFERROR(__xludf.DUMMYFUNCTION("""COMPUTED_VALUE"""),"2019 NeurIPS Safety and Robustness in Decision Making Workshop")</f>
        <v>2019 NeurIPS Safety and Robustness in Decision Making Workshop</v>
      </c>
      <c r="F1458">
        <f>IFERROR(__xludf.DUMMYFUNCTION("""COMPUTED_VALUE"""),2019.0)</f>
        <v>2019</v>
      </c>
      <c r="H1458" s="3" t="str">
        <f>IFERROR(__xludf.DUMMYFUNCTION("""COMPUTED_VALUE"""),"AN #91")</f>
        <v>AN #91</v>
      </c>
      <c r="I1458" t="str">
        <f>IFERROR(__xludf.DUMMYFUNCTION("""COMPUTED_VALUE"""),"Rohin")</f>
        <v>Rohin</v>
      </c>
      <c r="J1458" t="str">
        <f>IFERROR(__xludf.DUMMYFUNCTION("""COMPUTED_VALUE"""),"So far, techniques to avoid negative side effects have only been tested on &lt;@simple@&gt;(@Measuring and avoiding side effects using relative reachability@) &lt;@gridworlds@&gt;(@Penalizing Impact via Attainable Utility Preservation@) &lt;@or@&gt;(@Learning Preferences b"&amp;"y Looking at the World@) &lt;@hypotheticals@&gt;(@Test Cases for Impact Regularisation Methods@). SafeLife aims to provide a high-dimensional environment in which negative side effects are likely. It is based on Conway's Game of Life, which allows for complex e"&amp;"ffects arising out of relatively simple rules. An agent is given the ability to move, create life in an adjacent cell, or destroy life in an adjacent cell. With the specified reward function, the agent must build desired patterns, remove undesired pattern"&amp;"s, and navigate to the exit.
The challenge comes when there are additional ""neutral"" patterns in the environment. In this case, we want the agent to leave those patterns alone, and not disrupt them, even if doing so would allow it to complete the main "&amp;"task faster. The post shows several examples of agents attempting these levels. Vanilla RL agents don't avoid side effects at all, and so unsurprisingly they do quite badly. An agent with a naive impact measure that simply says to preserve the initial sta"&amp;"te can correctly solve levels where all of the ""neutral"" patterns are static, but has much more trouble when the existing patterns are dynamic (i.e. they oscillate over time).")</f>
        <v>So far, techniques to avoid negative side effects have only been tested on &lt;@simple@&gt;(@Measuring and avoiding side effects using relative reachability@) &lt;@gridworlds@&gt;(@Penalizing Impact via Attainable Utility Preservation@) &lt;@or@&gt;(@Learning Preferences by Looking at the World@) &lt;@hypotheticals@&gt;(@Test Cases for Impact Regularisation Methods@). SafeLife aims to provide a high-dimensional environment in which negative side effects are likely. It is based on Conway's Game of Life, which allows for complex effects arising out of relatively simple rules. An agent is given the ability to move, create life in an adjacent cell, or destroy life in an adjacent cell. With the specified reward function, the agent must build desired patterns, remove undesired patterns, and navigate to the exit.
The challenge comes when there are additional "neutral" patterns in the environment. In this case, we want the agent to leave those patterns alone, and not disrupt them, even if doing so would allow it to complete the main task faster. The post shows several examples of agents attempting these levels. Vanilla RL agents don't avoid side effects at all, and so unsurprisingly they do quite badly. An agent with a naive impact measure that simply says to preserve the initial state can correctly solve levels where all of the "neutral" patterns are static, but has much more trouble when the existing patterns are dynamic (i.e. they oscillate over time).</v>
      </c>
      <c r="K1458" t="str">
        <f>IFERROR(__xludf.DUMMYFUNCTION("""COMPUTED_VALUE"""),"I am a big fan of benchmarks; they seem to be a prerequisite to making a lot of quantitative progress (as opposed to more conceptual progress, which seems more possible to do without benchmarks). This benchmark seems particularly nice to me because the """&amp;"side effects"" which need to be avoided haven't been handcoded into the benchmark, but instead arise from some simple rules that produce complex effects.")</f>
        <v>I am a big fan of benchmarks; they seem to be a prerequisite to making a lot of quantitative progress (as opposed to more conceptual progress, which seems more possible to do without benchmarks). This benchmark seems particularly nice to me because the "side effects" which need to be avoided haven't been handcoded into the benchmark, but instead arise from some simple rules that produce complex effects.</v>
      </c>
      <c r="M1458" s="3" t="str">
        <f>IFERROR(__xludf.DUMMYFUNCTION("""COMPUTED_VALUE"""),"Paper: SafeLife 1.0: Exploring Side Effects in Complex Environments")</f>
        <v>Paper: SafeLife 1.0: Exploring Side Effects in Complex Environments</v>
      </c>
    </row>
    <row r="1459">
      <c r="A1459" t="str">
        <f>IFERROR(__xludf.DUMMYFUNCTION("""COMPUTED_VALUE"""),"Preventing bad behavior")</f>
        <v>Preventing bad behavior</v>
      </c>
      <c r="B1459" t="str">
        <f>IFERROR(__xludf.DUMMYFUNCTION("""COMPUTED_VALUE"""),"Highlight")</f>
        <v>Highlight</v>
      </c>
      <c r="C1459" s="3" t="str">
        <f>IFERROR(__xludf.DUMMYFUNCTION("""COMPUTED_VALUE"""),"Safety Gym")</f>
        <v>Safety Gym</v>
      </c>
      <c r="D1459" t="str">
        <f>IFERROR(__xludf.DUMMYFUNCTION("""COMPUTED_VALUE"""),"Alex Ray*, Joshua Achiam*, Dario Amodei")</f>
        <v>Alex Ray*, Joshua Achiam*, Dario Amodei</v>
      </c>
      <c r="E1459" t="str">
        <f>IFERROR(__xludf.DUMMYFUNCTION("""COMPUTED_VALUE"""),"OpenAI Blog")</f>
        <v>OpenAI Blog</v>
      </c>
      <c r="F1459">
        <f>IFERROR(__xludf.DUMMYFUNCTION("""COMPUTED_VALUE"""),2019.0)</f>
        <v>2019</v>
      </c>
      <c r="H1459" s="3" t="str">
        <f>IFERROR(__xludf.DUMMYFUNCTION("""COMPUTED_VALUE"""),"AN #76")</f>
        <v>AN #76</v>
      </c>
      <c r="I1459" t="str">
        <f>IFERROR(__xludf.DUMMYFUNCTION("""COMPUTED_VALUE"""),"Flo")</f>
        <v>Flo</v>
      </c>
      <c r="J1459" t="str">
        <f>IFERROR(__xludf.DUMMYFUNCTION("""COMPUTED_VALUE"""),"Safety gym contains a set of tasks with varying difficulty and complexity focused on safe exploration. In the tasks, one of three simulated robots has to move to a series of goals, push buttons or move a box to a target location, while avoiding costs incu"&amp;"rred by hitting randomized obstacles. This is formalized as a **constrained reinforcement learning** problem: in addition to maximizing the received reward, agents also have to respect constraints on a **safety cost function**. For example, we would like "&amp;"self-driving cars to learn how to navigate from A to B as quickly as possible while respecting traffic regulations and safety standards. While this could in principle be solved by adding the safety cost as a penalty to the reward, constrained RL gets arou"&amp;"nd the need to correctly quantify tradeoffs between safety and performance. 
Measures of safety are expected to become important criteria for evaluating algorithms' performance and the paper provides first benchmarks. Constrained policy optimization, a t"&amp;"rust-region algorithm that tries to prevent updates from breaking the constraint on the cost is compared to new lagrangian versions of TRPO/PPO that try to maximize the reward, minus an adaptive factor times the cost above the threshold. Interestingly, th"&amp;"e lagrangian methods incur a lot less safety cost during training than CPO and satisfy constraints more reliably at evaluation. This comes at the cost of reduced reward. For some of the tasks, none of the tested algorithms is able to gain nontrivial rewar"&amp;"ds while also satisfying the constraints. 
Lastly, the authors propose to use safety gym for investigating methods for learning cost functions from human inputs, which is important since misspecified costs could fail to prevent unsafe behaviour, and for "&amp;"transfer learning of constrained behaviour, which could help to deal with distributional shifts more safely.")</f>
        <v>Safety gym contains a set of tasks with varying difficulty and complexity focused on safe exploration. In the tasks, one of three simulated robots has to move to a series of goals, push buttons or move a box to a target location, while avoiding costs incurred by hitting randomized obstacles. This is formalized as a **constrained reinforcement learning** problem: in addition to maximizing the received reward, agents also have to respect constraints on a **safety cost function**. For example, we would like self-driving cars to learn how to navigate from A to B as quickly as possible while respecting traffic regulations and safety standards. While this could in principle be solved by adding the safety cost as a penalty to the reward, constrained RL gets around the need to correctly quantify tradeoffs between safety and performance. 
Measures of safety are expected to become important criteria for evaluating algorithms' performance and the paper provides first benchmarks. Constrained policy optimization, a trust-region algorithm that tries to prevent updates from breaking the constraint on the cost is compared to new lagrangian versions of TRPO/PPO that try to maximize the reward, minus an adaptive factor times the cost above the threshold. Interestingly, the lagrangian methods incur a lot less safety cost during training than CPO and satisfy constraints more reliably at evaluation. This comes at the cost of reduced reward. For some of the tasks, none of the tested algorithms is able to gain nontrivial rewards while also satisfying the constraints. 
Lastly, the authors propose to use safety gym for investigating methods for learning cost functions from human inputs, which is important since misspecified costs could fail to prevent unsafe behaviour, and for transfer learning of constrained behaviour, which could help to deal with distributional shifts more safely.</v>
      </c>
      <c r="K1459" t="str">
        <f>IFERROR(__xludf.DUMMYFUNCTION("""COMPUTED_VALUE"""),"I am quite excited about safety gym. I expect that the crisp formalization, as well as the availability of benchmarks and ready-made environments, combined with OpenAI's prestige, will facilitate broader engagement of the ML community with this branch of "&amp;"safe exploration.  As pointed out in the paper, switching from standard to constrained RL could merely shift the burden of correct specification from the reward to the cost and it is not obvious whether that helps with alignment. Still, I am somewhat opti"&amp;"mistic because it seems like humans often think in terms of constrained and fuzzy optimization problems rather than specific tradeoffs and constrained RL might capture our intuitions better than pure reward maximization. Lastly, I am curious whether an in"&amp;"creased focus on constrained RL will provide us with more concrete examples of ""nearest unblocked strategy"" failures, as the rising popularity of RL arguably did with more general examples of specification gaming.
**Rohin's opinion:** Note that at init"&amp;"ialization, the policy doesn't ""know"" about the constraints, and so it must violate constraints during exploration in order to figure out what the constraints even are. As a result, in this framework we could never get down to zero violations. A zero-vi"&amp;"olations guarantee would require some other source of information, typically some sort of overseer (see &lt;@delegative RL@&gt;(@Delegative Reinforcement Learning@), [avoiding catastrophes via human intervention](https://arxiv.org/abs/1707.05173), and [shieldin"&amp;"g](https://arxiv.org/abs/1708.08611)).
It's unclear to me how much this matters for long-term safety, though: usually I'm worried about an AI system that is plotting against us (because it has different goals than we do), as opposed to one that doesn't k"&amp;"now what we don't want it to do.")</f>
        <v>I am quite excited about safety gym. I expect that the crisp formalization, as well as the availability of benchmarks and ready-made environments, combined with OpenAI's prestige, will facilitate broader engagement of the ML community with this branch of safe exploration.  As pointed out in the paper, switching from standard to constrained RL could merely shift the burden of correct specification from the reward to the cost and it is not obvious whether that helps with alignment. Still, I am somewhat optimistic because it seems like humans often think in terms of constrained and fuzzy optimization problems rather than specific tradeoffs and constrained RL might capture our intuitions better than pure reward maximization. Lastly, I am curious whether an increased focus on constrained RL will provide us with more concrete examples of "nearest unblocked strategy" failures, as the rising popularity of RL arguably did with more general examples of specification gaming.
**Rohin's opinion:** Note that at initialization, the policy doesn't "know" about the constraints, and so it must violate constraints during exploration in order to figure out what the constraints even are. As a result, in this framework we could never get down to zero violations. A zero-violations guarantee would require some other source of information, typically some sort of overseer (see &lt;@delegative RL@&gt;(@Delegative Reinforcement Learning@), [avoiding catastrophes via human intervention](https://arxiv.org/abs/1707.05173), and [shielding](https://arxiv.org/abs/1708.08611)).
It's unclear to me how much this matters for long-term safety, though: usually I'm worried about an AI system that is plotting against us (because it has different goals than we do), as opposed to one that doesn't know what we don't want it to do.</v>
      </c>
      <c r="M1459" s="3" t="str">
        <f>IFERROR(__xludf.DUMMYFUNCTION("""COMPUTED_VALUE"""),"Github repo")</f>
        <v>Github repo</v>
      </c>
    </row>
    <row r="1460">
      <c r="A1460" t="str">
        <f>IFERROR(__xludf.DUMMYFUNCTION("""COMPUTED_VALUE"""),"Preventing bad behavior")</f>
        <v>Preventing bad behavior</v>
      </c>
      <c r="B1460" t="str">
        <f>IFERROR(__xludf.DUMMYFUNCTION("""COMPUTED_VALUE"""),"Highlight")</f>
        <v>Highlight</v>
      </c>
      <c r="C1460" s="3" t="str">
        <f>IFERROR(__xludf.DUMMYFUNCTION("""COMPUTED_VALUE"""),"Designing agent incentives to avoid reward tampering")</f>
        <v>Designing agent incentives to avoid reward tampering</v>
      </c>
      <c r="D1460" t="str">
        <f>IFERROR(__xludf.DUMMYFUNCTION("""COMPUTED_VALUE"""),"Tom Everitt, Ramana Kumar, and Marcus Hutter")</f>
        <v>Tom Everitt, Ramana Kumar, and Marcus Hutter</v>
      </c>
      <c r="E1460" t="str">
        <f>IFERROR(__xludf.DUMMYFUNCTION("""COMPUTED_VALUE"""),"DeepMind Safety Blog")</f>
        <v>DeepMind Safety Blog</v>
      </c>
      <c r="F1460">
        <f>IFERROR(__xludf.DUMMYFUNCTION("""COMPUTED_VALUE"""),2019.0)</f>
        <v>2019</v>
      </c>
      <c r="H1460" s="3" t="str">
        <f>IFERROR(__xludf.DUMMYFUNCTION("""COMPUTED_VALUE"""),"AN #71")</f>
        <v>AN #71</v>
      </c>
      <c r="I1460" t="str">
        <f>IFERROR(__xludf.DUMMYFUNCTION("""COMPUTED_VALUE"""),"Flo")</f>
        <v>Flo</v>
      </c>
      <c r="J1460" t="str">
        <f>IFERROR(__xludf.DUMMYFUNCTION("""COMPUTED_VALUE"""),"Reward tampering occurs when a reinforcement learning agent actively changes its reward function. The post uses &lt;@Causal Influence Diagrams@&gt;(@Modeling AGI Safety Frameworks with Causal Influence Diagrams@) to analyze the problem in a simple grid world wh"&amp;"ere an agent can easily change the definition of its reward. The proposed solution is **current-RF optimization**: Instead of maximizing the sum of rewards that would be given after each action (where the reward signal can dynamically change over time), t"&amp;"he agent searches for and executes a plan of actions that would maximize the current, unchanged reward signal. The agent would then not be incentivized to tamper with the reward function since the current reward is not maximized by such tampering. There a"&amp;"re two different flavours to this: time-inconsistency-aware agents account for future changes in their own behaviour due to modified reward signals, while TI-unaware agents ignore this in their planning. TI-aware agents have an incentive to preserve their"&amp;" reward signal and are therefore potentially incorrigible. ")</f>
        <v>Reward tampering occurs when a reinforcement learning agent actively changes its reward function. The post uses &lt;@Causal Influence Diagrams@&gt;(@Modeling AGI Safety Frameworks with Causal Influence Diagrams@) to analyze the problem in a simple grid world where an agent can easily change the definition of its reward. The proposed solution is **current-RF optimization**: Instead of maximizing the sum of rewards that would be given after each action (where the reward signal can dynamically change over time), the agent searches for and executes a plan of actions that would maximize the current, unchanged reward signal. The agent would then not be incentivized to tamper with the reward function since the current reward is not maximized by such tampering. There are two different flavours to this: time-inconsistency-aware agents account for future changes in their own behaviour due to modified reward signals, while TI-unaware agents ignore this in their planning. TI-aware agents have an incentive to preserve their reward signal and are therefore potentially incorrigible. </v>
      </c>
      <c r="K1460" t="str">
        <f>IFERROR(__xludf.DUMMYFUNCTION("""COMPUTED_VALUE"""),"I enjoyed this application of causal diagrams and think that similar detailed analyses of the interactions between failure modes like wireheading, instrumental goals like reward preservation and the specific implementation of an agent would be quite valua"&amp;"ble. That said, I am less excited about the feasibility of the proposed solution since it seems to require detailed knowledge of the agent about counterfactual rewards. Also, I expect the distinction between changes in the reward signal and changes in the"&amp;" state that happen to also affect the reward to be very fuzzy in real problems and current-RF optimization seems to require a very sharp boundary.
**Rohin's opinion:** I agree with Flo's opinion above, and I think the example in the blog post shows how t"&amp;"he concept ""what affects the reward"" is fuzzy: in their gridworld inspired by the game Baba Is You, they say that moving the word ""Reward"" down to make rocks rewarding is ""tampering"", whereas I would have called that a perfectly legitimate way to pl"&amp;"ay given my knowledge of Baba Is You.")</f>
        <v>I enjoyed this application of causal diagrams and think that similar detailed analyses of the interactions between failure modes like wireheading, instrumental goals like reward preservation and the specific implementation of an agent would be quite valuable. That said, I am less excited about the feasibility of the proposed solution since it seems to require detailed knowledge of the agent about counterfactual rewards. Also, I expect the distinction between changes in the reward signal and changes in the state that happen to also affect the reward to be very fuzzy in real problems and current-RF optimization seems to require a very sharp boundary.
**Rohin's opinion:** I agree with Flo's opinion above, and I think the example in the blog post shows how the concept "what affects the reward" is fuzzy: in their gridworld inspired by the game Baba Is You, they say that moving the word "Reward" down to make rocks rewarding is "tampering", whereas I would have called that a perfectly legitimate way to play given my knowledge of Baba Is You.</v>
      </c>
      <c r="M1460" s="3" t="str">
        <f>IFERROR(__xludf.DUMMYFUNCTION("""COMPUTED_VALUE"""),"Paper: Reward Tampering Problems and Solutions in Reinforcement Learning: A Causal Influence Diagram Perspective")</f>
        <v>Paper: Reward Tampering Problems and Solutions in Reinforcement Learning: A Causal Influence Diagram Perspective</v>
      </c>
    </row>
    <row r="1461">
      <c r="A1461" t="str">
        <f>IFERROR(__xludf.DUMMYFUNCTION("""COMPUTED_VALUE"""),"Preventing bad behavior")</f>
        <v>Preventing bad behavior</v>
      </c>
      <c r="B1461" t="str">
        <f>IFERROR(__xludf.DUMMYFUNCTION("""COMPUTED_VALUE"""),"Highlight")</f>
        <v>Highlight</v>
      </c>
      <c r="C1461" s="3" t="str">
        <f>IFERROR(__xludf.DUMMYFUNCTION("""COMPUTED_VALUE"""),"Reframing Impact - Part 1")</f>
        <v>Reframing Impact - Part 1</v>
      </c>
      <c r="D1461" t="str">
        <f>IFERROR(__xludf.DUMMYFUNCTION("""COMPUTED_VALUE"""),"Alex Turner")</f>
        <v>Alex Turner</v>
      </c>
      <c r="E1461" t="str">
        <f>IFERROR(__xludf.DUMMYFUNCTION("""COMPUTED_VALUE"""),"Alignment Forum")</f>
        <v>Alignment Forum</v>
      </c>
      <c r="F1461">
        <f>IFERROR(__xludf.DUMMYFUNCTION("""COMPUTED_VALUE"""),2019.0)</f>
        <v>2019</v>
      </c>
      <c r="H1461" s="3" t="str">
        <f>IFERROR(__xludf.DUMMYFUNCTION("""COMPUTED_VALUE"""),"AN #68")</f>
        <v>AN #68</v>
      </c>
      <c r="I1461" t="str">
        <f>IFERROR(__xludf.DUMMYFUNCTION("""COMPUTED_VALUE"""),"Rohin")</f>
        <v>Rohin</v>
      </c>
      <c r="J1461" t="str">
        <f>IFERROR(__xludf.DUMMYFUNCTION("""COMPUTED_VALUE"""),"_This sequence has exercises that **will be spoiled by this summary**, so take a moment to consider whether you want to read the sequence directly._
This first part of the sequence focuses on identifying what we mean by impact, presumably to help design "&amp;"an impact measure in the future. The punch line: an event is **impactful to an agent** if it changes the agent's **ability to get what it wants**. This is _Attainable Utility (AU) theory_. To quote the sequence: ""How could something possibly be a big dea"&amp;"l to us if it _doesn't_ change our ability to get what we want? How could something _not_ matter to us if it _does_ change our ability to get what we want?""
Some implications and other ideas:
- Impact is _relative to an agent_: a new church is more impa"&amp;"ctful if you are a Christian than if not.
- Some impact is _objective_: getting money is impactful to almost any agent that knows what money is.
- Impact is _relative to expectations_: A burglar robbing your home is impactful to you (you weren't expecting"&amp;" it) but not very impactful to the burglar (who had planned it out). However, if the burglar was unsure if the burglary would be successful, than success/failure would be impactful to them.
While this may seem obvious, &lt;@past work@&gt;(@Measuring and avoidi"&amp;"ng side effects using relative reachability@) has talked about impact as being caused by changes in state. While of course any impact does involve a change in state, this is the wrong level of abstraction to reason about impact: fundamentally, impact is r"&amp;"elated to what we care about.")</f>
        <v>_This sequence has exercises that **will be spoiled by this summary**, so take a moment to consider whether you want to read the sequence directly._
This first part of the sequence focuses on identifying what we mean by impact, presumably to help design an impact measure in the future. The punch line: an event is **impactful to an agent** if it changes the agent's **ability to get what it wants**. This is _Attainable Utility (AU) theory_. To quote the sequence: "How could something possibly be a big deal to us if it _doesn't_ change our ability to get what we want? How could something _not_ matter to us if it _does_ change our ability to get what we want?"
Some implications and other ideas:
- Impact is _relative to an agent_: a new church is more impactful if you are a Christian than if not.
- Some impact is _objective_: getting money is impactful to almost any agent that knows what money is.
- Impact is _relative to expectations_: A burglar robbing your home is impactful to you (you weren't expecting it) but not very impactful to the burglar (who had planned it out). However, if the burglar was unsure if the burglary would be successful, than success/failure would be impactful to them.
While this may seem obvious, &lt;@past work@&gt;(@Measuring and avoiding side effects using relative reachability@) has talked about impact as being caused by changes in state. While of course any impact does involve a change in state, this is the wrong level of abstraction to reason about impact: fundamentally, impact is related to what we care about.</v>
      </c>
      <c r="K1461" t="str">
        <f>IFERROR(__xludf.DUMMYFUNCTION("""COMPUTED_VALUE"""),"To quote myself from a discussion with Alex, ""you're looking at the optimal Q-function for the optimal utility function and saying 'this is a good measure of what we care about' and of course I agree with that"". (Although this is a bit inaccurate -- it'"&amp;"s not the optimal Q-function, but the Q-function relative to what we expect and know.)
This may be somewhat of a surprise, given that I've been [pessimistic](https://www.alignmentforum.org/posts/kCY9dYGLoThC3aG7w/best-reasons-for-pessimism-about-impact-o"&amp;"f-impact-measures#qAy66Wza8csAqWxiB) about impact measures in the past. However, my position is that it's difficult to simultaneously get three desiderata: value-agnosticism, avoidance of catastrophes, and usefulness. This characterization of impact is ve"&amp;"ry explicitly dependent on values, and so doesn't run afoul of that. (Also, it just makes intuitive sense.)
This part of the sequence did change some of my thinking on impact measures as well. In particular, the sequence makes a distinction between _obje"&amp;"ctive_ impact, which applies to all (or most) agents, and _value_ impact. This is similar to the idea of [convergent instrumental subgoals](https://selfawaresystems.files.wordpress.com/2008/01/ai_drives_final.pdf), and the idea that &lt;@large-scale multiage"&amp;"nt training@&gt;(@Emergent Tool Use from Multi-Agent Interaction@) can lead to generally useful behaviors that can be applied to novel tasks. It seems plausible to me that we could make value-agnostic impact measures that primarily penalize this objective im"&amp;"pact, and this might be enough to avoid catastrophes. This would prevent us from using AI for big, impactful tasks, but could allow for AI systems that pursue small, limited tasks. I suspect we'll see thoughts along these lines in the next parts of this s"&amp;"equence.")</f>
        <v>To quote myself from a discussion with Alex, "you're looking at the optimal Q-function for the optimal utility function and saying 'this is a good measure of what we care about' and of course I agree with that". (Although this is a bit inaccurate -- it's not the optimal Q-function, but the Q-function relative to what we expect and know.)
This may be somewhat of a surprise, given that I've been [pessimistic](https://www.alignmentforum.org/posts/kCY9dYGLoThC3aG7w/best-reasons-for-pessimism-about-impact-of-impact-measures#qAy66Wza8csAqWxiB) about impact measures in the past. However, my position is that it's difficult to simultaneously get three desiderata: value-agnosticism, avoidance of catastrophes, and usefulness. This characterization of impact is very explicitly dependent on values, and so doesn't run afoul of that. (Also, it just makes intuitive sense.)
This part of the sequence did change some of my thinking on impact measures as well. In particular, the sequence makes a distinction between _objective_ impact, which applies to all (or most) agents, and _value_ impact. This is similar to the idea of [convergent instrumental subgoals](https://selfawaresystems.files.wordpress.com/2008/01/ai_drives_final.pdf), and the idea that &lt;@large-scale multiagent training@&gt;(@Emergent Tool Use from Multi-Agent Interaction@) can lead to generally useful behaviors that can be applied to novel tasks. It seems plausible to me that we could make value-agnostic impact measures that primarily penalize this objective impact, and this might be enough to avoid catastrophes. This would prevent us from using AI for big, impactful tasks, but could allow for AI systems that pursue small, limited tasks. I suspect we'll see thoughts along these lines in the next parts of this sequence.</v>
      </c>
    </row>
    <row r="1462">
      <c r="A1462" t="str">
        <f>IFERROR(__xludf.DUMMYFUNCTION("""COMPUTED_VALUE"""),"Preventing bad behavior")</f>
        <v>Preventing bad behavior</v>
      </c>
      <c r="B1462" t="str">
        <f>IFERROR(__xludf.DUMMYFUNCTION("""COMPUTED_VALUE"""),"Highlight")</f>
        <v>Highlight</v>
      </c>
      <c r="C1462" s="3" t="str">
        <f>IFERROR(__xludf.DUMMYFUNCTION("""COMPUTED_VALUE"""),"Asymptotically Benign AGI")</f>
        <v>Asymptotically Benign AGI</v>
      </c>
      <c r="D1462" t="str">
        <f>IFERROR(__xludf.DUMMYFUNCTION("""COMPUTED_VALUE"""),"Michael Cohen")</f>
        <v>Michael Cohen</v>
      </c>
      <c r="E1462" t="str">
        <f>IFERROR(__xludf.DUMMYFUNCTION("""COMPUTED_VALUE"""),"Alignment Forum")</f>
        <v>Alignment Forum</v>
      </c>
      <c r="F1462">
        <f>IFERROR(__xludf.DUMMYFUNCTION("""COMPUTED_VALUE"""),2019.0)</f>
        <v>2019</v>
      </c>
      <c r="H1462" s="3" t="str">
        <f>IFERROR(__xludf.DUMMYFUNCTION("""COMPUTED_VALUE"""),"AN #54")</f>
        <v>AN #54</v>
      </c>
      <c r="I1462" t="str">
        <f>IFERROR(__xludf.DUMMYFUNCTION("""COMPUTED_VALUE"""),"Rohin")</f>
        <v>Rohin</v>
      </c>
      <c r="J1462" t="str">
        <f>IFERROR(__xludf.DUMMYFUNCTION("""COMPUTED_VALUE"""),"I'm a bit out of my depth with this summary, but let's give it a shot anyway. The setting: we are not worried about how much compute we use (except that it should be finite), and we would like to build a powerful AI system that can help us with tasks but "&amp;"does not try to influence the world. We'll assume that we can construct a box from which no signals can pass through, except by pressing a specific button that opens a door.
First, the simple version of BoMAI (Boxed Myopic AI). We'll put the AI system **"&amp;"and the operator** in the box, and the operator and the AI system can talk via text message, and the operator can enter rewards. Each episode has a maximum length (hence myopic), and if the operator ends the episode early, all future rewards are set to ze"&amp;"ro. BoMAI maximizes episodic reward in a manner similar to [AIXI](http://www.hutter1.net/ai/). It has a distribution (initially a speed prior) over all possible time-bounded Turing Machines as possible models that predict observations and rewards. BoMAI u"&amp;"ses the maximum a posteriori (MAP) Turing Machine to predict future observations and rewards given actions, searches over all possible sequences of actions for the best one, and executes the first action of that sequence. (See [this comment](https://www.a"&amp;"lignmentforum.org/posts/pZhDWxDmwzuSwLjou/asymptotically-benign-agi#ToDYj27wQZWHqWnH6) and its parents for the reason to use the MAP model.)
Intuitively, BoMAI has no incentive to affect anything outside the box: information can only leave the box if the"&amp;" episode ends, but if that happens, reward is guaranteed to be exactly zero. It might deceive the operator into giving it high reward, but any such deception will only _incidentally_ affect the outside world, it hasn't been _optimized_ to cause any such e"&amp;"ffect. However, **this is all assuming that the MAP world model is accurate**, which may not be true.
Obviously at initialization our world model will not be accurate: we need to explore. Rather than using something like epsilon-exploration, BoMAI delega"&amp;"tes to a human explorer for safety, and reduces exploration over time.
More insidiously, a world model could simulate the world for a year, and then report the value in the computer's memory for ""the reward from a year ago"". This will usually be a perf"&amp;"ect prediction of the reward the operator will give, but if BoMAI tries to _optimize_ for it, it has an incentive to try to e.g. cause the operator to build an unboxed AI whose goal is to change BoMAI's memory cell to the maximum value.
These sorts of ba"&amp;"d plans can only happen finitely often. If BoMAI executes such a plan, it will then get the actual reward from the operator, see that it differs from the predicted reward, and update against the world model for making a bad prediction. Eventually the corr"&amp;"ect model will become more likely. But ideally this sort of thing wouldn't happen at all.
Intuitively, such world models would have to simulate the world past the end of the episode, incurring a speed penalty relative to the correct model. However, they "&amp;"could use that simulation to save on the computation needed for future predictions. To make sure that they do incur a speed penalty, we need to make it so that sometimes their simulations are wrong and can't be reused. So, at the end of each episode, we s"&amp;"ample from a source of true randomness, and use that to determine whether or not the operator is given a drug that causes retrograde amnesia. In that case, world models that simulate the future will sometimes be wrong about how that decision plays out, an"&amp;"d any simulation they did in the wrong branch is useless and leads to a speed penalty.
With a few non-trivial assumptions, we can prove that asymptotically, BoMAI will do at least as well as the human explorer at accumulating reward, and the MAP world mo"&amp;"del's rewards do not incentivize BoMAI to affect the outside world.")</f>
        <v>I'm a bit out of my depth with this summary, but let's give it a shot anyway. The setting: we are not worried about how much compute we use (except that it should be finite), and we would like to build a powerful AI system that can help us with tasks but does not try to influence the world. We'll assume that we can construct a box from which no signals can pass through, except by pressing a specific button that opens a door.
First, the simple version of BoMAI (Boxed Myopic AI). We'll put the AI system **and the operator** in the box, and the operator and the AI system can talk via text message, and the operator can enter rewards. Each episode has a maximum length (hence myopic), and if the operator ends the episode early, all future rewards are set to zero. BoMAI maximizes episodic reward in a manner similar to [AIXI](http://www.hutter1.net/ai/). It has a distribution (initially a speed prior) over all possible time-bounded Turing Machines as possible models that predict observations and rewards. BoMAI uses the maximum a posteriori (MAP) Turing Machine to predict future observations and rewards given actions, searches over all possible sequences of actions for the best one, and executes the first action of that sequence. (See [this comment](https://www.alignmentforum.org/posts/pZhDWxDmwzuSwLjou/asymptotically-benign-agi#ToDYj27wQZWHqWnH6) and its parents for the reason to use the MAP model.)
Intuitively, BoMAI has no incentive to affect anything outside the box: information can only leave the box if the episode ends, but if that happens, reward is guaranteed to be exactly zero. It might deceive the operator into giving it high reward, but any such deception will only _incidentally_ affect the outside world, it hasn't been _optimized_ to cause any such effect. However, **this is all assuming that the MAP world model is accurate**, which may not be true.
Obviously at initialization our world model will not be accurate: we need to explore. Rather than using something like epsilon-exploration, BoMAI delegates to a human explorer for safety, and reduces exploration over time.
More insidiously, a world model could simulate the world for a year, and then report the value in the computer's memory for "the reward from a year ago". This will usually be a perfect prediction of the reward the operator will give, but if BoMAI tries to _optimize_ for it, it has an incentive to try to e.g. cause the operator to build an unboxed AI whose goal is to change BoMAI's memory cell to the maximum value.
These sorts of bad plans can only happen finitely often. If BoMAI executes such a plan, it will then get the actual reward from the operator, see that it differs from the predicted reward, and update against the world model for making a bad prediction. Eventually the correct model will become more likely. But ideally this sort of thing wouldn't happen at all.
Intuitively, such world models would have to simulate the world past the end of the episode, incurring a speed penalty relative to the correct model. However, they could use that simulation to save on the computation needed for future predictions. To make sure that they do incur a speed penalty, we need to make it so that sometimes their simulations are wrong and can't be reused. So, at the end of each episode, we sample from a source of true randomness, and use that to determine whether or not the operator is given a drug that causes retrograde amnesia. In that case, world models that simulate the future will sometimes be wrong about how that decision plays out, and any simulation they did in the wrong branch is useless and leads to a speed penalty.
With a few non-trivial assumptions, we can prove that asymptotically, BoMAI will do at least as well as the human explorer at accumulating reward, and the MAP world model's rewards do not incentivize BoMAI to affect the outside world.</v>
      </c>
      <c r="K1462" t="str">
        <f>IFERROR(__xludf.DUMMYFUNCTION("""COMPUTED_VALUE"""),"I think the idea of putting the operator in the box with the AI system is very interesting: with previous attempts at boxing, the human operator talking to the AI system was an obvious glaring hole in the box. In this setting, the only information escapin"&amp;"g from the box is the fact that the operator has not yet chosen to end the episode.
I am generally skeptical of intuitive reasoning about what can or can't be done by Turing Machines using extreme amounts of computation. There are _lots_ of comments on t"&amp;"he post that debate specifics of this. This usually cashes out as a debate about the assumptions in the proof. But it's also worth noting that the theorem is asymptotic, and allows for arbitrarily bad behavior early on. We might still expect good behavior"&amp;" early on for the reasons laid out in the proof, but it's not implied by the theorem, even if the assumptions hold.")</f>
        <v>I think the idea of putting the operator in the box with the AI system is very interesting: with previous attempts at boxing, the human operator talking to the AI system was an obvious glaring hole in the box. In this setting, the only information escaping from the box is the fact that the operator has not yet chosen to end the episode.
I am generally skeptical of intuitive reasoning about what can or can't be done by Turing Machines using extreme amounts of computation. There are _lots_ of comments on the post that debate specifics of this. This usually cashes out as a debate about the assumptions in the proof. But it's also worth noting that the theorem is asymptotic, and allows for arbitrarily bad behavior early on. We might still expect good behavior early on for the reasons laid out in the proof, but it's not implied by the theorem, even if the assumptions hold.</v>
      </c>
      <c r="M1462" s="3" t="str">
        <f>IFERROR(__xludf.DUMMYFUNCTION("""COMPUTED_VALUE"""),"Paper: Asymptotically Unambitious Artificial General Intelligence")</f>
        <v>Paper: Asymptotically Unambitious Artificial General Intelligence</v>
      </c>
    </row>
    <row r="1463">
      <c r="A1463" t="str">
        <f>IFERROR(__xludf.DUMMYFUNCTION("""COMPUTED_VALUE"""),"Preventing bad behavior")</f>
        <v>Preventing bad behavior</v>
      </c>
      <c r="B1463" t="str">
        <f>IFERROR(__xludf.DUMMYFUNCTION("""COMPUTED_VALUE"""),"Highlight")</f>
        <v>Highlight</v>
      </c>
      <c r="C1463" s="3" t="str">
        <f>IFERROR(__xludf.DUMMYFUNCTION("""COMPUTED_VALUE"""),"Towards a New Impact Measure")</f>
        <v>Towards a New Impact Measure</v>
      </c>
      <c r="D1463" t="str">
        <f>IFERROR(__xludf.DUMMYFUNCTION("""COMPUTED_VALUE"""),"Alex Turner")</f>
        <v>Alex Turner</v>
      </c>
      <c r="E1463" t="str">
        <f>IFERROR(__xludf.DUMMYFUNCTION("""COMPUTED_VALUE"""),"Alignment Forum")</f>
        <v>Alignment Forum</v>
      </c>
      <c r="F1463">
        <f>IFERROR(__xludf.DUMMYFUNCTION("""COMPUTED_VALUE"""),2018.0)</f>
        <v>2018</v>
      </c>
      <c r="H1463" s="3" t="str">
        <f>IFERROR(__xludf.DUMMYFUNCTION("""COMPUTED_VALUE"""),"AN #25")</f>
        <v>AN #25</v>
      </c>
      <c r="I1463" t="str">
        <f>IFERROR(__xludf.DUMMYFUNCTION("""COMPUTED_VALUE"""),"Rohin")</f>
        <v>Rohin</v>
      </c>
      <c r="J1463" t="str">
        <f>IFERROR(__xludf.DUMMYFUNCTION("""COMPUTED_VALUE"""),"This post introduces a new idea for an impact measure. It defines impact as change in our ability to achieve goals. So, to measure impact, we can simply measure how much easier or harder it is to achieve goals -- this gives us Attainable Utility Preservat"&amp;"ion (AUP). This will penalize actions that restrict our ability to reach particular outcomes (opportunity cost) as well as ones that enlarge them (instrumental convergence).
Alex then attempts to formalize this. For every action, the impact of that actio"&amp;"n is the absolute difference between attainable utility after the action, and attainable utility if the agent takes no action. Here, attainable utility is calculated as the sum of expected Q-values (over m steps) of every computable utility function (weig"&amp;"hted by 2^{-length of description}). For a plan, we sum up the penalties for each action in the plan. (This is not entirely precise, but you'll have to read the post for the math.) We can then choose one canonical action, calculate its impact, and allow t"&amp;"he agent to have impact equivalent to at most N of these actions.
He then shows some examples, both theoretical and empirical. The empirical ones are done on the suite of examples from AI safety gridworlds used to test relative reachability. Since the ut"&amp;"ility functions here are indicators for each possible state, AUP is penalizing changes in your ability to reach states. Since you can never increase the number of states you reach, you are penalizing decrease in ability to reach states, which is exactly w"&amp;"hat relative reachability does, so it's not surprising that it succeeds on the environments where relative reachability succeeded. It does have the additional feature of handling shutdowns, which relative reachability doesn't do.
Since changes in probabi"&amp;"lity of shutdown drastically change the attainable utility, any such changes will be heavily penalized. We can use this dynamic to our advantage, for example by committing to shut down the agent if we see it doing something we disapprove of.")</f>
        <v>This post introduces a new idea for an impact measure. It defines impact as change in our ability to achieve goals. So, to measure impact, we can simply measure how much easier or harder it is to achieve goals -- this gives us Attainable Utility Preservation (AUP). This will penalize actions that restrict our ability to reach particular outcomes (opportunity cost) as well as ones that enlarge them (instrumental convergence).
Alex then attempts to formalize this. For every action, the impact of that action is the absolute difference between attainable utility after the action, and attainable utility if the agent takes no action. Here, attainable utility is calculated as the sum of expected Q-values (over m steps) of every computable utility function (weighted by 2^{-length of description}). For a plan, we sum up the penalties for each action in the plan. (This is not entirely precise, but you'll have to read the post for the math.) We can then choose one canonical action, calculate its impact, and allow the agent to have impact equivalent to at most N of these actions.
He then shows some examples, both theoretical and empirical. The empirical ones are done on the suite of examples from AI safety gridworlds used to test relative reachability. Since the utility functions here are indicators for each possible state, AUP is penalizing changes in your ability to reach states. Since you can never increase the number of states you reach, you are penalizing decrease in ability to reach states, which is exactly what relative reachability does, so it's not surprising that it succeeds on the environments where relative reachability succeeded. It does have the additional feature of handling shutdowns, which relative reachability doesn't do.
Since changes in probability of shutdown drastically change the attainable utility, any such changes will be heavily penalized. We can use this dynamic to our advantage, for example by committing to shut down the agent if we see it doing something we disapprove of.</v>
      </c>
      <c r="K1463" t="str">
        <f>IFERROR(__xludf.DUMMYFUNCTION("""COMPUTED_VALUE"""),"This is quite a big improvement for impact measures -- it meets many desiderata that weren't satisfied simultaneously before. My main critique is that it's not clear to me that an AUP-agent would be able to do anything useful. For example, perhaps the act"&amp;"ion used to define the impact unit is well-understood and accepted, but any other action makes humans a little bit more likely to turn off the agent. Then the agent won't be able to take those actions. Generally, I think that it's hard to satisfy the conj"&amp;"unction of three desiderata -- objectivity (no dependence on values), safety (preventing any catastrophic plans) and non-trivialness (the AI is still able to do some useful things). There's a lot more discussion in the comments.")</f>
        <v>This is quite a big improvement for impact measures -- it meets many desiderata that weren't satisfied simultaneously before. My main critique is that it's not clear to me that an AUP-agent would be able to do anything useful. For example, perhaps the action used to define the impact unit is well-understood and accepted, but any other action makes humans a little bit more likely to turn off the agent. Then the agent won't be able to take those actions. Generally, I think that it's hard to satisfy the conjunction of three desiderata -- objectivity (no dependence on values), safety (preventing any catastrophic plans) and non-trivialness (the AI is still able to do some useful things). There's a lot more discussion in the comments.</v>
      </c>
    </row>
    <row r="1464">
      <c r="A1464" t="str">
        <f>IFERROR(__xludf.DUMMYFUNCTION("""COMPUTED_VALUE"""),"Preventing bad behavior")</f>
        <v>Preventing bad behavior</v>
      </c>
      <c r="B1464" t="str">
        <f>IFERROR(__xludf.DUMMYFUNCTION("""COMPUTED_VALUE"""),"Highlight")</f>
        <v>Highlight</v>
      </c>
      <c r="C1464" s="3" t="str">
        <f>IFERROR(__xludf.DUMMYFUNCTION("""COMPUTED_VALUE"""),"Impact Measure Desiderata")</f>
        <v>Impact Measure Desiderata</v>
      </c>
      <c r="D1464" t="str">
        <f>IFERROR(__xludf.DUMMYFUNCTION("""COMPUTED_VALUE"""),"Alex Turner")</f>
        <v>Alex Turner</v>
      </c>
      <c r="E1464" t="str">
        <f>IFERROR(__xludf.DUMMYFUNCTION("""COMPUTED_VALUE"""),"Alignment Forum")</f>
        <v>Alignment Forum</v>
      </c>
      <c r="F1464">
        <f>IFERROR(__xludf.DUMMYFUNCTION("""COMPUTED_VALUE"""),2018.0)</f>
        <v>2018</v>
      </c>
      <c r="H1464" s="3" t="str">
        <f>IFERROR(__xludf.DUMMYFUNCTION("""COMPUTED_VALUE"""),"AN #23")</f>
        <v>AN #23</v>
      </c>
      <c r="I1464" t="str">
        <f>IFERROR(__xludf.DUMMYFUNCTION("""COMPUTED_VALUE"""),"Rohin")</f>
        <v>Rohin</v>
      </c>
      <c r="J1464" t="str">
        <f>IFERROR(__xludf.DUMMYFUNCTION("""COMPUTED_VALUE"""),"This post gives a long list of desiderata that we might want an impact measure to satisfy. It considers the case where the impact measure is a second level of safety, that is supposed to protect us if we don't succeed at value alignment. This means that w"&amp;"e want our impact measure to be agnostic to human values. We'd also like it to be agnostic to goals, environments, and representations of the environment. There are several other desiderata -- read the post for more details, my summary would just be repea"&amp;"ting it.")</f>
        <v>This post gives a long list of desiderata that we might want an impact measure to satisfy. It considers the case where the impact measure is a second level of safety, that is supposed to protect us if we don't succeed at value alignment. This means that we want our impact measure to be agnostic to human values. We'd also like it to be agnostic to goals, environments, and representations of the environment. There are several other desiderata -- read the post for more details, my summary would just be repeating it.</v>
      </c>
      <c r="K1464" t="str">
        <f>IFERROR(__xludf.DUMMYFUNCTION("""COMPUTED_VALUE"""),"These seem like generally good desiderata, though I don't know how to formalize them to the point that we can actually check with reasonable certainty whether a proposed impact measure meets these desiderata.
I have one additional desideratum from impact"&amp;" measures. The impact measure alone should disallow all extinction scenarios, while still allowing the AI system to do most of the things we use AI for today. This is rather weak, really I'd want AI do more tasks than are done today. However, even in this"&amp;" weak form, I doubt that we can satisfy this desideratum if we must also be agnostic to values, goals, representations and environments. We could have valued human superiority at game-playing very highly, in which case building AlphaGo would be catastroph"&amp;"ic. How can an impact measure allow that without being at least some knowledge about values?")</f>
        <v>These seem like generally good desiderata, though I don't know how to formalize them to the point that we can actually check with reasonable certainty whether a proposed impact measure meets these desiderata.
I have one additional desideratum from impact measures. The impact measure alone should disallow all extinction scenarios, while still allowing the AI system to do most of the things we use AI for today. This is rather weak, really I'd want AI do more tasks than are done today. However, even in this weak form, I doubt that we can satisfy this desideratum if we must also be agnostic to values, goals, representations and environments. We could have valued human superiority at game-playing very highly, in which case building AlphaGo would be catastrophic. How can an impact measure allow that without being at least some knowledge about values?</v>
      </c>
    </row>
    <row r="1465">
      <c r="A1465" t="str">
        <f>IFERROR(__xludf.DUMMYFUNCTION("""COMPUTED_VALUE"""),"Preventing bad behavior")</f>
        <v>Preventing bad behavior</v>
      </c>
      <c r="B1465" t="str">
        <f>IFERROR(__xludf.DUMMYFUNCTION("""COMPUTED_VALUE"""),"Highlight")</f>
        <v>Highlight</v>
      </c>
      <c r="C1465" s="3" t="str">
        <f>IFERROR(__xludf.DUMMYFUNCTION("""COMPUTED_VALUE"""),"Safety-first AI for autonomous data centre cooling and industrial control")</f>
        <v>Safety-first AI for autonomous data centre cooling and industrial control</v>
      </c>
      <c r="D1465" t="str">
        <f>IFERROR(__xludf.DUMMYFUNCTION("""COMPUTED_VALUE"""),"Chris Gamble and Jim Gao")</f>
        <v>Chris Gamble and Jim Gao</v>
      </c>
      <c r="E1465" t="str">
        <f>IFERROR(__xludf.DUMMYFUNCTION("""COMPUTED_VALUE"""),"DeepMind Blog")</f>
        <v>DeepMind Blog</v>
      </c>
      <c r="F1465">
        <f>IFERROR(__xludf.DUMMYFUNCTION("""COMPUTED_VALUE"""),2018.0)</f>
        <v>2018</v>
      </c>
      <c r="H1465" s="3" t="str">
        <f>IFERROR(__xludf.DUMMYFUNCTION("""COMPUTED_VALUE"""),"AN #21")</f>
        <v>AN #21</v>
      </c>
      <c r="I1465" t="str">
        <f>IFERROR(__xludf.DUMMYFUNCTION("""COMPUTED_VALUE"""),"Rohin")</f>
        <v>Rohin</v>
      </c>
      <c r="J1465" t="str">
        <f>IFERROR(__xludf.DUMMYFUNCTION("""COMPUTED_VALUE"""),"Two years ago, DeepMind built an AI recommendation system that provided suggestions on how best to cool Google's data centers, leading to efficiency gains. Nine months ago, the AI was given autonomous control to take actions directly, rather than going th"&amp;"rough human operators, and it has been improving ever since, going from 12% savings at deployment to 30% now.
Of course, such a system must be made extremely reliable, since a failure could result in Google's data centers going down. They implemented sev"&amp;"eral safety measures. They throw out any actions that the AI is not confident about. All actions are verified against a set of hand-coded safety rules, both when the actions are generated in the cloud, and at each local data center, for reliability throug"&amp;"h redundancy. There are human operators monitoring the AI to make sure nothing goes wrong, who can take over control whenever they want to. There is also an automated system that will fall back to the original system of heuristics and rules if the safety "&amp;"conditions are ever violated.")</f>
        <v>Two years ago, DeepMind built an AI recommendation system that provided suggestions on how best to cool Google's data centers, leading to efficiency gains. Nine months ago, the AI was given autonomous control to take actions directly, rather than going through human operators, and it has been improving ever since, going from 12% savings at deployment to 30% now.
Of course, such a system must be made extremely reliable, since a failure could result in Google's data centers going down. They implemented several safety measures. They throw out any actions that the AI is not confident about. All actions are verified against a set of hand-coded safety rules, both when the actions are generated in the cloud, and at each local data center, for reliability through redundancy. There are human operators monitoring the AI to make sure nothing goes wrong, who can take over control whenever they want to. There is also an automated system that will fall back to the original system of heuristics and rules if the safety conditions are ever violated.</v>
      </c>
      <c r="K1465" t="str">
        <f>IFERROR(__xludf.DUMMYFUNCTION("""COMPUTED_VALUE"""),"This is a remarkable number of safety precautions, though in hindsight it makes total sense given how bad a failure could be. None of the precautions would stop a superintelligent agent in the classical sense (that is, the sort of superintelligent agent i"&amp;"n paperclip maximizer stories), but they seem like a really good set of precautions for anything task-based. I am curious how they chose the threshold for when to discard actions that the AI is not confident enough in (especially since AI uncertainty esti"&amp;"mates are typically not calibrated), and how they developed the safety rules for verification (since that is a form of specification, which is often easy to get wrong).")</f>
        <v>This is a remarkable number of safety precautions, though in hindsight it makes total sense given how bad a failure could be. None of the precautions would stop a superintelligent agent in the classical sense (that is, the sort of superintelligent agent in paperclip maximizer stories), but they seem like a really good set of precautions for anything task-based. I am curious how they chose the threshold for when to discard actions that the AI is not confident enough in (especially since AI uncertainty estimates are typically not calibrated), and how they developed the safety rules for verification (since that is a form of specification, which is often easy to get wrong).</v>
      </c>
    </row>
    <row r="1466">
      <c r="A1466" t="str">
        <f>IFERROR(__xludf.DUMMYFUNCTION("""COMPUTED_VALUE"""),"Preventing bad behavior")</f>
        <v>Preventing bad behavior</v>
      </c>
      <c r="B1466" t="str">
        <f>IFERROR(__xludf.DUMMYFUNCTION("""COMPUTED_VALUE"""),"Highlight")</f>
        <v>Highlight</v>
      </c>
      <c r="C1466" s="3" t="str">
        <f>IFERROR(__xludf.DUMMYFUNCTION("""COMPUTED_VALUE"""),"Avoiding Tampering Incentives in Deep RL via Decoupled Approval")</f>
        <v>Avoiding Tampering Incentives in Deep RL via Decoupled Approval</v>
      </c>
      <c r="D1466" t="str">
        <f>IFERROR(__xludf.DUMMYFUNCTION("""COMPUTED_VALUE"""),"Ramana Kumar*, Jonathan Uesato*, Victoria Krakovna, Tom Everitt, Richard Ngo, Shane Legg")</f>
        <v>Ramana Kumar*, Jonathan Uesato*, Victoria Krakovna, Tom Everitt, Richard Ngo, Shane Legg</v>
      </c>
      <c r="E1466" t="str">
        <f>IFERROR(__xludf.DUMMYFUNCTION("""COMPUTED_VALUE"""),"[Avoiding Tampering Incentives in Deep RL via Decoupled Approval](https://arxiv.org/abs/2011.08827)")</f>
        <v>[Avoiding Tampering Incentives in Deep RL via Decoupled Approval](https://arxiv.org/abs/2011.08827)</v>
      </c>
      <c r="H1466" s="3" t="str">
        <f>IFERROR(__xludf.DUMMYFUNCTION("""COMPUTED_VALUE"""),"AN #126")</f>
        <v>AN #126</v>
      </c>
      <c r="I1466" t="str">
        <f>IFERROR(__xludf.DUMMYFUNCTION("""COMPUTED_VALUE"""),"Rohin")</f>
        <v>Rohin</v>
      </c>
      <c r="J1466" t="str">
        <f>IFERROR(__xludf.DUMMYFUNCTION("""COMPUTED_VALUE"""),"&lt;@Current-RF optimization@&gt;(@Designing agent incentives to avoid reward tampering@) shows that to avoid tampering with the reward, we can have an agent that evaluates plans it makes according to the current reward function, rather than the reward after ta"&amp;"mpering, and this is sufficient to remove any incentive for tampering. However, that work required the ability to evaluate actions and/or plans using the ""current reward"". How might we implement this in deep RL algorithms in practice?
Let's take a simp"&amp;"le example: suppose for an autonomous personal assistant, every once in a while we query the user for their satisfaction, write it to a file, and then use that file to train the assistant. Then with normal RL the assistant is incentivized to ""tamper"" by"&amp;" rewriting the contents of the file to show maximal satisfaction. In this context, current-RF optimization would say that _before_ rewriting the contents, the agent should ask the user whether that's a good idea. However, we can't ask the user about every"&amp;" action, and our agent does need to take some actions in order to explore the environment.
The authors formalize this as a Corrupted Feedback MDP, in which the feedback which the agent gets is corrupted in some states. They assume that the human gives _a"&amp;"pproval_ feedback, which they formalize as the advantage function. (The advantage is the long-term value of the queried action relative to the average action for the current state.) This ensures that the agent only needs to myopically select the action wi"&amp;"th highest approval, which means we can run any old deep RL algorithm with the discount set to zero. However, this doesn't solve the problem, because with deep RL the feedback is given _after_ the action is executed, at which point it has already been cor"&amp;"rupted (in our example, the file already claims the user is maximally satisfied).
To fix this, the authors introduce _decoupling_, in which the action executed by the agent and the action on which feedback is given are sampled independently. The idea is "&amp;"that even if the executed action leads to corruption, the corrupted update is equally likely to affect every action, and so in expectation it cancels out. (This requires the _uniform corruption_ assumption, which states that the corruption is _added_ to t"&amp;"he feedback, and is _independent_ of the queried action, though it can depend on the executed action.) They derive decoupled approval versions of policy gradients and Q-learning, and prove that the local updates made by these algorithms move towards the a"&amp;"pproval maximizing policy (in expectation).
They then evaluate the algorithms on a new environment, REALab, in which the agent must collect apples. However, in this environment, the feedback variable is represented _in the environment_ by ""registers"". "&amp;"The agent can thus tamper with the feedback by interacting with these registers. The experiments show that while standard RL learns to tamper, DA-PG only tampers ""accidentally"" (i.e. to the same extent that is done by a policy trained with uncorrupted f"&amp;"eedback). DA-QL tampers a bit more often, but this could just be due to noise.")</f>
        <v>&lt;@Current-RF optimization@&gt;(@Designing agent incentives to avoid reward tampering@) shows that to avoid tampering with the reward, we can have an agent that evaluates plans it makes according to the current reward function, rather than the reward after tampering, and this is sufficient to remove any incentive for tampering. However, that work required the ability to evaluate actions and/or plans using the "current reward". How might we implement this in deep RL algorithms in practice?
Let's take a simple example: suppose for an autonomous personal assistant, every once in a while we query the user for their satisfaction, write it to a file, and then use that file to train the assistant. Then with normal RL the assistant is incentivized to "tamper" by rewriting the contents of the file to show maximal satisfaction. In this context, current-RF optimization would say that _before_ rewriting the contents, the agent should ask the user whether that's a good idea. However, we can't ask the user about every action, and our agent does need to take some actions in order to explore the environment.
The authors formalize this as a Corrupted Feedback MDP, in which the feedback which the agent gets is corrupted in some states. They assume that the human gives _approval_ feedback, which they formalize as the advantage function. (The advantage is the long-term value of the queried action relative to the average action for the current state.) This ensures that the agent only needs to myopically select the action with highest approval, which means we can run any old deep RL algorithm with the discount set to zero. However, this doesn't solve the problem, because with deep RL the feedback is given _after_ the action is executed, at which point it has already been corrupted (in our example, the file already claims the user is maximally satisfied).
To fix this, the authors introduce _decoupling_, in which the action executed by the agent and the action on which feedback is given are sampled independently. The idea is that even if the executed action leads to corruption, the corrupted update is equally likely to affect every action, and so in expectation it cancels out. (This requires the _uniform corruption_ assumption, which states that the corruption is _added_ to the feedback, and is _independent_ of the queried action, though it can depend on the executed action.) They derive decoupled approval versions of policy gradients and Q-learning, and prove that the local updates made by these algorithms move towards the approval maximizing policy (in expectation).
They then evaluate the algorithms on a new environment, REALab, in which the agent must collect apples. However, in this environment, the feedback variable is represented _in the environment_ by "registers". The agent can thus tamper with the feedback by interacting with these registers. The experiments show that while standard RL learns to tamper, DA-PG only tampers "accidentally" (i.e. to the same extent that is done by a policy trained with uncorrupted feedback). DA-QL tampers a bit more often, but this could just be due to noise.</v>
      </c>
      <c r="K1466" t="str">
        <f>IFERROR(__xludf.DUMMYFUNCTION("""COMPUTED_VALUE"""),"I like that this work has moved to the assumption that there is an advisor who is capable of providing feedback agnostic to tampering: the user's feedback is correct when the agent only _asks_ about a tampering action rather than executing it. The informa"&amp;"tion about what is and isn't tampering has to come from somewhere, and the natural source is some human overseer. (Perhaps previous work was also written with this in mind, but if so it wasn't obvious to me from the papers.) Note that this is a pretty wea"&amp;"k assumption -- it only means that the overseer needs to not actively reward any tampering behavior; they don't need to penalize it as well. For example, when the agent proposes that they rewrite the file, the overseer just needs to notice that rewriting "&amp;"the file doesn't help with being a good assistant, they don't also need to notice that if the rewriting were to happen then the agent would have tampered with the reward.
The current experiments operate in an episodic setting, meaning that tampering effe"&amp;"cts get undone by resetting after each episode. However, in many realistic cases, once the reward is tampered with, you wouldn't expect there to be a way to ""reset"" it, and so you are stuck with the tampering forever and won't learn the right policy. (&lt;"&amp;"@Delegative Reinforcement Learning@&gt; is an example of work which avoids the assumption for this reason.) This is probably fine if each tampering action has a small effect and you need many such actions to have a cumulatively bad effect. In this case, remo"&amp;"ving the incentive to tamper means that when the agent tampers via exploration, the tampering isn't reinforced, and so the agent won't tamper again in the future. However, if it is unacceptable to take even a single tampering action (as in the case of rew"&amp;"riting the source code for the reward function), then it doesn't help that after exploring that action we don't reinforce it, as the damage has already been done.
Another way to think about it is that current deep RL systems primarily learn from experien"&amp;"ce (rather than reasoning), which is why the benefit only kicks in after the agent has randomly explored a tampering action. However, if we build superintelligent AI systems, they will be doing some form of reasoning, and in that setting if we can remove "&amp;"the incentive to tamper with the reward, that may indeed prevent the agent from _ever_ tampering with the reward.")</f>
        <v>I like that this work has moved to the assumption that there is an advisor who is capable of providing feedback agnostic to tampering: the user's feedback is correct when the agent only _asks_ about a tampering action rather than executing it. The information about what is and isn't tampering has to come from somewhere, and the natural source is some human overseer. (Perhaps previous work was also written with this in mind, but if so it wasn't obvious to me from the papers.) Note that this is a pretty weak assumption -- it only means that the overseer needs to not actively reward any tampering behavior; they don't need to penalize it as well. For example, when the agent proposes that they rewrite the file, the overseer just needs to notice that rewriting the file doesn't help with being a good assistant, they don't also need to notice that if the rewriting were to happen then the agent would have tampered with the reward.
The current experiments operate in an episodic setting, meaning that tampering effects get undone by resetting after each episode. However, in many realistic cases, once the reward is tampered with, you wouldn't expect there to be a way to "reset" it, and so you are stuck with the tampering forever and won't learn the right policy. (&lt;@Delegative Reinforcement Learning@&gt; is an example of work which avoids the assumption for this reason.) This is probably fine if each tampering action has a small effect and you need many such actions to have a cumulatively bad effect. In this case, removing the incentive to tamper means that when the agent tampers via exploration, the tampering isn't reinforced, and so the agent won't tamper again in the future. However, if it is unacceptable to take even a single tampering action (as in the case of rewriting the source code for the reward function), then it doesn't help that after exploring that action we don't reinforce it, as the damage has already been done.
Another way to think about it is that current deep RL systems primarily learn from experience (rather than reasoning), which is why the benefit only kicks in after the agent has randomly explored a tampering action. However, if we build superintelligent AI systems, they will be doing some form of reasoning, and in that setting if we can remove the incentive to tamper with the reward, that may indeed prevent the agent from _ever_ tampering with the reward.</v>
      </c>
      <c r="M1466" t="str">
        <f>IFERROR(__xludf.DUMMYFUNCTION("""COMPUTED_VALUE"""),"REALab [paper](https://arxiv.org/abs/2011.08820) and [blog post](https://medium.com/@deepmindsafetyresearch/realab-conceptualising-the-tampering-problem-56caab69b6d3)")</f>
        <v>REALab [paper](https://arxiv.org/abs/2011.08820) and [blog post](https://medium.com/@deepmindsafetyresearch/realab-conceptualising-the-tampering-problem-56caab69b6d3)</v>
      </c>
    </row>
    <row r="1467">
      <c r="A1467" t="str">
        <f>IFERROR(__xludf.DUMMYFUNCTION("""COMPUTED_VALUE"""),"Preventing bad behavior")</f>
        <v>Preventing bad behavior</v>
      </c>
      <c r="B1467" t="str">
        <f>IFERROR(__xludf.DUMMYFUNCTION("""COMPUTED_VALUE"""),"Highlight")</f>
        <v>Highlight</v>
      </c>
      <c r="C1467" s="3" t="str">
        <f>IFERROR(__xludf.DUMMYFUNCTION("""COMPUTED_VALUE"""),"Measuring and avoiding side effects using relative reachability")</f>
        <v>Measuring and avoiding side effects using relative reachability</v>
      </c>
      <c r="D1467" t="str">
        <f>IFERROR(__xludf.DUMMYFUNCTION("""COMPUTED_VALUE"""),"Victoria Krakovna, Laurent Orseau, Ramana Kumar, Miljan Martic, Shane Legg")</f>
        <v>Victoria Krakovna, Laurent Orseau, Ramana Kumar, Miljan Martic, Shane Legg</v>
      </c>
      <c r="E1467" t="str">
        <f>IFERROR(__xludf.DUMMYFUNCTION("""COMPUTED_VALUE"""),"arXiv")</f>
        <v>arXiv</v>
      </c>
      <c r="F1467">
        <f>IFERROR(__xludf.DUMMYFUNCTION("""COMPUTED_VALUE"""),2018.0)</f>
        <v>2018</v>
      </c>
      <c r="H1467" s="3" t="str">
        <f>IFERROR(__xludf.DUMMYFUNCTION("""COMPUTED_VALUE"""),"AN #10")</f>
        <v>AN #10</v>
      </c>
      <c r="I1467" t="str">
        <f>IFERROR(__xludf.DUMMYFUNCTION("""COMPUTED_VALUE"""),"Rohin")</f>
        <v>Rohin</v>
      </c>
      <c r="J1467" t="str">
        <f>IFERROR(__xludf.DUMMYFUNCTION("""COMPUTED_VALUE"""),"One classic description of the AI alignment problem, from Stuart Russell, is that if you optimize a function of n variables, where the objective depends on k &lt; n of these variables, then the remaining variables will often be set to extreme values, which c"&amp;"an be highly undesirable if we actually care about those variables. This can be thought of as a negative side effect. This work attacks the problem of preventing negative side effects in general, _even if_ the reward function says nothing about the side e"&amp;"ffect. They show simple examples that motivate four properties that any solution should satisfy -- penalize side effects, not effects necessary for the objective; penalize agent-caused effects but not environment effects; penalize irreversible effects hig"&amp;"her than reversible ones; and penalize multiple irreversible effects more than a single irreversible effect. They add a penalty term called relative reachability to the reward function to incentivize the agent not to cause side effects. Since we don't wan"&amp;"t to penalize environment effects (effects that would happen anyway), they compare against an ""inaction baseline"", where the agent does nothing (or follows some hardcoded safe policy). Since we want something more quantitative than ""is this reversible"&amp;""", they create a numeric score of ""coverage"", which measures how easy it is to reach states from the current state, and penalize decreases in coverage relative to the baseline. This satisfies all of the properties we want -- it will still penalize irre"&amp;"versible actions that are necessary to achieve the objective, but as long as the penalty is small enough the reward for achieving the objective will dominate and the agent will take the action. It doesn't penalize environment effects because both the actu"&amp;"al policy and the inaction baseline contain such effects. Clearly irreversible effects would lead to much lower coverage than reversible ones, and so irreversible effects are penalized more. Finally, multiple irreversible effects would lead to larger decr"&amp;"eases in coverage than a single irreversible effect. They demonstrate these properties on toy gridworlds.")</f>
        <v>One classic description of the AI alignment problem, from Stuart Russell, is that if you optimize a function of n variables, where the objective depends on k &lt; n of these variables, then the remaining variables will often be set to extreme values, which can be highly undesirable if we actually care about those variables. This can be thought of as a negative side effect. This work attacks the problem of preventing negative side effects in general, _even if_ the reward function says nothing about the side effect. They show simple examples that motivate four properties that any solution should satisfy -- penalize side effects, not effects necessary for the objective; penalize agent-caused effects but not environment effects; penalize irreversible effects higher than reversible ones; and penalize multiple irreversible effects more than a single irreversible effect. They add a penalty term called relative reachability to the reward function to incentivize the agent not to cause side effects. Since we don't want to penalize environment effects (effects that would happen anyway), they compare against an "inaction baseline", where the agent does nothing (or follows some hardcoded safe policy). Since we want something more quantitative than "is this reversible", they create a numeric score of "coverage", which measures how easy it is to reach states from the current state, and penalize decreases in coverage relative to the baseline. This satisfies all of the properties we want -- it will still penalize irreversible actions that are necessary to achieve the objective, but as long as the penalty is small enough the reward for achieving the objective will dominate and the agent will take the action. It doesn't penalize environment effects because both the actual policy and the inaction baseline contain such effects. Clearly irreversible effects would lead to much lower coverage than reversible ones, and so irreversible effects are penalized more. Finally, multiple irreversible effects would lead to larger decreases in coverage than a single irreversible effect. They demonstrate these properties on toy gridworlds.</v>
      </c>
      <c r="K1467" t="str">
        <f>IFERROR(__xludf.DUMMYFUNCTION("""COMPUTED_VALUE"""),"It's great to see a paper that directly tackles a clear problem with AI alignment, and I think their solution works well in theory compared to other proposals. As the authors say, it's not practical yet, as it assumes knowledge of all states, computing co"&amp;"verage between all pairs of states, and that the agent can simulate the environment (to compute the baseline). On the theory side, I'm worried about what happens when properties interact. For example, suppose the agent takes an irreversible action because"&amp;" it is necessary for the objective. As a result of this action, there are new environment effects that don't happen in the baseline -- it seems like relative reachability would now start to penalize the agent for these effects, since they aren't present i"&amp;"n the baseline. Dumb example: Suppose the agent is tasked with building a house, and cuts down some trees for the purpose. Now that there are no trees providing shade, the shallow pond evaporates away, wind intensifies and causes more leaves to fall, etc."&amp;" and the agent is penalized for all of this because it wasn't in the baseline. More generally, as the agent takes actions in the real world, it will get further away from the baseline, and so the baseline becomes less useful.
The paper also notes that we"&amp;" could hope to learn this sort of behavior from humans, but that this seems hard to do, or at least that including a penalty on side effects can reduce the sample complexity of learning human values. I tend to agree -- in general, there seem to be two kin"&amp;"ds of things we want to learn. First, what is it that we actually want our AI to do, and second, what common-sense things should it not do along the way. (In the formal methods community, these are called liveness and safety properties respectively.) In m"&amp;"any areas of CS the second one arises as the ""frame problem"", which makes it difficult to write formal specifications, or to learn common-sense human preferences from humans. So it seems plausible to me that we want separate solutions for each of these "&amp;"kinds of values. I am a bit worried about having ""common sense"" be encoded formally as a reward penalty, because it seems very likely that it will be misspecified, but perhaps this does work well if combined with techniques that can learn from human dat"&amp;"a.")</f>
        <v>It's great to see a paper that directly tackles a clear problem with AI alignment, and I think their solution works well in theory compared to other proposals. As the authors say, it's not practical yet, as it assumes knowledge of all states, computing coverage between all pairs of states, and that the agent can simulate the environment (to compute the baseline). On the theory side, I'm worried about what happens when properties interact. For example, suppose the agent takes an irreversible action because it is necessary for the objective. As a result of this action, there are new environment effects that don't happen in the baseline -- it seems like relative reachability would now start to penalize the agent for these effects, since they aren't present in the baseline. Dumb example: Suppose the agent is tasked with building a house, and cuts down some trees for the purpose. Now that there are no trees providing shade, the shallow pond evaporates away, wind intensifies and causes more leaves to fall, etc. and the agent is penalized for all of this because it wasn't in the baseline. More generally, as the agent takes actions in the real world, it will get further away from the baseline, and so the baseline becomes less useful.
The paper also notes that we could hope to learn this sort of behavior from humans, but that this seems hard to do, or at least that including a penalty on side effects can reduce the sample complexity of learning human values. I tend to agree -- in general, there seem to be two kinds of things we want to learn. First, what is it that we actually want our AI to do, and second, what common-sense things should it not do along the way. (In the formal methods community, these are called liveness and safety properties respectively.) In many areas of CS the second one arises as the "frame problem", which makes it difficult to write formal specifications, or to learn common-sense human preferences from humans. So it seems plausible to me that we want separate solutions for each of these kinds of values. I am a bit worried about having "common sense" be encoded formally as a reward penalty, because it seems very likely that it will be misspecified, but perhaps this does work well if combined with techniques that can learn from human data.</v>
      </c>
      <c r="M1467" s="3" t="str">
        <f>IFERROR(__xludf.DUMMYFUNCTION("""COMPUTED_VALUE"""),"Blog post")</f>
        <v>Blog post</v>
      </c>
    </row>
    <row r="1468">
      <c r="A1468" t="str">
        <f>IFERROR(__xludf.DUMMYFUNCTION("""COMPUTED_VALUE"""),"Preventing bad behavior")</f>
        <v>Preventing bad behavior</v>
      </c>
      <c r="B1468" t="str">
        <f>IFERROR(__xludf.DUMMYFUNCTION("""COMPUTED_VALUE"""),"")</f>
        <v/>
      </c>
      <c r="C1468" s="3" t="str">
        <f>IFERROR(__xludf.DUMMYFUNCTION("""COMPUTED_VALUE"""),"Pessimism About Unknown Unknowns Inspires Conservatism")</f>
        <v>Pessimism About Unknown Unknowns Inspires Conservatism</v>
      </c>
      <c r="D1468" t="str">
        <f>IFERROR(__xludf.DUMMYFUNCTION("""COMPUTED_VALUE"""),"Michael Cohen, Marcus Hutter")</f>
        <v>Michael Cohen, Marcus Hutter</v>
      </c>
      <c r="E1468" t="str">
        <f>IFERROR(__xludf.DUMMYFUNCTION("""COMPUTED_VALUE"""),"Alignment Forum")</f>
        <v>Alignment Forum</v>
      </c>
      <c r="F1468">
        <f>IFERROR(__xludf.DUMMYFUNCTION("""COMPUTED_VALUE"""),2020.0)</f>
        <v>2020</v>
      </c>
      <c r="H1468" s="3" t="str">
        <f>IFERROR(__xludf.DUMMYFUNCTION("""COMPUTED_VALUE"""),"AN #89")</f>
        <v>AN #89</v>
      </c>
      <c r="I1468" t="str">
        <f>IFERROR(__xludf.DUMMYFUNCTION("""COMPUTED_VALUE"""),"Rohin")</f>
        <v>Rohin</v>
      </c>
      <c r="J1468" t="str">
        <f>IFERROR(__xludf.DUMMYFUNCTION("""COMPUTED_VALUE"""),"The argument for AI risk typically involves some point at which an AI system does something unexpected and bad in a new situation that we haven't seen before (as in e.g. a treacherous turn). One way to mitigate the risk is to simply detect new situations,"&amp;" and ensure the AI system does something known to be safe in such situations, e.g. deferring to a human, or executing some handcoded safe baseline policy. Typical approaches involve a separate anomaly detection model. This paper considers: can we use the "&amp;"AI system itself to figure out when to defer to a mentor?
_The key insight is that if an AI system maintains a distribution over rewards, and ""assumes the worst"" about the reward in new situations, then simply by deferring to the mentor with higher pro"&amp;"bability when the mentor would get higher expected reward, it will end up deferring to the mentor in new situations._ Hence, the title: by making the agent pessimistic about unknown unknowns (new situations), we get a conservative agent that defers to its"&amp;" mentor in new situations.
This is formalized in an AIXI-like setting, where we have agents that can have beliefs over all computable programs, and we only consider an online learning setting where there is a single trajectory over all time (i.e. no epis"&amp;"odes). The math is fairly dense and I didn't try to fully understand it; as a result my summary may be inaccurate. The agent maintains a belief over world models (which predict how the environment evolves and how reward is given) and mentor models (which "&amp;"predict what the mentor will do, where the mentor's policy can depend on the **true** world model). It considers the β most likely world models (where β is a hyperparameter between 0 and 1). It computes the worst-case reward it could achieve under these w"&amp;"orld models, and the expected reward that the mentor achieves. It is more likely to defer to the mentor when the mentor's expected reward is higher (relative to its worst-case reward).
Such an agent queries the mentor finitely many times and eventually t"&amp;"akes actions that are at least as good as the mentor's choices in those situations. In addition, for events with some bound on complexity, we can set things up (e.g. by having a high β) such that for any event, with high probability the agent never causes"&amp;" the event to occur unless the mentor has already caused the event to occur some time in the past. For example, with high probability the agent will never push the big red button in the environment, unless it has seen the mentor push the big red button in"&amp;" the past.")</f>
        <v>The argument for AI risk typically involves some point at which an AI system does something unexpected and bad in a new situation that we haven't seen before (as in e.g. a treacherous turn). One way to mitigate the risk is to simply detect new situations, and ensure the AI system does something known to be safe in such situations, e.g. deferring to a human, or executing some handcoded safe baseline policy. Typical approaches involve a separate anomaly detection model. This paper considers: can we use the AI system itself to figure out when to defer to a mentor?
_The key insight is that if an AI system maintains a distribution over rewards, and "assumes the worst" about the reward in new situations, then simply by deferring to the mentor with higher probability when the mentor would get higher expected reward, it will end up deferring to the mentor in new situations._ Hence, the title: by making the agent pessimistic about unknown unknowns (new situations), we get a conservative agent that defers to its mentor in new situations.
This is formalized in an AIXI-like setting, where we have agents that can have beliefs over all computable programs, and we only consider an online learning setting where there is a single trajectory over all time (i.e. no episodes). The math is fairly dense and I didn't try to fully understand it; as a result my summary may be inaccurate. The agent maintains a belief over world models (which predict how the environment evolves and how reward is given) and mentor models (which predict what the mentor will do, where the mentor's policy can depend on the **true** world model). It considers the β most likely world models (where β is a hyperparameter between 0 and 1). It computes the worst-case reward it could achieve under these world models, and the expected reward that the mentor achieves. It is more likely to defer to the mentor when the mentor's expected reward is higher (relative to its worst-case reward).
Such an agent queries the mentor finitely many times and eventually takes actions that are at least as good as the mentor's choices in those situations. In addition, for events with some bound on complexity, we can set things up (e.g. by having a high β) such that for any event, with high probability the agent never causes the event to occur unless the mentor has already caused the event to occur some time in the past. For example, with high probability the agent will never push the big red button in the environment, unless it has seen the mentor push the big red button in the past.</v>
      </c>
      <c r="K1468" t="str">
        <f>IFERROR(__xludf.DUMMYFUNCTION("""COMPUTED_VALUE"""),"I think it is an underrated point that in some sense all we need to do to avoid x-risk is to make sure AI systems don't do crazy high-impact things in new situations, and that risk aversion is one way to get such an agent. This is also how &lt;@Inverse Rewar"&amp;"d Design@&gt; gets its safety properties: when faced with a completely new ""lava"" tile that the agent has never seen before, the paper's technique only infers that it should be _uncertain_ about the tile's reward. However, the _expected_ reward is still 0,"&amp;" and to get the agent to actually avoid the lava you need to use risk-averse planning.
The case for pessimism is similar to the case for impact measures, and similar critiques apply: it is not clear that we can get a value-agnostic method that is both su"&amp;"fficiently safe to rule out all catastrophes, and sufficiently useful to replace other AI techniques. The author himself points out that if we set β high enough to be confident it is safe, the resulting agent may end up always deferring to the mentor, and"&amp;" so not actually be of any use. Nonetheless, I think it's valuable to point out these ways that seem to confer some nice properties on our agents, even if they can't be pushed to the extremes for fear of making the agents useless.")</f>
        <v>I think it is an underrated point that in some sense all we need to do to avoid x-risk is to make sure AI systems don't do crazy high-impact things in new situations, and that risk aversion is one way to get such an agent. This is also how &lt;@Inverse Reward Design@&gt; gets its safety properties: when faced with a completely new "lava" tile that the agent has never seen before, the paper's technique only infers that it should be _uncertain_ about the tile's reward. However, the _expected_ reward is still 0, and to get the agent to actually avoid the lava you need to use risk-averse planning.
The case for pessimism is similar to the case for impact measures, and similar critiques apply: it is not clear that we can get a value-agnostic method that is both sufficiently safe to rule out all catastrophes, and sufficiently useful to replace other AI techniques. The author himself points out that if we set β high enough to be confident it is safe, the resulting agent may end up always deferring to the mentor, and so not actually be of any use. Nonetheless, I think it's valuable to point out these ways that seem to confer some nice properties on our agents, even if they can't be pushed to the extremes for fear of making the agents useless.</v>
      </c>
    </row>
    <row r="1469">
      <c r="A1469" t="str">
        <f>IFERROR(__xludf.DUMMYFUNCTION("""COMPUTED_VALUE"""),"Preventing bad behavior")</f>
        <v>Preventing bad behavior</v>
      </c>
      <c r="B1469" t="str">
        <f>IFERROR(__xludf.DUMMYFUNCTION("""COMPUTED_VALUE"""),"")</f>
        <v/>
      </c>
      <c r="C1469" s="3" t="str">
        <f>IFERROR(__xludf.DUMMYFUNCTION("""COMPUTED_VALUE"""),"Robust Change Captioning")</f>
        <v>Robust Change Captioning</v>
      </c>
      <c r="D1469" t="str">
        <f>IFERROR(__xludf.DUMMYFUNCTION("""COMPUTED_VALUE"""),"Dong Huk Park, Trevor Darrell, Anna Rohrbach")</f>
        <v>Dong Huk Park, Trevor Darrell, Anna Rohrbach</v>
      </c>
      <c r="E1469" t="str">
        <f>IFERROR(__xludf.DUMMYFUNCTION("""COMPUTED_VALUE"""),"ICCV")</f>
        <v>ICCV</v>
      </c>
      <c r="F1469">
        <f>IFERROR(__xludf.DUMMYFUNCTION("""COMPUTED_VALUE"""),2019.0)</f>
        <v>2019</v>
      </c>
      <c r="H1469" s="3" t="str">
        <f>IFERROR(__xludf.DUMMYFUNCTION("""COMPUTED_VALUE"""),"AN #67")</f>
        <v>AN #67</v>
      </c>
      <c r="I1469" t="str">
        <f>IFERROR(__xludf.DUMMYFUNCTION("""COMPUTED_VALUE"""),"Dan H")</f>
        <v>Dan H</v>
      </c>
      <c r="J1469" t="str">
        <f>IFERROR(__xludf.DUMMYFUNCTION("""COMPUTED_VALUE"""),"Safe exploration requires that agents avoid disrupting their environment. Previous work, such as &lt;@Krakovna et al.@&gt;(@Measuring and avoiding side effects using relative reachability@), penalize an agent's needless side effects on the environment. For such"&amp;" techniques to work in the real world, agents must also _estimate_ environment disruptions, side effects, and changes while not being distracted by peripheral and unaffecting changes. This paper proposes a dataset to further the study of ""Change Captioni"&amp;"ng,"" where scene changes are described by a machine learning system in natural language. That is, given before and after images, a system describes the salient change in the scene. Work on systems that can estimate changes can likely progress safe explor"&amp;"ation.")</f>
        <v>Safe exploration requires that agents avoid disrupting their environment. Previous work, such as &lt;@Krakovna et al.@&gt;(@Measuring and avoiding side effects using relative reachability@), penalize an agent's needless side effects on the environment. For such techniques to work in the real world, agents must also _estimate_ environment disruptions, side effects, and changes while not being distracted by peripheral and unaffecting changes. This paper proposes a dataset to further the study of "Change Captioning," where scene changes are described by a machine learning system in natural language. That is, given before and after images, a system describes the salient change in the scene. Work on systems that can estimate changes can likely progress safe exploration.</v>
      </c>
    </row>
    <row r="1470">
      <c r="A1470" t="str">
        <f>IFERROR(__xludf.DUMMYFUNCTION("""COMPUTED_VALUE"""),"Preventing bad behavior")</f>
        <v>Preventing bad behavior</v>
      </c>
      <c r="B1470" t="str">
        <f>IFERROR(__xludf.DUMMYFUNCTION("""COMPUTED_VALUE"""),"")</f>
        <v/>
      </c>
      <c r="C1470" s="3" t="str">
        <f>IFERROR(__xludf.DUMMYFUNCTION("""COMPUTED_VALUE"""),"Designing agent incentives to avoid side effects")</f>
        <v>Designing agent incentives to avoid side effects</v>
      </c>
      <c r="D1470" t="str">
        <f>IFERROR(__xludf.DUMMYFUNCTION("""COMPUTED_VALUE"""),"Victoria Krakovna, Ramana Kumar, Laurent Orseau, Alexander Turner")</f>
        <v>Victoria Krakovna, Ramana Kumar, Laurent Orseau, Alexander Turner</v>
      </c>
      <c r="E1470" t="str">
        <f>IFERROR(__xludf.DUMMYFUNCTION("""COMPUTED_VALUE"""),"DeepMind Safety Blog")</f>
        <v>DeepMind Safety Blog</v>
      </c>
      <c r="F1470">
        <f>IFERROR(__xludf.DUMMYFUNCTION("""COMPUTED_VALUE"""),2019.0)</f>
        <v>2019</v>
      </c>
      <c r="H1470" s="3" t="str">
        <f>IFERROR(__xludf.DUMMYFUNCTION("""COMPUTED_VALUE"""),"AN #49")</f>
        <v>AN #49</v>
      </c>
      <c r="I1470" t="str">
        <f>IFERROR(__xludf.DUMMYFUNCTION("""COMPUTED_VALUE"""),"Rohin")</f>
        <v>Rohin</v>
      </c>
      <c r="J1470" t="str">
        <f>IFERROR(__xludf.DUMMYFUNCTION("""COMPUTED_VALUE"""),"This blog post provides details about the recent update to the [relative reachability paper](https://arxiv.org/abs/1806.01186) ([AN #10](https://mailchi.mp/d1a19c140226/alignment-newsletter-10)), which is now more a paper about the design choices availabl"&amp;"e with impact measures. There are three main axes that they identify:
First, what baseline is impact measured relative to? A natural choice is to compare against the starting state, but this will penalize the agent for environment effects, such as apples"&amp;" growing on trees. We can instead compare against an inaction baseline, i.e. measuring impact relative to what would have happened if the agent did nothing. Unfortunately, this leads to offsetting behavior: the agent first makes a change to get reward, an"&amp;"d then undoes the change in order to not be penalized for impact. This motivates the stepwise inaction baseline, which compares each action against what would have happened if the agent did nothing _from that step onwards_.
Second, we need a measure by w"&amp;"hich to compare states. The unreachability measure measures how hard it is to reach the baseline from the current state. However, this ""maxes out"" as soon as the baseline is unreachability, and so there is no incentive to avoid further irreversible acti"&amp;"ons. This motivates relative reachability, which computes the set of states reachable from the baseline, and measures what proportion of those states are reachable from the state created by the agent. [Attainable utility](https://www.alignmentforum.org/po"&amp;"sts/yEa7kwoMpsBgaBCgb/towards-a-new-impact-measure) ([AN #25](https://mailchi.mp/0c5eeec28f75/alignment-newsletter-25)) generalizes this to talk about the _utility_ that could be achieved from the baseline for a wide range of utility functions. (This is e"&amp;"quivalent to relative reachability when the utility functions are of the form ""1 if state s is ever encountered, else 0"".)
Finally, we need to figure how to penalize changes in our chosen measure. Penalizing decreases in the measure allows us to penali"&amp;"ze actions that make it harder to do things (what the AUP post calls ""opportunity cost""), while penalizing increases in the measure allows us to penalize convergent instrumental subgoals (which almost by definition increase the ability to satisfy many d"&amp;"ifferent goals or reach many different states).")</f>
        <v>This blog post provides details about the recent update to the [relative reachability paper](https://arxiv.org/abs/1806.01186) ([AN #10](https://mailchi.mp/d1a19c140226/alignment-newsletter-10)), which is now more a paper about the design choices available with impact measures. There are three main axes that they identify:
First, what baseline is impact measured relative to? A natural choice is to compare against the starting state, but this will penalize the agent for environment effects, such as apples growing on trees. We can instead compare against an inaction baseline, i.e. measuring impact relative to what would have happened if the agent did nothing. Unfortunately, this leads to offsetting behavior: the agent first makes a change to get reward, and then undoes the change in order to not be penalized for impact. This motivates the stepwise inaction baseline, which compares each action against what would have happened if the agent did nothing _from that step onwards_.
Second, we need a measure by which to compare states. The unreachability measure measures how hard it is to reach the baseline from the current state. However, this "maxes out" as soon as the baseline is unreachability, and so there is no incentive to avoid further irreversible actions. This motivates relative reachability, which computes the set of states reachable from the baseline, and measures what proportion of those states are reachable from the state created by the agent. [Attainable utility](https://www.alignmentforum.org/posts/yEa7kwoMpsBgaBCgb/towards-a-new-impact-measure) ([AN #25](https://mailchi.mp/0c5eeec28f75/alignment-newsletter-25)) generalizes this to talk about the _utility_ that could be achieved from the baseline for a wide range of utility functions. (This is equivalent to relative reachability when the utility functions are of the form "1 if state s is ever encountered, else 0".)
Finally, we need to figure how to penalize changes in our chosen measure. Penalizing decreases in the measure allows us to penalize actions that make it harder to do things (what the AUP post calls "opportunity cost"), while penalizing increases in the measure allows us to penalize convergent instrumental subgoals (which almost by definition increase the ability to satisfy many different goals or reach many different states).</v>
      </c>
      <c r="K1470" t="str">
        <f>IFERROR(__xludf.DUMMYFUNCTION("""COMPUTED_VALUE"""),"Since the AUP post was published about half a year ago, I've been watching this unification of AUP and relative reachability slowly take form, since they were phrased very differently initially. I'm glad to see this finally explained clearly and concisely"&amp;", with experiments showing the effect of each choice. I do want to put special emphasis on the insight of AUP that the pursuit of convergent instrumental subgoals leads to large _increases_ in ""ability to do things"", and thus that penalizing increases c"&amp;"an help avoid such subgoals. This point doesn't typically make it into the academic writings on the subject but seems quite important.
On the topic of impact measures, I'll repeat what I've said before: I think that it's hard to satisfy the conjunction o"&amp;"f three desiderata -- objectivity (no dependence on human values), safety (preventing any catastrophic outcomes) and usefulness (the AI system is still able to do useful things). Impact measures are very clearly aiming for the first two criteria, but usua"&amp;"lly don't have much to say about the third one. My expectation is that there is a strong tradeoff between the first two criteria and the third one, and impact measures have not dealt with this fact yet, but will have to at some point.")</f>
        <v>Since the AUP post was published about half a year ago, I've been watching this unification of AUP and relative reachability slowly take form, since they were phrased very differently initially. I'm glad to see this finally explained clearly and concisely, with experiments showing the effect of each choice. I do want to put special emphasis on the insight of AUP that the pursuit of convergent instrumental subgoals leads to large _increases_ in "ability to do things", and thus that penalizing increases can help avoid such subgoals. This point doesn't typically make it into the academic writings on the subject but seems quite important.
On the topic of impact measures, I'll repeat what I've said before: I think that it's hard to satisfy the conjunction of three desiderata -- objectivity (no dependence on human values), safety (preventing any catastrophic outcomes) and usefulness (the AI system is still able to do useful things). Impact measures are very clearly aiming for the first two criteria, but usually don't have much to say about the third one. My expectation is that there is a strong tradeoff between the first two criteria and the third one, and impact measures have not dealt with this fact yet, but will have to at some point.</v>
      </c>
    </row>
    <row r="1471">
      <c r="A1471" t="str">
        <f>IFERROR(__xludf.DUMMYFUNCTION("""COMPUTED_VALUE"""),"Preventing bad behavior")</f>
        <v>Preventing bad behavior</v>
      </c>
      <c r="B1471" t="str">
        <f>IFERROR(__xludf.DUMMYFUNCTION("""COMPUTED_VALUE"""),"")</f>
        <v/>
      </c>
      <c r="C1471" s="3" t="str">
        <f>IFERROR(__xludf.DUMMYFUNCTION("""COMPUTED_VALUE"""),"Test Cases for Impact Regularisation Methods")</f>
        <v>Test Cases for Impact Regularisation Methods</v>
      </c>
      <c r="D1471" t="str">
        <f>IFERROR(__xludf.DUMMYFUNCTION("""COMPUTED_VALUE"""),"Daniel Filan")</f>
        <v>Daniel Filan</v>
      </c>
      <c r="E1471" t="str">
        <f>IFERROR(__xludf.DUMMYFUNCTION("""COMPUTED_VALUE"""),"Alignment Forum")</f>
        <v>Alignment Forum</v>
      </c>
      <c r="F1471">
        <f>IFERROR(__xludf.DUMMYFUNCTION("""COMPUTED_VALUE"""),2019.0)</f>
        <v>2019</v>
      </c>
      <c r="H1471" s="3" t="str">
        <f>IFERROR(__xludf.DUMMYFUNCTION("""COMPUTED_VALUE"""),"AN #45")</f>
        <v>AN #45</v>
      </c>
      <c r="I1471" t="str">
        <f>IFERROR(__xludf.DUMMYFUNCTION("""COMPUTED_VALUE"""),"Rohin")</f>
        <v>Rohin</v>
      </c>
      <c r="J1471" t="str">
        <f>IFERROR(__xludf.DUMMYFUNCTION("""COMPUTED_VALUE"""),"This post collects various test cases that researchers have proposed for impact regularization methods. A summary of each one would be far too long for this newsletter, so you'll have to read the post itself.")</f>
        <v>This post collects various test cases that researchers have proposed for impact regularization methods. A summary of each one would be far too long for this newsletter, so you'll have to read the post itself.</v>
      </c>
      <c r="K1471" t="str">
        <f>IFERROR(__xludf.DUMMYFUNCTION("""COMPUTED_VALUE"""),"These test cases and the associated commentary suggest to me that we haven't yet settled on what properties we'd like our impact regularization methods to satisfy, since there are pairs of test cases that seem hard to solve simultaneously, as well as test"&amp;" cases where the desired behavior is unclear.")</f>
        <v>These test cases and the associated commentary suggest to me that we haven't yet settled on what properties we'd like our impact regularization methods to satisfy, since there are pairs of test cases that seem hard to solve simultaneously, as well as test cases where the desired behavior is unclear.</v>
      </c>
    </row>
    <row r="1472">
      <c r="A1472" t="str">
        <f>IFERROR(__xludf.DUMMYFUNCTION("""COMPUTED_VALUE"""),"Preventing bad behavior")</f>
        <v>Preventing bad behavior</v>
      </c>
      <c r="B1472" t="str">
        <f>IFERROR(__xludf.DUMMYFUNCTION("""COMPUTED_VALUE"""),"")</f>
        <v/>
      </c>
      <c r="C1472" s="3" t="str">
        <f>IFERROR(__xludf.DUMMYFUNCTION("""COMPUTED_VALUE"""),"Shielding Atari Games with Bounded Prescience")</f>
        <v>Shielding Atari Games with Bounded Prescience</v>
      </c>
      <c r="D1472" t="str">
        <f>IFERROR(__xludf.DUMMYFUNCTION("""COMPUTED_VALUE"""),"Mirco Giacobbe, Mohammadhosein Hasanbeig, Daniel Kroening, Hjalmar Wijk")</f>
        <v>Mirco Giacobbe, Mohammadhosein Hasanbeig, Daniel Kroening, Hjalmar Wijk</v>
      </c>
      <c r="E1472" t="str">
        <f>IFERROR(__xludf.DUMMYFUNCTION("""COMPUTED_VALUE"""),"arXiv")</f>
        <v>arXiv</v>
      </c>
      <c r="F1472">
        <f>IFERROR(__xludf.DUMMYFUNCTION("""COMPUTED_VALUE"""),2021.0)</f>
        <v>2021</v>
      </c>
      <c r="H1472" s="3" t="str">
        <f>IFERROR(__xludf.DUMMYFUNCTION("""COMPUTED_VALUE"""),"AN #138")</f>
        <v>AN #138</v>
      </c>
      <c r="I1472" t="str">
        <f>IFERROR(__xludf.DUMMYFUNCTION("""COMPUTED_VALUE"""),"Rohin")</f>
        <v>Rohin</v>
      </c>
      <c r="J1472" t="str">
        <f>IFERROR(__xludf.DUMMYFUNCTION("""COMPUTED_VALUE"""),"In order to study agents trained for Atari, the authors write down several safety properties using the internals of the ALE simulator that agents should satisfy. They then test several agents trained with deep RL algorithms to see how well they perform on"&amp;" these safety properties. They find that the agents only successfully satisfy 4 out of their 43 properties all the time, whereas for 24 of the properties, all agents fail at least some of the time (and frequently they fail on every single rollout tested)."&amp;"
This even happens for some properties that should be easy to satisfy. For example, in the game Assault, the agent loses a life if its gun ever overheats, but avoiding this is trivial: just don’t use the gun when the display shows that the gun is about t"&amp;"o overheat.
The authors implement a “bounded shielding” approach, which basically simulates actions up to N timesteps in the future, and then only takes actions from the ones that don’t lead to an unsafe state (if that is possible). With N = 1 this is en"&amp;"ough to avoid the failure described above with Assault.")</f>
        <v>In order to study agents trained for Atari, the authors write down several safety properties using the internals of the ALE simulator that agents should satisfy. They then test several agents trained with deep RL algorithms to see how well they perform on these safety properties. They find that the agents only successfully satisfy 4 out of their 43 properties all the time, whereas for 24 of the properties, all agents fail at least some of the time (and frequently they fail on every single rollout tested).
This even happens for some properties that should be easy to satisfy. For example, in the game Assault, the agent loses a life if its gun ever overheats, but avoiding this is trivial: just don’t use the gun when the display shows that the gun is about to overheat.
The authors implement a “bounded shielding” approach, which basically simulates actions up to N timesteps in the future, and then only takes actions from the ones that don’t lead to an unsafe state (if that is possible). With N = 1 this is enough to avoid the failure described above with Assault.</v>
      </c>
      <c r="K1472" t="str">
        <f>IFERROR(__xludf.DUMMYFUNCTION("""COMPUTED_VALUE"""),"I liked the analysis of what safety properties agents failed to satisfy, and the fact that agents sometimes fail the “obvious” or “easy” safety properties suggests that the bounded shielding approach can actually be useful in practice. Nonetheless, I stil"&amp;"l prefer the approach of finding an &lt;@inductive safety invariant@&gt;(@Neurosymbolic Reinforcement Learning with Formally Verified Exploration@), as it provides a guarantee of safety throughout the episode, rather than only for the next N timesteps.")</f>
        <v>I liked the analysis of what safety properties agents failed to satisfy, and the fact that agents sometimes fail the “obvious” or “easy” safety properties suggests that the bounded shielding approach can actually be useful in practice. Nonetheless, I still prefer the approach of finding an &lt;@inductive safety invariant@&gt;(@Neurosymbolic Reinforcement Learning with Formally Verified Exploration@), as it provides a guarantee of safety throughout the episode, rather than only for the next N timesteps.</v>
      </c>
    </row>
    <row r="1473">
      <c r="A1473" t="str">
        <f>IFERROR(__xludf.DUMMYFUNCTION("""COMPUTED_VALUE"""),"Preventing bad behavior")</f>
        <v>Preventing bad behavior</v>
      </c>
      <c r="B1473" t="str">
        <f>IFERROR(__xludf.DUMMYFUNCTION("""COMPUTED_VALUE"""),"")</f>
        <v/>
      </c>
      <c r="C1473" s="3" t="str">
        <f>IFERROR(__xludf.DUMMYFUNCTION("""COMPUTED_VALUE"""),"Avoiding Side Effects in Complex Environments")</f>
        <v>Avoiding Side Effects in Complex Environments</v>
      </c>
      <c r="D1473" t="str">
        <f>IFERROR(__xludf.DUMMYFUNCTION("""COMPUTED_VALUE"""),"Alex Turner, Neale Ratzlaff, Prasad Tadepalli")</f>
        <v>Alex Turner, Neale Ratzlaff, Prasad Tadepalli</v>
      </c>
      <c r="E1473" t="str">
        <f>IFERROR(__xludf.DUMMYFUNCTION("""COMPUTED_VALUE"""),"NeurIPS 2020")</f>
        <v>NeurIPS 2020</v>
      </c>
      <c r="F1473">
        <f>IFERROR(__xludf.DUMMYFUNCTION("""COMPUTED_VALUE"""),2020.0)</f>
        <v>2020</v>
      </c>
      <c r="H1473" s="3" t="str">
        <f>IFERROR(__xludf.DUMMYFUNCTION("""COMPUTED_VALUE"""),"AN #136")</f>
        <v>AN #136</v>
      </c>
      <c r="I1473" t="str">
        <f>IFERROR(__xludf.DUMMYFUNCTION("""COMPUTED_VALUE"""),"Zach")</f>
        <v>Zach</v>
      </c>
      <c r="J1473" t="str">
        <f>IFERROR(__xludf.DUMMYFUNCTION("""COMPUTED_VALUE"""),"One proposal for impact regularization is &lt;@attainable utility preservation (AUP)@&gt;(@Reframing Impact - Part 3@), in which we view side effects as changes in the ability of an agent to optimize a variety of reward functions. By incentivizing the agent not"&amp;" to change the optimal value for a wide range of auxiliary reward functions, the agent may avoid decreasing the optimal value for the true reward.
To test the claim that AUP is a suitable way to avoid side-effects the authors experiment in &lt;@SafeLife@&gt;(@"&amp;"Introducing SafeLife: Safety Benchmarks for Reinforcement Learning@), an environment suite based on Conway's ""Game of Life"". In the Game of Life, depending on how many live neighbors surround a cell, the cell either comes to life, dies, or retains its s"&amp;"tate. In SafeLife the eight cells surrounding the agent cells are frozen and can be modified by the agent. Thus, the agent can disturb, or modify, dynamic patterns by merely approaching them.
To measure side-effects the authors compare the evolution as i"&amp;"t would've evolved without agent interference vs. the evolution with the agent present. The tasks are simple: either add or remove cells from a specified location. However, there are obstacles in the way that the agent could disturb. To implement AUP, the"&amp;" authors use a single randomly sampled reward function based on downsampling from the observation space. As a baseline, the authors compare AUP against PPO.
Generally, AUP is able to achieve fewer side-effects than PPO while still obtaining reasonable pe"&amp;"rformance. However, AUP does take longer to train than PPO. Additionally, the side-effects incurred during the training of AUP increase to a peak before settling below the side-effect score of PPO. It's also important to note that sampling multiple reward"&amp;"s for AUP has the counter-intuitive effect of increasing the side-effect score.")</f>
        <v>One proposal for impact regularization is &lt;@attainable utility preservation (AUP)@&gt;(@Reframing Impact - Part 3@), in which we view side effects as changes in the ability of an agent to optimize a variety of reward functions. By incentivizing the agent not to change the optimal value for a wide range of auxiliary reward functions, the agent may avoid decreasing the optimal value for the true reward.
To test the claim that AUP is a suitable way to avoid side-effects the authors experiment in &lt;@SafeLife@&gt;(@Introducing SafeLife: Safety Benchmarks for Reinforcement Learning@), an environment suite based on Conway's "Game of Life". In the Game of Life, depending on how many live neighbors surround a cell, the cell either comes to life, dies, or retains its state. In SafeLife the eight cells surrounding the agent cells are frozen and can be modified by the agent. Thus, the agent can disturb, or modify, dynamic patterns by merely approaching them.
To measure side-effects the authors compare the evolution as it would've evolved without agent interference vs. the evolution with the agent present. The tasks are simple: either add or remove cells from a specified location. However, there are obstacles in the way that the agent could disturb. To implement AUP, the authors use a single randomly sampled reward function based on downsampling from the observation space. As a baseline, the authors compare AUP against PPO.
Generally, AUP is able to achieve fewer side-effects than PPO while still obtaining reasonable performance. However, AUP does take longer to train than PPO. Additionally, the side-effects incurred during the training of AUP increase to a peak before settling below the side-effect score of PPO. It's also important to note that sampling multiple rewards for AUP has the counter-intuitive effect of increasing the side-effect score.</v>
      </c>
      <c r="K1473" t="str">
        <f>IFERROR(__xludf.DUMMYFUNCTION("""COMPUTED_VALUE"""),"This paper presents a clear approach to handling side-effects and provides a fairly thorough analysis via experimentation. Having said that, I find the experimental findings to be mixed. Intuitively, adding more random rewards would decrease task performa"&amp;"nce and the number of side-effects. However, this isn't shown out in the data which raises interesting questions about how to best sample random reward functions. Related to this, the phenomena of side-effects increasing at the start of training for AUP i"&amp;"s worth further investigation.")</f>
        <v>This paper presents a clear approach to handling side-effects and provides a fairly thorough analysis via experimentation. Having said that, I find the experimental findings to be mixed. Intuitively, adding more random rewards would decrease task performance and the number of side-effects. However, this isn't shown out in the data which raises interesting questions about how to best sample random reward functions. Related to this, the phenomena of side-effects increasing at the start of training for AUP is worth further investigation.</v>
      </c>
    </row>
    <row r="1474">
      <c r="A1474" t="str">
        <f>IFERROR(__xludf.DUMMYFUNCTION("""COMPUTED_VALUE"""),"Preventing bad behavior")</f>
        <v>Preventing bad behavior</v>
      </c>
      <c r="B1474" t="str">
        <f>IFERROR(__xludf.DUMMYFUNCTION("""COMPUTED_VALUE"""),"")</f>
        <v/>
      </c>
      <c r="C1474" s="3" t="str">
        <f>IFERROR(__xludf.DUMMYFUNCTION("""COMPUTED_VALUE"""),"Learning to be Safe: Deep RL with a Safety Critic")</f>
        <v>Learning to be Safe: Deep RL with a Safety Critic</v>
      </c>
      <c r="D1474" t="str">
        <f>IFERROR(__xludf.DUMMYFUNCTION("""COMPUTED_VALUE"""),"Krishnan Srinivasan, Benjamin Eysenbach, Sehoon Ha, Jie Tan, Chelsea Finn")</f>
        <v>Krishnan Srinivasan, Benjamin Eysenbach, Sehoon Ha, Jie Tan, Chelsea Finn</v>
      </c>
      <c r="E1474" t="str">
        <f>IFERROR(__xludf.DUMMYFUNCTION("""COMPUTED_VALUE"""),"arXiv")</f>
        <v>arXiv</v>
      </c>
      <c r="F1474">
        <f>IFERROR(__xludf.DUMMYFUNCTION("""COMPUTED_VALUE"""),2020.0)</f>
        <v>2020</v>
      </c>
      <c r="H1474" s="3" t="str">
        <f>IFERROR(__xludf.DUMMYFUNCTION("""COMPUTED_VALUE"""),"AN #126")</f>
        <v>AN #126</v>
      </c>
      <c r="I1474" t="str">
        <f>IFERROR(__xludf.DUMMYFUNCTION("""COMPUTED_VALUE"""),"Rohin")</f>
        <v>Rohin</v>
      </c>
      <c r="J1474" t="str">
        <f>IFERROR(__xludf.DUMMYFUNCTION("""COMPUTED_VALUE"""),"While there has been a lot of work on verifying logical specifications and avoiding constraint violations, I’ve said before that the major challenge is in figuring out what specifications or constraints to use in the first place. This paper takes a stab a"&amp;"t this problem by _learning_ safety constraints and transferring them to new situations.
In particular, we assume that we have some way of telling whether a given trajectory violates a constraint (e.g. a human looks at it and says whether or not a violat"&amp;"ion has happened). We also assume access to a safe environment in which constraint violations are acceptable. For example, for robots, our constraint could be that the robot never crashes, and in the safe environment the robot could be constrained to only"&amp;" move slowly, so that if they do crash there is no permanent damage. We then want to train the agent to perform some task in the true training environment (e.g. with no restrictions on speed), such that we avoid constraint violations with high probability"&amp;" _even during training_.
The key idea is to pretrain a _safety Q-function_ in the safe environment, that is, a function **Qsafe(s, a)** that specifies the probability of eventually violating a constraint if we take action **a** in state **s**. We have th"&amp;"e agent choose actions that are estimated to be on the verge of being too risky, in order to optimize for getting more information about the constraints.
Once we have this safety Q-function, we can use it as a shield (&lt;@1@&gt;(@Neurosymbolic Reinforcement L"&amp;"earning with Formally Verified Exploration@), &lt;@2@&gt;(@Shielded Decision-Making in MDPs@)). Specifically, any actions whose risk is above some threshold ε have their probabilities set to zero. Using this shield, we can then train for the true task in the (u"&amp;"nsafe) training environment using RL, while only behaving safely. Of course, this depends on the safety Q-function successfully generalizing to the new environment. We also add the safety Q-function as part of the RL objective to disincentivize constraint"&amp;" violations.
Their experiments show that this approach significantly reduces the number of constraint violations during training, though in absolute numbers there are often still hundreds of constraint violations (or about 1% of the number of training st"&amp;"eps).")</f>
        <v>While there has been a lot of work on verifying logical specifications and avoiding constraint violations, I’ve said before that the major challenge is in figuring out what specifications or constraints to use in the first place. This paper takes a stab at this problem by _learning_ safety constraints and transferring them to new situations.
In particular, we assume that we have some way of telling whether a given trajectory violates a constraint (e.g. a human looks at it and says whether or not a violation has happened). We also assume access to a safe environment in which constraint violations are acceptable. For example, for robots, our constraint could be that the robot never crashes, and in the safe environment the robot could be constrained to only move slowly, so that if they do crash there is no permanent damage. We then want to train the agent to perform some task in the true training environment (e.g. with no restrictions on speed), such that we avoid constraint violations with high probability _even during training_.
The key idea is to pretrain a _safety Q-function_ in the safe environment, that is, a function **Qsafe(s, a)** that specifies the probability of eventually violating a constraint if we take action **a** in state **s**. We have the agent choose actions that are estimated to be on the verge of being too risky, in order to optimize for getting more information about the constraints.
Once we have this safety Q-function, we can use it as a shield (&lt;@1@&gt;(@Neurosymbolic Reinforcement Learning with Formally Verified Exploration@), &lt;@2@&gt;(@Shielded Decision-Making in MDPs@)). Specifically, any actions whose risk is above some threshold ε have their probabilities set to zero. Using this shield, we can then train for the true task in the (unsafe) training environment using RL, while only behaving safely. Of course, this depends on the safety Q-function successfully generalizing to the new environment. We also add the safety Q-function as part of the RL objective to disincentivize constraint violations.
Their experiments show that this approach significantly reduces the number of constraint violations during training, though in absolute numbers there are often still hundreds of constraint violations (or about 1% of the number of training steps).</v>
      </c>
      <c r="K1474" t="str">
        <f>IFERROR(__xludf.DUMMYFUNCTION("""COMPUTED_VALUE"""),"I’m glad to see more work on this: robustness techniques seem particularly important to get working with learned specifications, and this paper (like the next one) takes a real shot at this goal. In some sense it isn’t that clear what we gain from an appr"&amp;"oach like this -- now, instead of requiring robustness from the agent, we require robustness from the safety Q-function (since we transfer it from the safe environment to the training environment). Nonetheless, we might hope the safety Q-function is easie"&amp;"r to learn and more likely to transfer between the two environments, since it could be simpler than a full policy.")</f>
        <v>I’m glad to see more work on this: robustness techniques seem particularly important to get working with learned specifications, and this paper (like the next one) takes a real shot at this goal. In some sense it isn’t that clear what we gain from an approach like this -- now, instead of requiring robustness from the agent, we require robustness from the safety Q-function (since we transfer it from the safe environment to the training environment). Nonetheless, we might hope the safety Q-function is easier to learn and more likely to transfer between the two environments, since it could be simpler than a full policy.</v>
      </c>
    </row>
    <row r="1475">
      <c r="A1475" t="str">
        <f>IFERROR(__xludf.DUMMYFUNCTION("""COMPUTED_VALUE"""),"Preventing bad behavior")</f>
        <v>Preventing bad behavior</v>
      </c>
      <c r="B1475" t="str">
        <f>IFERROR(__xludf.DUMMYFUNCTION("""COMPUTED_VALUE"""),"")</f>
        <v/>
      </c>
      <c r="C1475" s="3" t="str">
        <f>IFERROR(__xludf.DUMMYFUNCTION("""COMPUTED_VALUE"""),"Recovery RL: Safe Reinforcement Learning with Learned Recovery Zones")</f>
        <v>Recovery RL: Safe Reinforcement Learning with Learned Recovery Zones</v>
      </c>
      <c r="D1475" t="str">
        <f>IFERROR(__xludf.DUMMYFUNCTION("""COMPUTED_VALUE"""),"Brijen Thananjeyan*, Ashwin Balakrishna*, Suraj Nair, Michael Luo, Krishnan Srinivasan, Minho Hwang, Joseph E. Gonzalez, Julian Ibarz, Chelsea Finn, Ken Goldberg")</f>
        <v>Brijen Thananjeyan*, Ashwin Balakrishna*, Suraj Nair, Michael Luo, Krishnan Srinivasan, Minho Hwang, Joseph E. Gonzalez, Julian Ibarz, Chelsea Finn, Ken Goldberg</v>
      </c>
      <c r="E1475" t="str">
        <f>IFERROR(__xludf.DUMMYFUNCTION("""COMPUTED_VALUE"""),"arXiv")</f>
        <v>arXiv</v>
      </c>
      <c r="F1475">
        <f>IFERROR(__xludf.DUMMYFUNCTION("""COMPUTED_VALUE"""),2020.0)</f>
        <v>2020</v>
      </c>
      <c r="H1475" s="3" t="str">
        <f>IFERROR(__xludf.DUMMYFUNCTION("""COMPUTED_VALUE"""),"AN #126")</f>
        <v>AN #126</v>
      </c>
      <c r="I1475" t="str">
        <f>IFERROR(__xludf.DUMMYFUNCTION("""COMPUTED_VALUE"""),"Rohin")</f>
        <v>Rohin</v>
      </c>
      <c r="J1475" t="str">
        <f>IFERROR(__xludf.DUMMYFUNCTION("""COMPUTED_VALUE"""),"This paper introduces Recovery RL, which tackles the same problem as the previous paper: given a dataset of constraint violations (presumably collected from some safe environment), train an agent to perform some task while exploring safely. Like the previ"&amp;"ous paper, it starts by learning a safety Q-function from the dataset of constraint violations.
The difference is in how this safety Q-function is used. The previous paper uses it as a shield on a policy, and also uses it in the RL objective to get a pol"&amp;"icy that is performant and safe. Recovery RL instead splits these into two separate policies: there is a task policy that only optimizes for performance, and a recovery policy that only optimizes for safety. During training, the safety Q-function is used "&amp;"to monitor the likelihood of a constraint violation, and if a violation is sufficiently likely, control is handed over to the recovery policy which then tries to make the probability of constraint violation as low as possible.
Experiments show that the m"&amp;"ethod performs significantly better than other baselines (including SQRL, the method from the previous paper). Note however that the environments on which the methods were tested were not the same as in the previous paper.")</f>
        <v>This paper introduces Recovery RL, which tackles the same problem as the previous paper: given a dataset of constraint violations (presumably collected from some safe environment), train an agent to perform some task while exploring safely. Like the previous paper, it starts by learning a safety Q-function from the dataset of constraint violations.
The difference is in how this safety Q-function is used. The previous paper uses it as a shield on a policy, and also uses it in the RL objective to get a policy that is performant and safe. Recovery RL instead splits these into two separate policies: there is a task policy that only optimizes for performance, and a recovery policy that only optimizes for safety. During training, the safety Q-function is used to monitor the likelihood of a constraint violation, and if a violation is sufficiently likely, control is handed over to the recovery policy which then tries to make the probability of constraint violation as low as possible.
Experiments show that the method performs significantly better than other baselines (including SQRL, the method from the previous paper). Note however that the environments on which the methods were tested were not the same as in the previous paper.</v>
      </c>
    </row>
    <row r="1476">
      <c r="A1476" t="str">
        <f>IFERROR(__xludf.DUMMYFUNCTION("""COMPUTED_VALUE"""),"Preventing bad behavior")</f>
        <v>Preventing bad behavior</v>
      </c>
      <c r="B1476" t="str">
        <f>IFERROR(__xludf.DUMMYFUNCTION("""COMPUTED_VALUE"""),"")</f>
        <v/>
      </c>
      <c r="C1476" s="3" t="str">
        <f>IFERROR(__xludf.DUMMYFUNCTION("""COMPUTED_VALUE"""),"Tradeoffs between desirable properties for baseline choices in impact measures")</f>
        <v>Tradeoffs between desirable properties for baseline choices in impact measures</v>
      </c>
      <c r="D1476" t="str">
        <f>IFERROR(__xludf.DUMMYFUNCTION("""COMPUTED_VALUE"""),"Victoria Krakovna")</f>
        <v>Victoria Krakovna</v>
      </c>
      <c r="E1476" t="str">
        <f>IFERROR(__xludf.DUMMYFUNCTION("""COMPUTED_VALUE"""),"Alignment Forum")</f>
        <v>Alignment Forum</v>
      </c>
      <c r="F1476">
        <f>IFERROR(__xludf.DUMMYFUNCTION("""COMPUTED_VALUE"""),2020.0)</f>
        <v>2020</v>
      </c>
      <c r="H1476" s="3" t="str">
        <f>IFERROR(__xludf.DUMMYFUNCTION("""COMPUTED_VALUE"""),"AN #108")</f>
        <v>AN #108</v>
      </c>
      <c r="I1476" t="str">
        <f>IFERROR(__xludf.DUMMYFUNCTION("""COMPUTED_VALUE"""),"Flo")</f>
        <v>Flo</v>
      </c>
      <c r="J1476" t="str">
        <f>IFERROR(__xludf.DUMMYFUNCTION("""COMPUTED_VALUE"""),"&lt;@Impact measures@&gt;(@Measuring and avoiding side effects using relative reachability@) usually require a baseline state, relative to which we define impact. The choice of this baseline has important effects on the impact measure's properties: for example,"&amp;" the popular stepwise inaction baseline (where at every step the effect of the current action is compared to doing nothing) does not generate incentives to interfere with environment processes or to offset the effects of its own actions. However, it ignor"&amp;"es delayed impacts and lacks incentive to offset unwanted delayed effects once they are set in motion. 
This points to a **tradeoff** between **penalizing delayed effects** (which is always desirable) and **avoiding offsetting incentives**, which is desi"&amp;"rable if the effect to be offset is part of the objective and undesirable if it is not. We can circumvent the tradeoff by **modifying the task reward**: If the agent is only rewarded in states where the task remains solved, incentives to offset effects th"&amp;"at contribute to solving the task are weakened. In that case, the initial inaction baseline (which compares the current state with the state that would have occurred if the agent had done nothing until now) deals better with delayed effects and correctly "&amp;"incentivizes offsetting for effects that are irrelevant for the task, while the incentives for offsetting task-relevant effects are balanced out by the task reward. If modifying the task reward is infeasible, similar properties can be achieved in the case"&amp;" of sparse rewards by using the inaction baseline, and resetting its initial state to the current state whenever a reward is achieved. To make the impact measure defined via the time-dependent initial inaction baseline **Markovian**, we could sample a sin"&amp;"gle baseline state from the inaction rollout or compute a single penalty at the start of the episode, comparing the inaction rollout to a rollout of the agent policy.")</f>
        <v>&lt;@Impact measures@&gt;(@Measuring and avoiding side effects using relative reachability@) usually require a baseline state, relative to which we define impact. The choice of this baseline has important effects on the impact measure's properties: for example, the popular stepwise inaction baseline (where at every step the effect of the current action is compared to doing nothing) does not generate incentives to interfere with environment processes or to offset the effects of its own actions. However, it ignores delayed impacts and lacks incentive to offset unwanted delayed effects once they are set in motion. 
This points to a **tradeoff** between **penalizing delayed effects** (which is always desirable) and **avoiding offsetting incentives**, which is desirable if the effect to be offset is part of the objective and undesirable if it is not. We can circumvent the tradeoff by **modifying the task reward**: If the agent is only rewarded in states where the task remains solved, incentives to offset effects that contribute to solving the task are weakened. In that case, the initial inaction baseline (which compares the current state with the state that would have occurred if the agent had done nothing until now) deals better with delayed effects and correctly incentivizes offsetting for effects that are irrelevant for the task, while the incentives for offsetting task-relevant effects are balanced out by the task reward. If modifying the task reward is infeasible, similar properties can be achieved in the case of sparse rewards by using the inaction baseline, and resetting its initial state to the current state whenever a reward is achieved. To make the impact measure defined via the time-dependent initial inaction baseline **Markovian**, we could sample a single baseline state from the inaction rollout or compute a single penalty at the start of the episode, comparing the inaction rollout to a rollout of the agent policy.</v>
      </c>
      <c r="K1476" t="str">
        <f>IFERROR(__xludf.DUMMYFUNCTION("""COMPUTED_VALUE"""),"I like the insight that offsetting is not always bad and the idea of dealing with the bad cases using the task reward. State-based reward functions that capture whether or not the task is currently done also intuitively seem like the correct way of specif"&amp;"ying rewards in cases where achieving the task does not end the episode.")</f>
        <v>I like the insight that offsetting is not always bad and the idea of dealing with the bad cases using the task reward. State-based reward functions that capture whether or not the task is currently done also intuitively seem like the correct way of specifying rewards in cases where achieving the task does not end the episode.</v>
      </c>
    </row>
    <row r="1477">
      <c r="A1477" t="str">
        <f>IFERROR(__xludf.DUMMYFUNCTION("""COMPUTED_VALUE"""),"Preventing bad behavior")</f>
        <v>Preventing bad behavior</v>
      </c>
      <c r="B1477" t="str">
        <f>IFERROR(__xludf.DUMMYFUNCTION("""COMPUTED_VALUE"""),"")</f>
        <v/>
      </c>
      <c r="C1477" s="3" t="str">
        <f>IFERROR(__xludf.DUMMYFUNCTION("""COMPUTED_VALUE"""),"Curiosity Killed the Cat and the Asymptotically Optimal Agent")</f>
        <v>Curiosity Killed the Cat and the Asymptotically Optimal Agent</v>
      </c>
      <c r="D1477" t="str">
        <f>IFERROR(__xludf.DUMMYFUNCTION("""COMPUTED_VALUE"""),"Michael Cohen, Marcus Hutter")</f>
        <v>Michael Cohen, Marcus Hutter</v>
      </c>
      <c r="E1477" t="str">
        <f>IFERROR(__xludf.DUMMYFUNCTION("""COMPUTED_VALUE"""),"Alignment Forum")</f>
        <v>Alignment Forum</v>
      </c>
      <c r="F1477">
        <f>IFERROR(__xludf.DUMMYFUNCTION("""COMPUTED_VALUE"""),2020.0)</f>
        <v>2020</v>
      </c>
      <c r="H1477" s="3" t="str">
        <f>IFERROR(__xludf.DUMMYFUNCTION("""COMPUTED_VALUE"""),"AN #96")</f>
        <v>AN #96</v>
      </c>
      <c r="I1477" t="str">
        <f>IFERROR(__xludf.DUMMYFUNCTION("""COMPUTED_VALUE"""),"Rohin")</f>
        <v>Rohin</v>
      </c>
      <c r="J1477" t="str">
        <f>IFERROR(__xludf.DUMMYFUNCTION("""COMPUTED_VALUE"""),"In environments without resets, an _asymptotically optimal_ agent is one that eventually acts optimally. (It might be the case that the agent first hobbles itself in a decidedly suboptimal way, but _eventually_ it will be rolling out the optimal policy _g"&amp;"iven_ its current hobbled position.) This paper points out that such agents must explore a lot: after all, it's always possible that the very next timestep will be the one where chopping off your arm gives you maximal reward forever -- how do you _know_ t"&amp;"hat's not the case? Since it must explore so much, it is extremely likely that it will fall into a ""trap"", where it can no longer get high reward: for example, maybe its actuators are destroyed.
More formally, the paper proves that when an asymptotical"&amp;"ly optimal agent acts, for any event, either that event occurs, or after some finite time there is no recognizable opportunity to cause the event to happen, even with low probability. Applying this to the event ""the agent is destroyed"", we see that eith"&amp;"er the agent is eventually destroyed, or it becomes _physically impossible_ for the agent to be destroyed, even by itself -- given that the latter seems rather unlikely, we would expect that eventually the agent is destroyed.
The authors suggest that saf"&amp;"e exploration is not a well-defined problem, since you never know what's going to happen when you explore, and they propose that instead agents should have their exploration guided by a mentor or &lt;@parent@&gt;(@Parenting: Safe Reinforcement Learning from Hum"&amp;"an Input@) (see also &lt;@delegative RL@&gt;(@Delegative Reinforcement Learning@), [avoiding catastrophes via human intervention](https://arxiv.org/abs/1707.05173), and [shielding](https://arxiv.org/abs/1708.08611) for more examples).")</f>
        <v>In environments without resets, an _asymptotically optimal_ agent is one that eventually acts optimally. (It might be the case that the agent first hobbles itself in a decidedly suboptimal way, but _eventually_ it will be rolling out the optimal policy _given_ its current hobbled position.) This paper points out that such agents must explore a lot: after all, it's always possible that the very next timestep will be the one where chopping off your arm gives you maximal reward forever -- how do you _know_ that's not the case? Since it must explore so much, it is extremely likely that it will fall into a "trap", where it can no longer get high reward: for example, maybe its actuators are destroyed.
More formally, the paper proves that when an asymptotically optimal agent acts, for any event, either that event occurs, or after some finite time there is no recognizable opportunity to cause the event to happen, even with low probability. Applying this to the event "the agent is destroyed", we see that either the agent is eventually destroyed, or it becomes _physically impossible_ for the agent to be destroyed, even by itself -- given that the latter seems rather unlikely, we would expect that eventually the agent is destroyed.
The authors suggest that safe exploration is not a well-defined problem, since you never know what's going to happen when you explore, and they propose that instead agents should have their exploration guided by a mentor or &lt;@parent@&gt;(@Parenting: Safe Reinforcement Learning from Human Input@) (see also &lt;@delegative RL@&gt;(@Delegative Reinforcement Learning@), [avoiding catastrophes via human intervention](https://arxiv.org/abs/1707.05173), and [shielding](https://arxiv.org/abs/1708.08611) for more examples).</v>
      </c>
      <c r="K1477" t="str">
        <f>IFERROR(__xludf.DUMMYFUNCTION("""COMPUTED_VALUE"""),"In my opinion on &lt;@Safety Gym@&gt;, I mentioned how a zero-violations constraint for safe exploration would require a mentor or parent that already satisfied the constraint; so in that sense I agree with this paper, which is simply making that statement more"&amp;" formal and precise.
Nonetheless, I still think there is a meaningful notion of exploration that can be done safely: once you have learned a good model that you have reasonable confidence in, you can find areas of the model in which you are uncertain, bu"&amp;"t you are at least confident that it won't have permanent negative repercussions, and you can explore there. For example, I often ""explore"" what foods I like, where I'm uncertain of how much I will like the food, but I'm quite confident that the food wi"&amp;"ll not poison and kill me. (However, this notion of exploration is quite different from the notion of exploration typically used in RL, and might better be called ""model-based exploration"" or something like that.)")</f>
        <v>In my opinion on &lt;@Safety Gym@&gt;, I mentioned how a zero-violations constraint for safe exploration would require a mentor or parent that already satisfied the constraint; so in that sense I agree with this paper, which is simply making that statement more formal and precise.
Nonetheless, I still think there is a meaningful notion of exploration that can be done safely: once you have learned a good model that you have reasonable confidence in, you can find areas of the model in which you are uncertain, but you are at least confident that it won't have permanent negative repercussions, and you can explore there. For example, I often "explore" what foods I like, where I'm uncertain of how much I will like the food, but I'm quite confident that the food will not poison and kill me. (However, this notion of exploration is quite different from the notion of exploration typically used in RL, and might better be called "model-based exploration" or something like that.)</v>
      </c>
    </row>
    <row r="1478">
      <c r="A1478" t="str">
        <f>IFERROR(__xludf.DUMMYFUNCTION("""COMPUTED_VALUE"""),"Preventing bad behavior")</f>
        <v>Preventing bad behavior</v>
      </c>
      <c r="B1478" t="str">
        <f>IFERROR(__xludf.DUMMYFUNCTION("""COMPUTED_VALUE"""),"")</f>
        <v/>
      </c>
      <c r="C1478" s="3" t="str">
        <f>IFERROR(__xludf.DUMMYFUNCTION("""COMPUTED_VALUE"""),"Attainable utility has a subagent problem")</f>
        <v>Attainable utility has a subagent problem</v>
      </c>
      <c r="D1478" t="str">
        <f>IFERROR(__xludf.DUMMYFUNCTION("""COMPUTED_VALUE"""),"Stuart Armstrong")</f>
        <v>Stuart Armstrong</v>
      </c>
      <c r="E1478" t="str">
        <f>IFERROR(__xludf.DUMMYFUNCTION("""COMPUTED_VALUE"""),"Alignment Forum")</f>
        <v>Alignment Forum</v>
      </c>
      <c r="F1478">
        <f>IFERROR(__xludf.DUMMYFUNCTION("""COMPUTED_VALUE"""),2020.0)</f>
        <v>2020</v>
      </c>
      <c r="H1478" s="3" t="str">
        <f>IFERROR(__xludf.DUMMYFUNCTION("""COMPUTED_VALUE"""),"AN #86")</f>
        <v>AN #86</v>
      </c>
      <c r="I1478" t="str">
        <f>IFERROR(__xludf.DUMMYFUNCTION("""COMPUTED_VALUE"""),"Flo")</f>
        <v>Flo</v>
      </c>
      <c r="J1478" t="str">
        <f>IFERROR(__xludf.DUMMYFUNCTION("""COMPUTED_VALUE"""),"This post argues that regularizing an agent's impact by &lt;@attainable utility@&gt;(@Towards a New Impact Measure@) can fail when the agent is able to construct subagents. Attainable utility regularization uses auxiliary rewards and penalizes the agent for cha"&amp;"nging its ability to get high expected rewards for these to restrict the agent's power-seeking. More specifically, the penalty for an action is the absolute difference in expected cumulative auxiliary reward between the agent either doing the action or no"&amp;"thing for one time step and then optimizing for the auxiliary reward. 
This can be circumvented in some cases: If the auxiliary reward does not benefit from two agents instead of one optimizing it, the agent can just build a copy of itself that does not "&amp;"have the penalty, as doing this does not change the agent's ability to get a high auxiliary reward. For more general auxiliary rewards, an agent could build another more powerful agent, as long as the powerful agent commits to balancing out the ensuing ch"&amp;"anges in the original agent's attainable auxiliary rewards. ")</f>
        <v>This post argues that regularizing an agent's impact by &lt;@attainable utility@&gt;(@Towards a New Impact Measure@) can fail when the agent is able to construct subagents. Attainable utility regularization uses auxiliary rewards and penalizes the agent for changing its ability to get high expected rewards for these to restrict the agent's power-seeking. More specifically, the penalty for an action is the absolute difference in expected cumulative auxiliary reward between the agent either doing the action or nothing for one time step and then optimizing for the auxiliary reward. 
This can be circumvented in some cases: If the auxiliary reward does not benefit from two agents instead of one optimizing it, the agent can just build a copy of itself that does not have the penalty, as doing this does not change the agent's ability to get a high auxiliary reward. For more general auxiliary rewards, an agent could build another more powerful agent, as long as the powerful agent commits to balancing out the ensuing changes in the original agent's attainable auxiliary rewards. </v>
      </c>
      <c r="K1478" t="str">
        <f>IFERROR(__xludf.DUMMYFUNCTION("""COMPUTED_VALUE"""),"I am confused about how much the commitment to balance out the original agent's attainable utility would constrain the powerful subagent. Also, in the presence of subagents, it seems plausible that attainable utility mostly depends on the agent's ability "&amp;"to produce subagents of different generality with different goals: If a subagent that optimizes for a single auxiliary reward was easier to build than a more general one, building a general powerful agent could considerably decrease attainable utility for"&amp;" all auxiliary rewards, such that the high penalty rules out this action.")</f>
        <v>I am confused about how much the commitment to balance out the original agent's attainable utility would constrain the powerful subagent. Also, in the presence of subagents, it seems plausible that attainable utility mostly depends on the agent's ability to produce subagents of different generality with different goals: If a subagent that optimizes for a single auxiliary reward was easier to build than a more general one, building a general powerful agent could considerably decrease attainable utility for all auxiliary rewards, such that the high penalty rules out this action.</v>
      </c>
    </row>
    <row r="1479">
      <c r="A1479" t="str">
        <f>IFERROR(__xludf.DUMMYFUNCTION("""COMPUTED_VALUE"""),"Preventing bad behavior")</f>
        <v>Preventing bad behavior</v>
      </c>
      <c r="B1479" t="str">
        <f>IFERROR(__xludf.DUMMYFUNCTION("""COMPUTED_VALUE"""),"")</f>
        <v/>
      </c>
      <c r="C1479" s="3" t="str">
        <f>IFERROR(__xludf.DUMMYFUNCTION("""COMPUTED_VALUE"""),"Vehicle Automation Report")</f>
        <v>Vehicle Automation Report</v>
      </c>
      <c r="D1479" t="str">
        <f>IFERROR(__xludf.DUMMYFUNCTION("""COMPUTED_VALUE"""),"NTSB")</f>
        <v>NTSB</v>
      </c>
      <c r="E1479" t="str">
        <f>IFERROR(__xludf.DUMMYFUNCTION("""COMPUTED_VALUE"""),"Government Report")</f>
        <v>Government Report</v>
      </c>
      <c r="F1479">
        <f>IFERROR(__xludf.DUMMYFUNCTION("""COMPUTED_VALUE"""),2019.0)</f>
        <v>2019</v>
      </c>
      <c r="H1479" s="3" t="str">
        <f>IFERROR(__xludf.DUMMYFUNCTION("""COMPUTED_VALUE"""),"AN #74")</f>
        <v>AN #74</v>
      </c>
      <c r="I1479" t="str">
        <f>IFERROR(__xludf.DUMMYFUNCTION("""COMPUTED_VALUE"""),"Zach")</f>
        <v>Zach</v>
      </c>
      <c r="J1479" t="str">
        <f>IFERROR(__xludf.DUMMYFUNCTION("""COMPUTED_VALUE"""),"Last week, the NTSB released a report on the Uber automated driving system (ADS) that hit and killed Elaine Herzberg. The pedestrian was walking across a two-lane street with a bicycle. However, the car didn't slow down before impact. Moreover, even thoug"&amp;"h the environment was dark, the car was equipped with LIDAR sensors which means that the car was able to fully observe the potential for collision. The report takes a closer look at how Uber had set up their ADS and notes that in addition to not consideri"&amp;"ng the possibility of jay-walkers, ""...if the perception system changes the classification of a detected object, the tracking history of that object is no longer considered when generating new trajectories"". Additionally, in the final few seconds leadin"&amp;"g up to the crash the vehicle engaged in *action suppression*, which is described as ""a one-second period during which the ADS suppresses planned braking while the (1) system verifies the nature of the detected hazard and calculates an alternative path, "&amp;"or (2) vehicle operator takes control of the vehicle"". The reason cited for implementing this was concerns of false alarms which could cause the vehicle to engage in unnecessary extreme maneuvers. Following the crash, Uber suspended its ADS operations an"&amp;"d made several changes. They now use onboard safety features of the Volvo system that were previously turned off, action suppression is no longer implemented, and path predictions are held across object classification changes.")</f>
        <v>Last week, the NTSB released a report on the Uber automated driving system (ADS) that hit and killed Elaine Herzberg. The pedestrian was walking across a two-lane street with a bicycle. However, the car didn't slow down before impact. Moreover, even though the environment was dark, the car was equipped with LIDAR sensors which means that the car was able to fully observe the potential for collision. The report takes a closer look at how Uber had set up their ADS and notes that in addition to not considering the possibility of jay-walkers, "...if the perception system changes the classification of a detected object, the tracking history of that object is no longer considered when generating new trajectories". Additionally, in the final few seconds leading up to the crash the vehicle engaged in *action suppression*, which is described as "a one-second period during which the ADS suppresses planned braking while the (1) system verifies the nature of the detected hazard and calculates an alternative path, or (2) vehicle operator takes control of the vehicle". The reason cited for implementing this was concerns of false alarms which could cause the vehicle to engage in unnecessary extreme maneuvers. Following the crash, Uber suspended its ADS operations and made several changes. They now use onboard safety features of the Volvo system that were previously turned off, action suppression is no longer implemented, and path predictions are held across object classification changes.</v>
      </c>
      <c r="K1479" t="str">
        <f>IFERROR(__xludf.DUMMYFUNCTION("""COMPUTED_VALUE"""),"**While there is a fair amount of nuance regarding the specifics of how Uber's ADS was operating it does seem as though there was a fair amount of incompetence in how the ADS was deployed.** Turning off Volvo system fail-safes, not accounting for jaywalki"&amp;"ng, and trajectory reseting seem like unequivocal *mistakes*. A lot of people also seem upset that Uber was engaging in action suppression. However, given that randomly engaging in extreme maneuvering in the presence of other vehicles can *indirectly caus"&amp;"e* accidents I have a small amount of sympathy for why such a feature existed in the first place. Of course, the feature was removed and it's worth noting that ""there have been no unintended consequences—increased number of false alarms"". ")</f>
        <v>**While there is a fair amount of nuance regarding the specifics of how Uber's ADS was operating it does seem as though there was a fair amount of incompetence in how the ADS was deployed.** Turning off Volvo system fail-safes, not accounting for jaywalking, and trajectory reseting seem like unequivocal *mistakes*. A lot of people also seem upset that Uber was engaging in action suppression. However, given that randomly engaging in extreme maneuvering in the presence of other vehicles can *indirectly cause* accidents I have a small amount of sympathy for why such a feature existed in the first place. Of course, the feature was removed and it's worth noting that "there have been no unintended consequences—increased number of false alarms". </v>
      </c>
      <c r="M1479" t="str">
        <f>IFERROR(__xludf.DUMMYFUNCTION("""COMPUTED_VALUE"""),"Jeff Kaufman writes a [post](https://www.lesswrong.com/posts/tTg4bn5rxHYqQJXhD) summarizing both the original incident and the report. Wikipedia is also rather thorough in their reporting on the factual information. Finally, *[Planning and Decision-Making"&amp;" for Autonomous Vehicles](https://www.annualreviews.org/doi/pdf/10.1146/annurev-control-060117-105157)* gives an overview of recent trends in the field and provides good references for people interested in safety concerns.")</f>
        <v>Jeff Kaufman writes a [post](https://www.lesswrong.com/posts/tTg4bn5rxHYqQJXhD) summarizing both the original incident and the report. Wikipedia is also rather thorough in their reporting on the factual information. Finally, *[Planning and Decision-Making for Autonomous Vehicles](https://www.annualreviews.org/doi/pdf/10.1146/annurev-control-060117-105157)* gives an overview of recent trends in the field and provides good references for people interested in safety concerns.</v>
      </c>
    </row>
    <row r="1480">
      <c r="A1480" t="str">
        <f>IFERROR(__xludf.DUMMYFUNCTION("""COMPUTED_VALUE"""),"Preventing bad behavior")</f>
        <v>Preventing bad behavior</v>
      </c>
      <c r="B1480" t="str">
        <f>IFERROR(__xludf.DUMMYFUNCTION("""COMPUTED_VALUE"""),"")</f>
        <v/>
      </c>
      <c r="C1480" s="3" t="str">
        <f>IFERROR(__xludf.DUMMYFUNCTION("""COMPUTED_VALUE"""),"Reversible changes: consider a bucket of water")</f>
        <v>Reversible changes: consider a bucket of water</v>
      </c>
      <c r="D1480" t="str">
        <f>IFERROR(__xludf.DUMMYFUNCTION("""COMPUTED_VALUE"""),"Stuart Armstrong")</f>
        <v>Stuart Armstrong</v>
      </c>
      <c r="E1480" t="str">
        <f>IFERROR(__xludf.DUMMYFUNCTION("""COMPUTED_VALUE"""),"Alignment Forum")</f>
        <v>Alignment Forum</v>
      </c>
      <c r="F1480">
        <f>IFERROR(__xludf.DUMMYFUNCTION("""COMPUTED_VALUE"""),2019.0)</f>
        <v>2019</v>
      </c>
      <c r="H1480" s="3" t="str">
        <f>IFERROR(__xludf.DUMMYFUNCTION("""COMPUTED_VALUE"""),"AN #64")</f>
        <v>AN #64</v>
      </c>
      <c r="I1480" t="str">
        <f>IFERROR(__xludf.DUMMYFUNCTION("""COMPUTED_VALUE"""),"Rohin")</f>
        <v>Rohin</v>
      </c>
      <c r="J1480" t="str">
        <f>IFERROR(__xludf.DUMMYFUNCTION("""COMPUTED_VALUE"""),"This post argues that impact regularization methods require preference information in order to work well. Consider a robot that has to navigate to a location, and the fastest way of doing so involves kicking a bucket of water into a pool to get it out of "&amp;"the way. Kicking the bucket is acceptable even though it is irreversible, but it may not be if the water has a special mixture of salts used for an industrial process. In order to determine the appropriate penalty for kicking the bucket, we need preferenc"&amp;"e information -- it is not enough to think about anything value-agnostic like reversibility.")</f>
        <v>This post argues that impact regularization methods require preference information in order to work well. Consider a robot that has to navigate to a location, and the fastest way of doing so involves kicking a bucket of water into a pool to get it out of the way. Kicking the bucket is acceptable even though it is irreversible, but it may not be if the water has a special mixture of salts used for an industrial process. In order to determine the appropriate penalty for kicking the bucket, we need preference information -- it is not enough to think about anything value-agnostic like reversibility.</v>
      </c>
      <c r="K1480" t="str">
        <f>IFERROR(__xludf.DUMMYFUNCTION("""COMPUTED_VALUE"""),"I agree with this -- as I've [said](https://www.alignmentforum.org/posts/kCY9dYGLoThC3aG7w/best-reasons-for-pessimism-about-impact-of-impact-measures#qAy66Wza8csAqWxiB) [before](https://www.alignmentforum.org/posts/yEa7kwoMpsBgaBCgb/towards-a-new-impact-m"&amp;"easure#JFuGFW8ifAPAL6bjp), it seems hard to simultaneously avoid catastrophes, be useful, and be value agnostic. This post is arguing that if we want to avoid catastrophes and be useful, then we can't be value agnostic.")</f>
        <v>I agree with this -- as I've [said](https://www.alignmentforum.org/posts/kCY9dYGLoThC3aG7w/best-reasons-for-pessimism-about-impact-of-impact-measures#qAy66Wza8csAqWxiB) [before](https://www.alignmentforum.org/posts/yEa7kwoMpsBgaBCgb/towards-a-new-impact-measure#JFuGFW8ifAPAL6bjp), it seems hard to simultaneously avoid catastrophes, be useful, and be value agnostic. This post is arguing that if we want to avoid catastrophes and be useful, then we can't be value agnostic.</v>
      </c>
    </row>
    <row r="1481">
      <c r="A1481" t="str">
        <f>IFERROR(__xludf.DUMMYFUNCTION("""COMPUTED_VALUE"""),"Preventing bad behavior")</f>
        <v>Preventing bad behavior</v>
      </c>
      <c r="B1481" t="str">
        <f>IFERROR(__xludf.DUMMYFUNCTION("""COMPUTED_VALUE"""),"")</f>
        <v/>
      </c>
      <c r="C1481" s="3" t="str">
        <f>IFERROR(__xludf.DUMMYFUNCTION("""COMPUTED_VALUE"""),"Bridging Hamilton-Jacobi Safety Analysis and Reinforcement Learning")</f>
        <v>Bridging Hamilton-Jacobi Safety Analysis and Reinforcement Learning</v>
      </c>
      <c r="D1481" t="str">
        <f>IFERROR(__xludf.DUMMYFUNCTION("""COMPUTED_VALUE"""),"Jaime F. Fisac*, Neil F. Lugovoy*, Vicenc Rubies-Royo, Shromona Ghosh, Claire J. Tomlin")</f>
        <v>Jaime F. Fisac*, Neil F. Lugovoy*, Vicenc Rubies-Royo, Shromona Ghosh, Claire J. Tomlin</v>
      </c>
      <c r="E1481" t="str">
        <f>IFERROR(__xludf.DUMMYFUNCTION("""COMPUTED_VALUE"""),"ICRA 2019")</f>
        <v>ICRA 2019</v>
      </c>
      <c r="F1481">
        <f>IFERROR(__xludf.DUMMYFUNCTION("""COMPUTED_VALUE"""),2019.0)</f>
        <v>2019</v>
      </c>
      <c r="H1481" s="3" t="str">
        <f>IFERROR(__xludf.DUMMYFUNCTION("""COMPUTED_VALUE"""),"AN #61")</f>
        <v>AN #61</v>
      </c>
      <c r="I1481" t="str">
        <f>IFERROR(__xludf.DUMMYFUNCTION("""COMPUTED_VALUE"""),"Rohin")</f>
        <v>Rohin</v>
      </c>
      <c r="J1481" t="str">
        <f>IFERROR(__xludf.DUMMYFUNCTION("""COMPUTED_VALUE"""),"Reinforcement learning is not great at enforcing constraints that hold at all times, because the agent would violate a constraint now if it would lead to higher reward later. In robust optimal control theory, we maximize the **minimum** of the constraint "&amp;"reward over time to avoid this. We can do this in the Bellman equation by taking a minimum between the current reward and estimated future value (instead of summing), but this does not uniquely define a fixed point. Just as in regular RL, we can use disco"&amp;"unting to avoid the problem: in particular, if we interpret the discount as the probability that the episode continues, we can derive a Safety Bellman equation for which Q-learning is guaranteed to converge. They demonstrate their method in classic contro"&amp;"l environments as well as half-cheetah, with a range of RL algorithms including soft actor-critic (SAC).")</f>
        <v>Reinforcement learning is not great at enforcing constraints that hold at all times, because the agent would violate a constraint now if it would lead to higher reward later. In robust optimal control theory, we maximize the **minimum** of the constraint reward over time to avoid this. We can do this in the Bellman equation by taking a minimum between the current reward and estimated future value (instead of summing), but this does not uniquely define a fixed point. Just as in regular RL, we can use discounting to avoid the problem: in particular, if we interpret the discount as the probability that the episode continues, we can derive a Safety Bellman equation for which Q-learning is guaranteed to converge. They demonstrate their method in classic control environments as well as half-cheetah, with a range of RL algorithms including soft actor-critic (SAC).</v>
      </c>
      <c r="K1481" t="str">
        <f>IFERROR(__xludf.DUMMYFUNCTION("""COMPUTED_VALUE"""),"I really like how simple the change is here -- it should be a one-line change for many deep RL algorithms. Previously, we had to choose between unconstrained agents for high dimensional problems, or constrained agents for low dimensional problems -- I lik"&amp;"e that this work is making progress on constrained agents for high dimensional problems, similarly to [Constrained Policy Optimization](https://arxiv.org/abs/1705.10528). While this work doesn't involve a performance reward, you could use the resulting sa"&amp;"fe policy in order to guide a process of safe exploration to learn a policy that safely optimizes a performance metric. Of course, this is all assuming a specification for the constraint to satisfy.")</f>
        <v>I really like how simple the change is here -- it should be a one-line change for many deep RL algorithms. Previously, we had to choose between unconstrained agents for high dimensional problems, or constrained agents for low dimensional problems -- I like that this work is making progress on constrained agents for high dimensional problems, similarly to [Constrained Policy Optimization](https://arxiv.org/abs/1705.10528). While this work doesn't involve a performance reward, you could use the resulting safe policy in order to guide a process of safe exploration to learn a policy that safely optimizes a performance metric. Of course, this is all assuming a specification for the constraint to satisfy.</v>
      </c>
    </row>
    <row r="1482">
      <c r="A1482" t="str">
        <f>IFERROR(__xludf.DUMMYFUNCTION("""COMPUTED_VALUE"""),"Preventing bad behavior")</f>
        <v>Preventing bad behavior</v>
      </c>
      <c r="B1482" t="str">
        <f>IFERROR(__xludf.DUMMYFUNCTION("""COMPUTED_VALUE"""),"")</f>
        <v/>
      </c>
      <c r="C1482" t="str">
        <f>IFERROR(__xludf.DUMMYFUNCTION("""COMPUTED_VALUE"""),"[Self-confirming predictions can be arbitrarily bad](https://www.alignmentforum.org/posts/KoEY9CjrKe93ErYhd/self-confirming-predictions-can-be-arbitrarily-bad) and [Oracles, sequence predictors, and self-confirming predictions](https://www.alignmentforum."&amp;"org/posts/i2dNFgbjnqZBfeitT/oracles-sequence-predictors-and-self-confirming-predictions)")</f>
        <v>[Self-confirming predictions can be arbitrarily bad](https://www.alignmentforum.org/posts/KoEY9CjrKe93ErYhd/self-confirming-predictions-can-be-arbitrarily-bad) and [Oracles, sequence predictors, and self-confirming predictions](https://www.alignmentforum.org/posts/i2dNFgbjnqZBfeitT/oracles-sequence-predictors-and-self-confirming-predictions)</v>
      </c>
      <c r="D1482" t="str">
        <f>IFERROR(__xludf.DUMMYFUNCTION("""COMPUTED_VALUE"""),"Stuart Armstrong")</f>
        <v>Stuart Armstrong</v>
      </c>
      <c r="E1482" t="str">
        <f>IFERROR(__xludf.DUMMYFUNCTION("""COMPUTED_VALUE"""),"Alignment Forum")</f>
        <v>Alignment Forum</v>
      </c>
      <c r="F1482">
        <f>IFERROR(__xludf.DUMMYFUNCTION("""COMPUTED_VALUE"""),2019.0)</f>
        <v>2019</v>
      </c>
      <c r="H1482" s="3" t="str">
        <f>IFERROR(__xludf.DUMMYFUNCTION("""COMPUTED_VALUE"""),"AN #55")</f>
        <v>AN #55</v>
      </c>
      <c r="I1482" t="str">
        <f>IFERROR(__xludf.DUMMYFUNCTION("""COMPUTED_VALUE"""),"Rohin")</f>
        <v>Rohin</v>
      </c>
      <c r="J1482" t="str">
        <f>IFERROR(__xludf.DUMMYFUNCTION("""COMPUTED_VALUE"""),"Let's consider an oracle AI system tasked with accurate prediction, with a strong enough world model that it could understand how its prediction will affect the world. In that case, ""accurate prediction"" means giving a prediction P such that the world e"&amp;"nds up satisfying P, _given_ the knowledge that prediction P was made. There need not be a single correct prediction -- there could be no correct prediction (imagine predicting what I will say given that I commit to saying something different from what yo"&amp;"u predict), or there could be many correct predictions (imagine instead that I commit to say whatever you predict). These self-confirming predictions could be arbitrarily bad.
Part of the point of oracles was to have AI systems that don't try to affect t"&amp;"he world, but now the AI system will learn to manipulate us via predictions such that the predictions come true. Imagine for example the self-confirming prediction where the oracle predicts zero profit for a company, which causes the company to shut down."&amp;"
In order to fix this, we could have _counterfactual oracles_, which predict what would have happened in a counterfactual where the prediction couldn't affect the world. In particular, we ask the oracle to predict the future **given that the prediction w"&amp;"ill immediately be erased and never be read by anyone**. We can also use this to tell how much the prediction can affect us, by looking at the difference between the unconditional prediction and the prediction conditioned on erasure.")</f>
        <v>Let's consider an oracle AI system tasked with accurate prediction, with a strong enough world model that it could understand how its prediction will affect the world. In that case, "accurate prediction" means giving a prediction P such that the world ends up satisfying P, _given_ the knowledge that prediction P was made. There need not be a single correct prediction -- there could be no correct prediction (imagine predicting what I will say given that I commit to saying something different from what you predict), or there could be many correct predictions (imagine instead that I commit to say whatever you predict). These self-confirming predictions could be arbitrarily bad.
Part of the point of oracles was to have AI systems that don't try to affect the world, but now the AI system will learn to manipulate us via predictions such that the predictions come true. Imagine for example the self-confirming prediction where the oracle predicts zero profit for a company, which causes the company to shut down.
In order to fix this, we could have _counterfactual oracles_, which predict what would have happened in a counterfactual where the prediction couldn't affect the world. In particular, we ask the oracle to predict the future **given that the prediction will immediately be erased and never be read by anyone**. We can also use this to tell how much the prediction can affect us, by looking at the difference between the unconditional prediction and the prediction conditioned on erasure.</v>
      </c>
      <c r="M1482" s="3" t="str">
        <f>IFERROR(__xludf.DUMMYFUNCTION("""COMPUTED_VALUE"""),"Good and safe uses of AI Oracles")</f>
        <v>Good and safe uses of AI Oracles</v>
      </c>
    </row>
    <row r="1483">
      <c r="A1483" t="str">
        <f>IFERROR(__xludf.DUMMYFUNCTION("""COMPUTED_VALUE"""),"Preventing bad behavior")</f>
        <v>Preventing bad behavior</v>
      </c>
      <c r="B1483" t="str">
        <f>IFERROR(__xludf.DUMMYFUNCTION("""COMPUTED_VALUE"""),"")</f>
        <v/>
      </c>
      <c r="C1483" s="3" t="str">
        <f>IFERROR(__xludf.DUMMYFUNCTION("""COMPUTED_VALUE"""),"Conservative Agency via Attainable Utility Preservation")</f>
        <v>Conservative Agency via Attainable Utility Preservation</v>
      </c>
      <c r="D1483" t="str">
        <f>IFERROR(__xludf.DUMMYFUNCTION("""COMPUTED_VALUE"""),"Alexander Matt Turner, Dylan Hadfield-Menell, Prasad Tadepalli")</f>
        <v>Alexander Matt Turner, Dylan Hadfield-Menell, Prasad Tadepalli</v>
      </c>
      <c r="E1483" t="str">
        <f>IFERROR(__xludf.DUMMYFUNCTION("""COMPUTED_VALUE"""),"arXiv")</f>
        <v>arXiv</v>
      </c>
      <c r="F1483">
        <f>IFERROR(__xludf.DUMMYFUNCTION("""COMPUTED_VALUE"""),2019.0)</f>
        <v>2019</v>
      </c>
      <c r="H1483" s="3" t="str">
        <f>IFERROR(__xludf.DUMMYFUNCTION("""COMPUTED_VALUE"""),"AN #49")</f>
        <v>AN #49</v>
      </c>
      <c r="I1483" t="str">
        <f>IFERROR(__xludf.DUMMYFUNCTION("""COMPUTED_VALUE"""),"Rohin")</f>
        <v>Rohin</v>
      </c>
      <c r="J1483" t="str">
        <f>IFERROR(__xludf.DUMMYFUNCTION("""COMPUTED_VALUE"""),"This paper presents in a more academic format a lot of the content that Alex has published about attainable utility preservation, see &lt;@Towards a New Impact Measure@&gt; and &lt;@Penalizing Impact via Attainable Utility Preservation@&gt;.")</f>
        <v>This paper presents in a more academic format a lot of the content that Alex has published about attainable utility preservation, see &lt;@Towards a New Impact Measure@&gt; and &lt;@Penalizing Impact via Attainable Utility Preservation@&gt;.</v>
      </c>
    </row>
    <row r="1484">
      <c r="A1484" t="str">
        <f>IFERROR(__xludf.DUMMYFUNCTION("""COMPUTED_VALUE"""),"Preventing bad behavior")</f>
        <v>Preventing bad behavior</v>
      </c>
      <c r="B1484" t="str">
        <f>IFERROR(__xludf.DUMMYFUNCTION("""COMPUTED_VALUE"""),"")</f>
        <v/>
      </c>
      <c r="C1484" s="3" t="str">
        <f>IFERROR(__xludf.DUMMYFUNCTION("""COMPUTED_VALUE"""),"Robust temporal difference learning for critical domains")</f>
        <v>Robust temporal difference learning for critical domains</v>
      </c>
      <c r="D1484" t="str">
        <f>IFERROR(__xludf.DUMMYFUNCTION("""COMPUTED_VALUE"""),"Richard Klima, Daan Bloembergen, Michael Kaisers, Karl Tuyls")</f>
        <v>Richard Klima, Daan Bloembergen, Michael Kaisers, Karl Tuyls</v>
      </c>
      <c r="E1484" t="str">
        <f>IFERROR(__xludf.DUMMYFUNCTION("""COMPUTED_VALUE"""),"AAMAS 19")</f>
        <v>AAMAS 19</v>
      </c>
      <c r="F1484">
        <f>IFERROR(__xludf.DUMMYFUNCTION("""COMPUTED_VALUE"""),2019.0)</f>
        <v>2019</v>
      </c>
      <c r="H1484" s="3" t="str">
        <f>IFERROR(__xludf.DUMMYFUNCTION("""COMPUTED_VALUE"""),"AN #44")</f>
        <v>AN #44</v>
      </c>
    </row>
    <row r="1485">
      <c r="A1485" t="str">
        <f>IFERROR(__xludf.DUMMYFUNCTION("""COMPUTED_VALUE"""),"Preventing bad behavior")</f>
        <v>Preventing bad behavior</v>
      </c>
      <c r="B1485" t="str">
        <f>IFERROR(__xludf.DUMMYFUNCTION("""COMPUTED_VALUE"""),"")</f>
        <v/>
      </c>
      <c r="C1485" s="3" t="str">
        <f>IFERROR(__xludf.DUMMYFUNCTION("""COMPUTED_VALUE"""),"Penalizing Impact via Attainable Utility Preservation")</f>
        <v>Penalizing Impact via Attainable Utility Preservation</v>
      </c>
      <c r="D1485" t="str">
        <f>IFERROR(__xludf.DUMMYFUNCTION("""COMPUTED_VALUE"""),"Alex Turner")</f>
        <v>Alex Turner</v>
      </c>
      <c r="E1485" t="str">
        <f>IFERROR(__xludf.DUMMYFUNCTION("""COMPUTED_VALUE"""),"Alignment Forum")</f>
        <v>Alignment Forum</v>
      </c>
      <c r="F1485">
        <f>IFERROR(__xludf.DUMMYFUNCTION("""COMPUTED_VALUE"""),2018.0)</f>
        <v>2018</v>
      </c>
      <c r="H1485" s="3" t="str">
        <f>IFERROR(__xludf.DUMMYFUNCTION("""COMPUTED_VALUE"""),"AN #39")</f>
        <v>AN #39</v>
      </c>
      <c r="I1485" t="str">
        <f>IFERROR(__xludf.DUMMYFUNCTION("""COMPUTED_VALUE"""),"Rohin")</f>
        <v>Rohin</v>
      </c>
      <c r="J1485" t="str">
        <f>IFERROR(__xludf.DUMMYFUNCTION("""COMPUTED_VALUE"""),"This post and the linked paper present [Attainable Utility Preservation] ([AN #25](https://mailchi.mp/0c5eeec28f75/alignment-newsletter-25)) more simply. There are new experiments that show that AUP works on some of the [AI Safety Gridworlds](https://arxi"&amp;"v.org/abs/1711.09883) even when using a set of _random_ utility functions, and compares this against other methods of avoiding side effects.")</f>
        <v>This post and the linked paper present [Attainable Utility Preservation] ([AN #25](https://mailchi.mp/0c5eeec28f75/alignment-newsletter-25)) more simply. There are new experiments that show that AUP works on some of the [AI Safety Gridworlds](https://arxiv.org/abs/1711.09883) even when using a set of _random_ utility functions, and compares this against other methods of avoiding side effects.</v>
      </c>
      <c r="K1485" t="str">
        <f>IFERROR(__xludf.DUMMYFUNCTION("""COMPUTED_VALUE"""),"While this is easier to read and understand, I think there are important points in the [original post](https://www.alignmentforum.org/posts/yEa7kwoMpsBgaBCgb/towards-a-new-impact-measure) that do not come across, so I would recommend reading both. In part"&amp;"icular, one of my core takeaways from AUP was that convergent instrumental subgoals could be avoided by penalizing _increases_ in attainable utilities, and I don't think that comes across as well in this paper. This is the main thing that makes AUP differ"&amp;"ent, and it's what allows it to avoid disabling the off switch in the Survival gridworld.
The fact that AUP works with random rewards is interesting, but I'm not sure it will generalize to realistic environments. In these gridworlds, there is usually a s"&amp;"ingle thing that the agent is not supposed to do. It's very likely that several of the random rewards will care about that particular thing, which means that the AUP penalty will apply, so as long as full AUP would have solved the problem, AUP with random"&amp;" rewards would probably also solve it. However, in more realistic environments, there are many different things that the agent is supposed to avoid, and it's not clear how big a random sample of reward functions needs to be in order to capture all of them"&amp;". (However, it does seem reasonably likely that if the reward functions are ""natural"", you only need a few of them to avoid convergent instrumental subgoals.)")</f>
        <v>While this is easier to read and understand, I think there are important points in the [original post](https://www.alignmentforum.org/posts/yEa7kwoMpsBgaBCgb/towards-a-new-impact-measure) that do not come across, so I would recommend reading both. In particular, one of my core takeaways from AUP was that convergent instrumental subgoals could be avoided by penalizing _increases_ in attainable utilities, and I don't think that comes across as well in this paper. This is the main thing that makes AUP different, and it's what allows it to avoid disabling the off switch in the Survival gridworld.
The fact that AUP works with random rewards is interesting, but I'm not sure it will generalize to realistic environments. In these gridworlds, there is usually a single thing that the agent is not supposed to do. It's very likely that several of the random rewards will care about that particular thing, which means that the AUP penalty will apply, so as long as full AUP would have solved the problem, AUP with random rewards would probably also solve it. However, in more realistic environments, there are many different things that the agent is supposed to avoid, and it's not clear how big a random sample of reward functions needs to be in order to capture all of them. (However, it does seem reasonably likely that if the reward functions are "natural", you only need a few of them to avoid convergent instrumental subgoals.)</v>
      </c>
    </row>
    <row r="1486">
      <c r="A1486" t="str">
        <f>IFERROR(__xludf.DUMMYFUNCTION("""COMPUTED_VALUE"""),"Preventing bad behavior")</f>
        <v>Preventing bad behavior</v>
      </c>
      <c r="B1486" t="str">
        <f>IFERROR(__xludf.DUMMYFUNCTION("""COMPUTED_VALUE"""),"")</f>
        <v/>
      </c>
      <c r="C1486" s="3" t="str">
        <f>IFERROR(__xludf.DUMMYFUNCTION("""COMPUTED_VALUE"""),"Safe Reinforcement Learning with Model Uncertainty Estimates")</f>
        <v>Safe Reinforcement Learning with Model Uncertainty Estimates</v>
      </c>
      <c r="D1486" t="str">
        <f>IFERROR(__xludf.DUMMYFUNCTION("""COMPUTED_VALUE"""),"Björn Lütjens, Michael Everett, Jonathan P. How")</f>
        <v>Björn Lütjens, Michael Everett, Jonathan P. How</v>
      </c>
      <c r="E1486" t="str">
        <f>IFERROR(__xludf.DUMMYFUNCTION("""COMPUTED_VALUE"""),"arXiv")</f>
        <v>arXiv</v>
      </c>
      <c r="F1486">
        <f>IFERROR(__xludf.DUMMYFUNCTION("""COMPUTED_VALUE"""),2018.0)</f>
        <v>2018</v>
      </c>
      <c r="H1486" s="3" t="str">
        <f>IFERROR(__xludf.DUMMYFUNCTION("""COMPUTED_VALUE"""),"AN #30")</f>
        <v>AN #30</v>
      </c>
    </row>
    <row r="1487">
      <c r="A1487" t="str">
        <f>IFERROR(__xludf.DUMMYFUNCTION("""COMPUTED_VALUE"""),"Preventing bad behavior")</f>
        <v>Preventing bad behavior</v>
      </c>
      <c r="B1487" t="str">
        <f>IFERROR(__xludf.DUMMYFUNCTION("""COMPUTED_VALUE"""),"")</f>
        <v/>
      </c>
      <c r="C1487" s="3" t="str">
        <f>IFERROR(__xludf.DUMMYFUNCTION("""COMPUTED_VALUE"""),"Shielded Decision-Making in MDPs")</f>
        <v>Shielded Decision-Making in MDPs</v>
      </c>
      <c r="D1487" t="str">
        <f>IFERROR(__xludf.DUMMYFUNCTION("""COMPUTED_VALUE"""),"Nils Jansen, Bettina Könighofer, Sebastian Junges, Roderick Bloem")</f>
        <v>Nils Jansen, Bettina Könighofer, Sebastian Junges, Roderick Bloem</v>
      </c>
      <c r="E1487" t="str">
        <f>IFERROR(__xludf.DUMMYFUNCTION("""COMPUTED_VALUE"""),"arXiv")</f>
        <v>arXiv</v>
      </c>
      <c r="F1487">
        <f>IFERROR(__xludf.DUMMYFUNCTION("""COMPUTED_VALUE"""),2018.0)</f>
        <v>2018</v>
      </c>
      <c r="H1487" s="3" t="str">
        <f>IFERROR(__xludf.DUMMYFUNCTION("""COMPUTED_VALUE"""),"AN #16")</f>
        <v>AN #16</v>
      </c>
      <c r="I1487" t="str">
        <f>IFERROR(__xludf.DUMMYFUNCTION("""COMPUTED_VALUE"""),"Rohin")</f>
        <v>Rohin</v>
      </c>
      <c r="J1487" t="str">
        <f>IFERROR(__xludf.DUMMYFUNCTION("""COMPUTED_VALUE"""),"Given a model of an MDP, we can compute a _shield_, which restricts the actions available to an RL agent to only the ones that can achieve at least some fraction of the optimal value. This results in safe exploration (since catastrophes would fall under t"&amp;"he level that the shield guarantees), and also improves sample efficiency, since you no longer have tons of episodes in which the agent gets a large negative reward which only serve to teach it what not to do. They evaluate their approach on Pacman.")</f>
        <v>Given a model of an MDP, we can compute a _shield_, which restricts the actions available to an RL agent to only the ones that can achieve at least some fraction of the optimal value. This results in safe exploration (since catastrophes would fall under the level that the shield guarantees), and also improves sample efficiency, since you no longer have tons of episodes in which the agent gets a large negative reward which only serve to teach it what not to do. They evaluate their approach on Pacman.</v>
      </c>
      <c r="K1487" t="str">
        <f>IFERROR(__xludf.DUMMYFUNCTION("""COMPUTED_VALUE"""),"They require quite a lot of modeling in order to do this -- I think that it's specific to a particular kind of MDP, where there is an agent, and adversaries (the ghosts in Pacman), that are traversing a graph (the maze), which can have tokens (the food pe"&amp;"llets). In theory, you should just solve the MDP and not use RL at all. Also in theory, shielding would actually require you to do this (in order to calculate the optimal values of actions), in which case it seems pointless (just use the optimal policy in"&amp;"stead). In practice, the shield is only computed over a few timesteps. So you can think of this as a way of combining explicit, computationally-expensive forward reasoning (as in value iteration, for example) with RL, which learns from experience and can "&amp;"scale to much longer time horizons.
From the perspective of safety, I would be a lot more interested in approaches based on formal verification if they could work with learned features, rather than requiring that the human accurately formally model the w"&amp;"orld. This seems doable using a framework similar to [Trial without Error: Towards Safe Reinforcement Learning via Human Intervention](https://arxiv.org/abs/1707.05173), except by getting a formal safety specification iteratively instead of learning to mi"&amp;"mic the human shield with neural nets.")</f>
        <v>They require quite a lot of modeling in order to do this -- I think that it's specific to a particular kind of MDP, where there is an agent, and adversaries (the ghosts in Pacman), that are traversing a graph (the maze), which can have tokens (the food pellets). In theory, you should just solve the MDP and not use RL at all. Also in theory, shielding would actually require you to do this (in order to calculate the optimal values of actions), in which case it seems pointless (just use the optimal policy instead). In practice, the shield is only computed over a few timesteps. So you can think of this as a way of combining explicit, computationally-expensive forward reasoning (as in value iteration, for example) with RL, which learns from experience and can scale to much longer time horizons.
From the perspective of safety, I would be a lot more interested in approaches based on formal verification if they could work with learned features, rather than requiring that the human accurately formally model the world. This seems doable using a framework similar to [Trial without Error: Towards Safe Reinforcement Learning via Human Intervention](https://arxiv.org/abs/1707.05173), except by getting a formal safety specification iteratively instead of learning to mimic the human shield with neural nets.</v>
      </c>
    </row>
    <row r="1488">
      <c r="A1488" t="str">
        <f>IFERROR(__xludf.DUMMYFUNCTION("""COMPUTED_VALUE"""),"Preventing bad behavior")</f>
        <v>Preventing bad behavior</v>
      </c>
      <c r="B1488" t="str">
        <f>IFERROR(__xludf.DUMMYFUNCTION("""COMPUTED_VALUE"""),"")</f>
        <v/>
      </c>
      <c r="C1488" s="3" t="str">
        <f>IFERROR(__xludf.DUMMYFUNCTION("""COMPUTED_VALUE"""),"AXRP Episode 7 - Side Effects")</f>
        <v>AXRP Episode 7 - Side Effects</v>
      </c>
      <c r="D1488" t="str">
        <f>IFERROR(__xludf.DUMMYFUNCTION("""COMPUTED_VALUE"""),"Daniel Filan and Victoria Krakovna")</f>
        <v>Daniel Filan and Victoria Krakovna</v>
      </c>
      <c r="E1488" t="str">
        <f>IFERROR(__xludf.DUMMYFUNCTION("""COMPUTED_VALUE"""),"Alignment Forum")</f>
        <v>Alignment Forum</v>
      </c>
      <c r="F1488">
        <f>IFERROR(__xludf.DUMMYFUNCTION("""COMPUTED_VALUE"""),2021.0)</f>
        <v>2021</v>
      </c>
      <c r="H1488" s="3" t="str">
        <f>IFERROR(__xludf.DUMMYFUNCTION("""COMPUTED_VALUE"""),"AN #151")</f>
        <v>AN #151</v>
      </c>
      <c r="I1488" t="str">
        <f>IFERROR(__xludf.DUMMYFUNCTION("""COMPUTED_VALUE"""),"Rohin")</f>
        <v>Rohin</v>
      </c>
      <c r="J1488" t="str">
        <f>IFERROR(__xludf.DUMMYFUNCTION("""COMPUTED_VALUE"""),"This podcast goes over the problem of side effects, and impact regularization as an approach to handle this problem. The core hope is that impact regularization would enable “minimalistic” value alignment, in which the AI system may not be doing exactly w"&amp;"hat we want, but at the very least it will not take high impact actions that could cause an existential catastrophe.
An impact regularization method typically consists of a _deviation measure_ and a _baseline_. The baseline is what we compare the agent t"&amp;"o in order to determine whether it had an “impact”. The deviation measure is used to quantify how much impact there has been, when comparing the state generated by the agent to the one generated by the baseline.
Deviation measures are relatively uncontro"&amp;"versial – there are several possible measures, but they all seem to do relatively similar things, and there aren’t any obviously bad outcomes traceable to problems with the deviation measure. However, that is not the case with baselines. One typical basel"&amp;"ine is the **inaction** baseline, where you compare against what would have happened if the agent had done nothing. Unfortunately, this leads to _offsetting_: as a simple example, if some food was going to be thrown away and the agent rescues it, it then "&amp;"has an incentive to throw it away again, since that would minimize impact relative to the case where it had done nothing. A solution is the **stepwise inaction** baseline, which compares to the case where the agent does nothing starting from the previous "&amp;"state (instead of from the beginning of time). However, this then prevents some beneficial offsetting: for example, if the agent opens the door to leave the house, then the agent is incentivized to leave the door open.
As a result, the author is interest"&amp;"ed in seeing more work on baselines for impact regularization. In addition, she wants to see impact regularization tested in more realistic scenarios. That being said, she thinks that the useful aspect of impact regularization research so far is in bringi"&amp;"ng conceptual clarity to what we are trying to do with AI safety, and in identifying the interference and offsetting behaviors, and the incentives for them.")</f>
        <v>This podcast goes over the problem of side effects, and impact regularization as an approach to handle this problem. The core hope is that impact regularization would enable “minimalistic” value alignment, in which the AI system may not be doing exactly what we want, but at the very least it will not take high impact actions that could cause an existential catastrophe.
An impact regularization method typically consists of a _deviation measure_ and a _baseline_. The baseline is what we compare the agent to in order to determine whether it had an “impact”. The deviation measure is used to quantify how much impact there has been, when comparing the state generated by the agent to the one generated by the baseline.
Deviation measures are relatively uncontroversial – there are several possible measures, but they all seem to do relatively similar things, and there aren’t any obviously bad outcomes traceable to problems with the deviation measure. However, that is not the case with baselines. One typical baseline is the **inaction** baseline, where you compare against what would have happened if the agent had done nothing. Unfortunately, this leads to _offsetting_: as a simple example, if some food was going to be thrown away and the agent rescues it, it then has an incentive to throw it away again, since that would minimize impact relative to the case where it had done nothing. A solution is the **stepwise inaction** baseline, which compares to the case where the agent does nothing starting from the previous state (instead of from the beginning of time). However, this then prevents some beneficial offsetting: for example, if the agent opens the door to leave the house, then the agent is incentivized to leave the door open.
As a result, the author is interested in seeing more work on baselines for impact regularization. In addition, she wants to see impact regularization tested in more realistic scenarios. That being said, she thinks that the useful aspect of impact regularization research so far is in bringing conceptual clarity to what we are trying to do with AI safety, and in identifying the interference and offsetting behaviors, and the incentives for them.</v>
      </c>
    </row>
    <row r="1489">
      <c r="A1489" t="str">
        <f>IFERROR(__xludf.DUMMYFUNCTION("""COMPUTED_VALUE"""),"Preventing bad behavior")</f>
        <v>Preventing bad behavior</v>
      </c>
      <c r="B1489" t="str">
        <f>IFERROR(__xludf.DUMMYFUNCTION("""COMPUTED_VALUE"""),"")</f>
        <v/>
      </c>
      <c r="C1489" s="3" t="str">
        <f>IFERROR(__xludf.DUMMYFUNCTION("""COMPUTED_VALUE"""),"Overcoming Clinginess in Impact Measures")</f>
        <v>Overcoming Clinginess in Impact Measures</v>
      </c>
      <c r="D1489" t="str">
        <f>IFERROR(__xludf.DUMMYFUNCTION("""COMPUTED_VALUE"""),"TurnTrout")</f>
        <v>TurnTrout</v>
      </c>
      <c r="E1489" t="str">
        <f>IFERROR(__xludf.DUMMYFUNCTION("""COMPUTED_VALUE"""),"LessWrong")</f>
        <v>LessWrong</v>
      </c>
      <c r="F1489">
        <f>IFERROR(__xludf.DUMMYFUNCTION("""COMPUTED_VALUE"""),2018.0)</f>
        <v>2018</v>
      </c>
      <c r="H1489" s="3" t="str">
        <f>IFERROR(__xludf.DUMMYFUNCTION("""COMPUTED_VALUE"""),"AN #14")</f>
        <v>AN #14</v>
      </c>
      <c r="I1489" t="str">
        <f>IFERROR(__xludf.DUMMYFUNCTION("""COMPUTED_VALUE"""),"Rohin")</f>
        <v>Rohin</v>
      </c>
      <c r="J1489" t="str">
        <f>IFERROR(__xludf.DUMMYFUNCTION("""COMPUTED_VALUE"""),"In their [previous post](https://www.lesswrong.com/posts/H7KB44oKoSjSCkpzL/worrying-about-the-vase-whitelisting), TurnTrout proposed a whitelisting approach, that required the AI not to cause side effects not on the whitelist. One criticism was that it ma"&amp;"de the AI _clingy_, that is, the AI would also prevent any other agents in the world from causing non-whitelisted effects. In this post, they present a solution to the clinginess problem. As long as the AI knows all of the other agents in the environment,"&amp;" and their policies, the AI can be penalized for the _difference_ of effects between its behavior, and what the human(s) would have done. There's analysis in a few different circumstances, where it's tricky to get the counterfactuals exactly right. Howeve"&amp;"r, this sort of impact measure means that while the AI is punished for causing side effects itself, it _can_ manipulate humans to perform those side effects on its behalf with no penalty. This appears to be a tradeoff in the impact measure framework -- ei"&amp;"ther the AI will be clingy, where it prevents humans from causing prohibited side effects, or it could cause the side effects through manipulation of humans.")</f>
        <v>In their [previous post](https://www.lesswrong.com/posts/H7KB44oKoSjSCkpzL/worrying-about-the-vase-whitelisting), TurnTrout proposed a whitelisting approach, that required the AI not to cause side effects not on the whitelist. One criticism was that it made the AI _clingy_, that is, the AI would also prevent any other agents in the world from causing non-whitelisted effects. In this post, they present a solution to the clinginess problem. As long as the AI knows all of the other agents in the environment, and their policies, the AI can be penalized for the _difference_ of effects between its behavior, and what the human(s) would have done. There's analysis in a few different circumstances, where it's tricky to get the counterfactuals exactly right. However, this sort of impact measure means that while the AI is punished for causing side effects itself, it _can_ manipulate humans to perform those side effects on its behalf with no penalty. This appears to be a tradeoff in the impact measure framework -- either the AI will be clingy, where it prevents humans from causing prohibited side effects, or it could cause the side effects through manipulation of humans.</v>
      </c>
      <c r="K1489" t="str">
        <f>IFERROR(__xludf.DUMMYFUNCTION("""COMPUTED_VALUE"""),"With any impact measure approach, I'm worried that there is no learning of what humans care about. As a result I expect that there will be issues that won't be handled properly (similarly to how we don't expect to be able to write down a human utility fun"&amp;"ction). In the previous post, this manifested as a concern for generalization ability, which I'm still worried about. I think the tradeoff identified in this post is actually a manifestation of this worry -- clinginess happens when your AI overestimates w"&amp;"hat sorts of side effects humans don't want to happen in general, while manipulation of humans happens when your AI underestimates what side effects humans don't want to happen (though with the restriction that only humans can perform these side effects).")</f>
        <v>With any impact measure approach, I'm worried that there is no learning of what humans care about. As a result I expect that there will be issues that won't be handled properly (similarly to how we don't expect to be able to write down a human utility function). In the previous post, this manifested as a concern for generalization ability, which I'm still worried about. I think the tradeoff identified in this post is actually a manifestation of this worry -- clinginess happens when your AI overestimates what sorts of side effects humans don't want to happen in general, while manipulation of humans happens when your AI underestimates what side effects humans don't want to happen (though with the restriction that only humans can perform these side effects).</v>
      </c>
      <c r="L1489" s="3" t="str">
        <f>IFERROR(__xludf.DUMMYFUNCTION("""COMPUTED_VALUE"""),"Worrying about the Vase: Whitelisting")</f>
        <v>Worrying about the Vase: Whitelisting</v>
      </c>
    </row>
    <row r="1490">
      <c r="A1490" t="str">
        <f>IFERROR(__xludf.DUMMYFUNCTION("""COMPUTED_VALUE"""),"Preventing bad behavior")</f>
        <v>Preventing bad behavior</v>
      </c>
      <c r="B1490" t="str">
        <f>IFERROR(__xludf.DUMMYFUNCTION("""COMPUTED_VALUE"""),"")</f>
        <v/>
      </c>
      <c r="C1490" s="3" t="str">
        <f>IFERROR(__xludf.DUMMYFUNCTION("""COMPUTED_VALUE"""),"Challenges for Using Impact Regularizers to Avoid Negative Side Effects")</f>
        <v>Challenges for Using Impact Regularizers to Avoid Negative Side Effects</v>
      </c>
      <c r="D1490" t="str">
        <f>IFERROR(__xludf.DUMMYFUNCTION("""COMPUTED_VALUE"""),"David Lindner, Kyle Matoba, and Alexander Meulemans")</f>
        <v>David Lindner, Kyle Matoba, and Alexander Meulemans</v>
      </c>
      <c r="E1490" t="str">
        <f>IFERROR(__xludf.DUMMYFUNCTION("""COMPUTED_VALUE"""),"arXiv")</f>
        <v>arXiv</v>
      </c>
      <c r="F1490">
        <f>IFERROR(__xludf.DUMMYFUNCTION("""COMPUTED_VALUE"""),2021.0)</f>
        <v>2021</v>
      </c>
      <c r="H1490" s="3" t="str">
        <f>IFERROR(__xludf.DUMMYFUNCTION("""COMPUTED_VALUE"""),"AN #137")</f>
        <v>AN #137</v>
      </c>
      <c r="I1490" t="str">
        <f>IFERROR(__xludf.DUMMYFUNCTION("""COMPUTED_VALUE"""),"Rohin")</f>
        <v>Rohin</v>
      </c>
      <c r="J1490" t="str">
        <f>IFERROR(__xludf.DUMMYFUNCTION("""COMPUTED_VALUE"""),"I’m not summarizing this literature review on impact regularization because we’ve covered almost all of the ideas previously in this newsletter (e.g. &lt;@this blog post@&gt;(@Designing agent incentives to avoid side effects@)). However, I do recommend it for i"&amp;"ts short, high-level introduction to existing ideas in impact regularization, as well as its ideas for future work.")</f>
        <v>I’m not summarizing this literature review on impact regularization because we’ve covered almost all of the ideas previously in this newsletter (e.g. &lt;@this blog post@&gt;(@Designing agent incentives to avoid side effects@)). However, I do recommend it for its short, high-level introduction to existing ideas in impact regularization, as well as its ideas for future work.</v>
      </c>
    </row>
    <row r="1491">
      <c r="A1491" t="str">
        <f>IFERROR(__xludf.DUMMYFUNCTION("""COMPUTED_VALUE"""),"Preventing bad behavior")</f>
        <v>Preventing bad behavior</v>
      </c>
      <c r="B1491" t="str">
        <f>IFERROR(__xludf.DUMMYFUNCTION("""COMPUTED_VALUE"""),"")</f>
        <v/>
      </c>
      <c r="C1491" s="3" t="str">
        <f>IFERROR(__xludf.DUMMYFUNCTION("""COMPUTED_VALUE"""),"Minimax-Regret Querying on Side Effects for Safe Optimality in Factored Markov Decision Processes")</f>
        <v>Minimax-Regret Querying on Side Effects for Safe Optimality in Factored Markov Decision Processes</v>
      </c>
      <c r="D1491" t="str">
        <f>IFERROR(__xludf.DUMMYFUNCTION("""COMPUTED_VALUE"""),"Shun Zhang,  Edmund H. Durfee, and Satinder Singh")</f>
        <v>Shun Zhang,  Edmund H. Durfee, and Satinder Singh</v>
      </c>
      <c r="E1491" t="str">
        <f>IFERROR(__xludf.DUMMYFUNCTION("""COMPUTED_VALUE"""),"IJCAI")</f>
        <v>IJCAI</v>
      </c>
      <c r="F1491">
        <f>IFERROR(__xludf.DUMMYFUNCTION("""COMPUTED_VALUE"""),2018.0)</f>
        <v>2018</v>
      </c>
      <c r="H1491" s="3" t="str">
        <f>IFERROR(__xludf.DUMMYFUNCTION("""COMPUTED_VALUE"""),"AN #13")</f>
        <v>AN #13</v>
      </c>
      <c r="I1491" t="str">
        <f>IFERROR(__xludf.DUMMYFUNCTION("""COMPUTED_VALUE"""),"Rohin")</f>
        <v>Rohin</v>
      </c>
      <c r="J1491" t="str">
        <f>IFERROR(__xludf.DUMMYFUNCTION("""COMPUTED_VALUE"""),"As we saw in [Alignment Newsletter #11](https://mailchi.mp/7ad36e25be22/alignment-newsletter-11), one approach to avoiding side effects is to create a whitelist of effects that are allowed. In this paper, the agent learns both a whitelist of allowed effec"&amp;"ts, and a blacklist of disallowed effects. They assume that the MDP in which the agent is acting has been factored into a set of features that can take on different values, and then separate the features as locked (unchangeable), free (changeable), or unk"&amp;"nown. If there are no unknown features, then we can calculate the optimal policy using variants of standard techniques (for example, by changing the transition function to remove transitions that would change locked features, and then running any off-the-"&amp;"shelf MDP solver). However, this would require the operator to label all features as locked or unlocked, which would be very tedious. To solve this, they allow the agent to query the operator whether a certain feature is locked or unlocked, and provide al"&amp;"gorithms that reduce the number of queries that the agent needs to make in order to find an optimal safe policy.")</f>
        <v>As we saw in [Alignment Newsletter #11](https://mailchi.mp/7ad36e25be22/alignment-newsletter-11), one approach to avoiding side effects is to create a whitelist of effects that are allowed. In this paper, the agent learns both a whitelist of allowed effects, and a blacklist of disallowed effects. They assume that the MDP in which the agent is acting has been factored into a set of features that can take on different values, and then separate the features as locked (unchangeable), free (changeable), or unknown. If there are no unknown features, then we can calculate the optimal policy using variants of standard techniques (for example, by changing the transition function to remove transitions that would change locked features, and then running any off-the-shelf MDP solver). However, this would require the operator to label all features as locked or unlocked, which would be very tedious. To solve this, they allow the agent to query the operator whether a certain feature is locked or unlocked, and provide algorithms that reduce the number of queries that the agent needs to make in order to find an optimal safe policy.</v>
      </c>
      <c r="K1491" t="str">
        <f>IFERROR(__xludf.DUMMYFUNCTION("""COMPUTED_VALUE"""),"This seems like a good first step towards whitelisting -- there's still a lot of hardcoded knowledge from a human (which features to pay attention to, the transition function) and restrictions (the number of relevant features needs to be small), but it ta"&amp;"kes a problem and provides a solution that works in that setting. In the recent [whitelisting approach](https://www.lesswrong.com/posts/H7KB44oKoSjSCkpzL/worrying-about-the-vase-whitelisting), I was worried that the whitelist simply wouldn't include enoug"&amp;"h transitions for the agent to be able to do anything useful. Since this approach actively queries the operator until it finds a safe policy, that is no longer an issue. However, the corresponding worry would be that it takes prohibitively many queries be"&amp;"fore the agent can do anything useful. (Their empirical evaluation is on toy gridworlds, so this problem did not come up.) Another worry previously was that whitelisting causes an agent to be ""clingy"", that is, it wants to prevent all changes to non-whi"&amp;"telisted features, even if they are caused by physical laws, or other humans. A similar problem could arise here when this is generalized to dynamic and/or multiagent environments.")</f>
        <v>This seems like a good first step towards whitelisting -- there's still a lot of hardcoded knowledge from a human (which features to pay attention to, the transition function) and restrictions (the number of relevant features needs to be small), but it takes a problem and provides a solution that works in that setting. In the recent [whitelisting approach](https://www.lesswrong.com/posts/H7KB44oKoSjSCkpzL/worrying-about-the-vase-whitelisting), I was worried that the whitelist simply wouldn't include enough transitions for the agent to be able to do anything useful. Since this approach actively queries the operator until it finds a safe policy, that is no longer an issue. However, the corresponding worry would be that it takes prohibitively many queries before the agent can do anything useful. (Their empirical evaluation is on toy gridworlds, so this problem did not come up.) Another worry previously was that whitelisting causes an agent to be "clingy", that is, it wants to prevent all changes to non-whitelisted features, even if they are caused by physical laws, or other humans. A similar problem could arise here when this is generalized to dynamic and/or multiagent environments.</v>
      </c>
      <c r="M1491" s="3" t="str">
        <f>IFERROR(__xludf.DUMMYFUNCTION("""COMPUTED_VALUE"""),"Worrying about the Vase: Whitelisting")</f>
        <v>Worrying about the Vase: Whitelisting</v>
      </c>
    </row>
    <row r="1492">
      <c r="A1492" t="str">
        <f>IFERROR(__xludf.DUMMYFUNCTION("""COMPUTED_VALUE"""),"Preventing bad behavior")</f>
        <v>Preventing bad behavior</v>
      </c>
      <c r="B1492" t="str">
        <f>IFERROR(__xludf.DUMMYFUNCTION("""COMPUTED_VALUE"""),"")</f>
        <v/>
      </c>
      <c r="C1492" s="3" t="str">
        <f>IFERROR(__xludf.DUMMYFUNCTION("""COMPUTED_VALUE"""),"Avoiding Side Effects By Considering Future Tasks")</f>
        <v>Avoiding Side Effects By Considering Future Tasks</v>
      </c>
      <c r="D1492" t="str">
        <f>IFERROR(__xludf.DUMMYFUNCTION("""COMPUTED_VALUE"""),"Victoria Krakovna, Laurent Orseau, Richard Ngo, Miljan Martic, Shane Legg")</f>
        <v>Victoria Krakovna, Laurent Orseau, Richard Ngo, Miljan Martic, Shane Legg</v>
      </c>
      <c r="E1492" t="str">
        <f>IFERROR(__xludf.DUMMYFUNCTION("""COMPUTED_VALUE"""),"NeurIPS 2020")</f>
        <v>NeurIPS 2020</v>
      </c>
      <c r="F1492">
        <f>IFERROR(__xludf.DUMMYFUNCTION("""COMPUTED_VALUE"""),2020.0)</f>
        <v>2020</v>
      </c>
      <c r="H1492" s="3" t="str">
        <f>IFERROR(__xludf.DUMMYFUNCTION("""COMPUTED_VALUE"""),"AN #122")</f>
        <v>AN #122</v>
      </c>
      <c r="I1492" t="str">
        <f>IFERROR(__xludf.DUMMYFUNCTION("""COMPUTED_VALUE"""),"Rohin")</f>
        <v>Rohin</v>
      </c>
      <c r="J1492" t="str">
        <f>IFERROR(__xludf.DUMMYFUNCTION("""COMPUTED_VALUE"""),"We are typically unable to specify all of the things that the agent should _not_ change about the environment. So, we would like a generic method that can penalize these _side effects_ in arbitrary environments for an arbitrary reward function. Typically,"&amp;" this is done via somehow preserving option value, as with &lt;@relative reachability@&gt;(@Measuring and avoiding side effects using relative reachability@) and &lt;@attainable utility preservation@&gt;(@Penalizing Impact via Attainable Utility Preservation@).
This"&amp;" paper aims to encode the goal of “option value preservation” in a simpler and more principled manner: specifically, at some point in the future we will randomly choose a new task to give to the agent, so that the agent must maintain its ability to pursue"&amp;" the possible tasks it can see in the future. However, if implemented as stated, this leads to interference incentives -- if something were going to restrict the agent’s option value, such as a human irreversibly eating some food, the agent would be incen"&amp;"tivized to interfere with that process in order to keep its option value for the future. The authors provide a formal definition of this incentive.
To fix this problem, the authors introduce a baseline policy (which could be set to e.g. noop actions), an"&amp;"d propose a future task reward that only provides reward if after the baseline policy had been executed, it would still have been possible to complete the future task. Thus, the agent is only incentivized to preserve options that would have been available"&amp;" had it done whatever the baseline policy does, eliminating the interference incentive in the deterministic case. The authors demonstrate on simple gridworlds that the future task approach with the baseline allows us to avoid side effects, while also not "&amp;"having interference incentives.
Normally we would also talk about how to remove the offsetting incentive, where the agent may be incentivized to undo effects it did as part of the task to avoid being penalized for them. (The example from relative reachab"&amp;"ility is of an agent that is rewarded for taking a vase off of a conveyor belt, and then puts it back on to minimize its impact.) However, the authors argue that offsetting is often desirable. For example, if you open the door to go to the grocery store, "&amp;"you do want to “offset” your impact by closing the door as you leave, even though opening the door was important for the task of buying groceries. They argue that offsetting incentives should be left in, and the burden is on the reward designer to ensure "&amp;"that anything that shouldn’t be offset is specified as such in the reward function. In the original conveyor belt example, we shouldn’t reward the action of taking the vase off the conveyor belt, but instead the state in which the vase is not on the conve"&amp;"yor belt.")</f>
        <v>We are typically unable to specify all of the things that the agent should _not_ change about the environment. So, we would like a generic method that can penalize these _side effects_ in arbitrary environments for an arbitrary reward function. Typically, this is done via somehow preserving option value, as with &lt;@relative reachability@&gt;(@Measuring and avoiding side effects using relative reachability@) and &lt;@attainable utility preservation@&gt;(@Penalizing Impact via Attainable Utility Preservation@).
This paper aims to encode the goal of “option value preservation” in a simpler and more principled manner: specifically, at some point in the future we will randomly choose a new task to give to the agent, so that the agent must maintain its ability to pursue the possible tasks it can see in the future. However, if implemented as stated, this leads to interference incentives -- if something were going to restrict the agent’s option value, such as a human irreversibly eating some food, the agent would be incentivized to interfere with that process in order to keep its option value for the future. The authors provide a formal definition of this incentive.
To fix this problem, the authors introduce a baseline policy (which could be set to e.g. noop actions), and propose a future task reward that only provides reward if after the baseline policy had been executed, it would still have been possible to complete the future task. Thus, the agent is only incentivized to preserve options that would have been available had it done whatever the baseline policy does, eliminating the interference incentive in the deterministic case. The authors demonstrate on simple gridworlds that the future task approach with the baseline allows us to avoid side effects, while also not having interference incentives.
Normally we would also talk about how to remove the offsetting incentive, where the agent may be incentivized to undo effects it did as part of the task to avoid being penalized for them. (The example from relative reachability is of an agent that is rewarded for taking a vase off of a conveyor belt, and then puts it back on to minimize its impact.) However, the authors argue that offsetting is often desirable. For example, if you open the door to go to the grocery store, you do want to “offset” your impact by closing the door as you leave, even though opening the door was important for the task of buying groceries. They argue that offsetting incentives should be left in, and the burden is on the reward designer to ensure that anything that shouldn’t be offset is specified as such in the reward function. In the original conveyor belt example, we shouldn’t reward the action of taking the vase off the conveyor belt, but instead the state in which the vase is not on the conveyor belt.</v>
      </c>
      <c r="K1492" t="str">
        <f>IFERROR(__xludf.DUMMYFUNCTION("""COMPUTED_VALUE"""),"I liked this exploration of a somewhat more principled underpinning to impact measures, and it is encouraging that this formalization of option value preservation gives similar results as previous formalizations.")</f>
        <v>I liked this exploration of a somewhat more principled underpinning to impact measures, and it is encouraging that this formalization of option value preservation gives similar results as previous formalizations.</v>
      </c>
    </row>
    <row r="1493">
      <c r="A1493" t="str">
        <f>IFERROR(__xludf.DUMMYFUNCTION("""COMPUTED_VALUE"""),"Preventing bad behavior")</f>
        <v>Preventing bad behavior</v>
      </c>
      <c r="B1493" t="str">
        <f>IFERROR(__xludf.DUMMYFUNCTION("""COMPUTED_VALUE"""),"")</f>
        <v/>
      </c>
      <c r="C1493" s="3" t="str">
        <f>IFERROR(__xludf.DUMMYFUNCTION("""COMPUTED_VALUE"""),"Avoiding Negative Side Effects due to Incomplete Knowledge of AI Systems")</f>
        <v>Avoiding Negative Side Effects due to Incomplete Knowledge of AI Systems</v>
      </c>
      <c r="D1493" t="str">
        <f>IFERROR(__xludf.DUMMYFUNCTION("""COMPUTED_VALUE"""),"Sandhya Saisubramanian, Shlomo Zilberstein, Ece Kamar")</f>
        <v>Sandhya Saisubramanian, Shlomo Zilberstein, Ece Kamar</v>
      </c>
      <c r="E1493" t="str">
        <f>IFERROR(__xludf.DUMMYFUNCTION("""COMPUTED_VALUE"""),"arXiv")</f>
        <v>arXiv</v>
      </c>
      <c r="F1493">
        <f>IFERROR(__xludf.DUMMYFUNCTION("""COMPUTED_VALUE"""),2020.0)</f>
        <v>2020</v>
      </c>
      <c r="H1493" s="3" t="str">
        <f>IFERROR(__xludf.DUMMYFUNCTION("""COMPUTED_VALUE"""),"AN #117")</f>
        <v>AN #117</v>
      </c>
      <c r="I1493" t="str">
        <f>IFERROR(__xludf.DUMMYFUNCTION("""COMPUTED_VALUE"""),"Rohin")</f>
        <v>Rohin</v>
      </c>
      <c r="J1493" t="str">
        <f>IFERROR(__xludf.DUMMYFUNCTION("""COMPUTED_VALUE"""),"This paper provides an overview of the problem of negative side effects, and recent work that aims to address it. It characterizes negative side effects based on whether they are severe, reversible, avoidable, frequent, stochastic, observable, or exclusiv"&amp;"e (i.e. preventing the agent from accomplishing its main task), and describes existing work and how they relate to these characteristics.
In addition to the canonical point that negative side effects arise because the agent’s model is lacking (whether ab"&amp;"out human preferences or environment dynamics or important features to pay attention to), they identify two other main challenges with negative side effects. First, fixing negative side effects would likely require collecting feedback from humans, which c"&amp;"an be expensive and challenging. Second, there will usually be a tradeoff between pursuing the original goal and avoiding negative side effects; we don’t have principled methods for dealing with this tradeoff.
Finally, they provide a long list of potenti"&amp;"al directions for future side effect research.")</f>
        <v>This paper provides an overview of the problem of negative side effects, and recent work that aims to address it. It characterizes negative side effects based on whether they are severe, reversible, avoidable, frequent, stochastic, observable, or exclusive (i.e. preventing the agent from accomplishing its main task), and describes existing work and how they relate to these characteristics.
In addition to the canonical point that negative side effects arise because the agent’s model is lacking (whether about human preferences or environment dynamics or important features to pay attention to), they identify two other main challenges with negative side effects. First, fixing negative side effects would likely require collecting feedback from humans, which can be expensive and challenging. Second, there will usually be a tradeoff between pursuing the original goal and avoiding negative side effects; we don’t have principled methods for dealing with this tradeoff.
Finally, they provide a long list of potential directions for future side effect research.</v>
      </c>
    </row>
    <row r="1494">
      <c r="A1494" t="str">
        <f>IFERROR(__xludf.DUMMYFUNCTION("""COMPUTED_VALUE"""),"Preventing bad behavior")</f>
        <v>Preventing bad behavior</v>
      </c>
      <c r="B1494" t="str">
        <f>IFERROR(__xludf.DUMMYFUNCTION("""COMPUTED_VALUE"""),"")</f>
        <v/>
      </c>
      <c r="C1494" s="3" t="str">
        <f>IFERROR(__xludf.DUMMYFUNCTION("""COMPUTED_VALUE"""),"Worrying about the Vase: Whitelisting")</f>
        <v>Worrying about the Vase: Whitelisting</v>
      </c>
      <c r="D1494" t="str">
        <f>IFERROR(__xludf.DUMMYFUNCTION("""COMPUTED_VALUE"""),"TurnTrout")</f>
        <v>TurnTrout</v>
      </c>
      <c r="E1494" t="str">
        <f>IFERROR(__xludf.DUMMYFUNCTION("""COMPUTED_VALUE"""),"LessWrong")</f>
        <v>LessWrong</v>
      </c>
      <c r="F1494">
        <f>IFERROR(__xludf.DUMMYFUNCTION("""COMPUTED_VALUE"""),2018.0)</f>
        <v>2018</v>
      </c>
      <c r="H1494" s="3" t="str">
        <f>IFERROR(__xludf.DUMMYFUNCTION("""COMPUTED_VALUE"""),"AN #11")</f>
        <v>AN #11</v>
      </c>
      <c r="I1494" t="str">
        <f>IFERROR(__xludf.DUMMYFUNCTION("""COMPUTED_VALUE"""),"Rohin")</f>
        <v>Rohin</v>
      </c>
      <c r="J1494" t="str">
        <f>IFERROR(__xludf.DUMMYFUNCTION("""COMPUTED_VALUE"""),"It's really hard to avoid negative side effects because explicitly listing out all possible side effects the agent should avoid would be far too expensive. The issue is that we're trying to build a blacklist of things that can't be done, and that list wil"&amp;"l never be complete, and so some bad things will still happen. Instead, we should use whitelists, because if we forget to add something to the whitelist, that only limits the agent, it doesn't lead to catastrophe. In this proposal, we assume that we have "&amp;"access to the agent's ontology (in current systems, this might be the output of an object detection system), and we operationalize an ""effect"" as the transformation of one object into another (i.e. previously the AI believed an object was most likely an"&amp;" A, and now it believes it is most likely a B). We then whitelist allowed transformations -- for example, it is allowed to transform a carrot into carrot slices. If the agent causes any transformations not on the whitelist (such as ""transforming"" a vase"&amp;" into a broken vase), it incurs a negative reward. We also don't have to explicitly write down the whitelist -- we can provide demonstrations of acceptable behavior, and any transitions in these demonstrations can be added to the whitelist. The post and p"&amp;"aper have a long list of considerations on how this would play out in a superintelligent AI system.")</f>
        <v>It's really hard to avoid negative side effects because explicitly listing out all possible side effects the agent should avoid would be far too expensive. The issue is that we're trying to build a blacklist of things that can't be done, and that list will never be complete, and so some bad things will still happen. Instead, we should use whitelists, because if we forget to add something to the whitelist, that only limits the agent, it doesn't lead to catastrophe. In this proposal, we assume that we have access to the agent's ontology (in current systems, this might be the output of an object detection system), and we operationalize an "effect" as the transformation of one object into another (i.e. previously the AI believed an object was most likely an A, and now it believes it is most likely a B). We then whitelist allowed transformations -- for example, it is allowed to transform a carrot into carrot slices. If the agent causes any transformations not on the whitelist (such as "transforming" a vase into a broken vase), it incurs a negative reward. We also don't have to explicitly write down the whitelist -- we can provide demonstrations of acceptable behavior, and any transitions in these demonstrations can be added to the whitelist. The post and paper have a long list of considerations on how this would play out in a superintelligent AI system.</v>
      </c>
      <c r="K1494" t="str">
        <f>IFERROR(__xludf.DUMMYFUNCTION("""COMPUTED_VALUE"""),"Whitelisting seems like a good thing to do, since it is safe by default. (Computer security has a similar principle of preferring to whitelist instead of blacklist.) I was initially worried that we'd have the problems of symbolic approaches to AI, where w"&amp;"e'd have to enumerate far too many transitions for the whitelist in order to be able to do anything realistic, but since whitelisting could work on learned embedding spaces, and the whitelist itself can be learned from demonstrations, this could be a scal"&amp;"able method. I'm worried that it presents generalization challenges -- if you are distinguishing between different colors of tiles, to encode ""you can paint any tile"" you'd have to whitelist transitions (redTile -&gt; blueTile), (blueTile -&gt; redTile), (red"&amp;"Tile -&gt; yellowTile) etc. Those won't all be in the demonstrations. If you are going to generalize there, how do you _not_ generalize (redLight -&gt; greenLight) to (greenLight -&gt; redLight) for an AI that controls traffic lights? On another note, I personally"&amp;" don't want to assume that we can point to a part of the architecture as the AI's ontology. I hope to see future work address these challenges!")</f>
        <v>Whitelisting seems like a good thing to do, since it is safe by default. (Computer security has a similar principle of preferring to whitelist instead of blacklist.) I was initially worried that we'd have the problems of symbolic approaches to AI, where we'd have to enumerate far too many transitions for the whitelist in order to be able to do anything realistic, but since whitelisting could work on learned embedding spaces, and the whitelist itself can be learned from demonstrations, this could be a scalable method. I'm worried that it presents generalization challenges -- if you are distinguishing between different colors of tiles, to encode "you can paint any tile" you'd have to whitelist transitions (redTile -&gt; blueTile), (blueTile -&gt; redTile), (redTile -&gt; yellowTile) etc. Those won't all be in the demonstrations. If you are going to generalize there, how do you _not_ generalize (redLight -&gt; greenLight) to (greenLight -&gt; redLight) for an AI that controls traffic lights? On another note, I personally don't want to assume that we can point to a part of the architecture as the AI's ontology. I hope to see future work address these challenges!</v>
      </c>
    </row>
    <row r="1495">
      <c r="A1495" t="str">
        <f>IFERROR(__xludf.DUMMYFUNCTION("""COMPUTED_VALUE"""),"Preventing bad behavior")</f>
        <v>Preventing bad behavior</v>
      </c>
      <c r="B1495" t="str">
        <f>IFERROR(__xludf.DUMMYFUNCTION("""COMPUTED_VALUE"""),"")</f>
        <v/>
      </c>
      <c r="C1495" s="3" t="str">
        <f>IFERROR(__xludf.DUMMYFUNCTION("""COMPUTED_VALUE"""),"Dynamic inconsistency of the inaction and initial state baseline")</f>
        <v>Dynamic inconsistency of the inaction and initial state baseline</v>
      </c>
      <c r="D1495" t="str">
        <f>IFERROR(__xludf.DUMMYFUNCTION("""COMPUTED_VALUE"""),"Stuart Armstrong")</f>
        <v>Stuart Armstrong</v>
      </c>
      <c r="E1495" t="str">
        <f>IFERROR(__xludf.DUMMYFUNCTION("""COMPUTED_VALUE"""),"Alignment Forum")</f>
        <v>Alignment Forum</v>
      </c>
      <c r="F1495">
        <f>IFERROR(__xludf.DUMMYFUNCTION("""COMPUTED_VALUE"""),2020.0)</f>
        <v>2020</v>
      </c>
      <c r="H1495" s="3" t="str">
        <f>IFERROR(__xludf.DUMMYFUNCTION("""COMPUTED_VALUE"""),"AN #108")</f>
        <v>AN #108</v>
      </c>
      <c r="I1495" t="str">
        <f>IFERROR(__xludf.DUMMYFUNCTION("""COMPUTED_VALUE"""),"Rohin")</f>
        <v>Rohin</v>
      </c>
      <c r="J1495" t="str">
        <f>IFERROR(__xludf.DUMMYFUNCTION("""COMPUTED_VALUE"""),"In a fixed, stationary environment, we would like our agents to be time-consistent: that is, they should not have a positive incentive to restrict their future choices. However, impact measures like &lt;@AUP@&gt;(@Towards a New Impact Measure@) calculate impact"&amp;" by looking at what the agent could have done otherwise. As a result, the agent has an incentive to change what this counterfactual is, in order to reduce the penalty it receives, and it might accomplish this by restricting its future choices. This is dem"&amp;"onstrated concretely with a gridworld example.")</f>
        <v>In a fixed, stationary environment, we would like our agents to be time-consistent: that is, they should not have a positive incentive to restrict their future choices. However, impact measures like &lt;@AUP@&gt;(@Towards a New Impact Measure@) calculate impact by looking at what the agent could have done otherwise. As a result, the agent has an incentive to change what this counterfactual is, in order to reduce the penalty it receives, and it might accomplish this by restricting its future choices. This is demonstrated concretely with a gridworld example.</v>
      </c>
      <c r="K1495" t="str">
        <f>IFERROR(__xludf.DUMMYFUNCTION("""COMPUTED_VALUE"""),"It’s worth noting that measures like AUP do create a Markovian reward function, which typically leads to time consistent agents. The reason that this doesn’t apply here is because we’re assuming that the restriction of future choices is “external” to the "&amp;"environment and formalism, but nonetheless affects the penalty. If we instead have this restriction “inside” the environment, then we will need to include a state variable specifying whether the action set is restricted or not. In that case, the impact me"&amp;"asure would create a reward function that depends on that state variable. So another way of stating the problem is that if you add the ability to restrict future actions to the environment, then the impact penalty leads to a reward function that depends o"&amp;"n whether the action set is restricted, which intuitively we don’t want. (This point is also made in this [followup post](https://www.alignmentforum.org/posts/YjqwTepi53MyM4omT/why-is-the-impact-penalty-time-inconsistent).)")</f>
        <v>It’s worth noting that measures like AUP do create a Markovian reward function, which typically leads to time consistent agents. The reason that this doesn’t apply here is because we’re assuming that the restriction of future choices is “external” to the environment and formalism, but nonetheless affects the penalty. If we instead have this restriction “inside” the environment, then we will need to include a state variable specifying whether the action set is restricted or not. In that case, the impact measure would create a reward function that depends on that state variable. So another way of stating the problem is that if you add the ability to restrict future actions to the environment, then the impact penalty leads to a reward function that depends on whether the action set is restricted, which intuitively we don’t want. (This point is also made in this [followup post](https://www.alignmentforum.org/posts/YjqwTepi53MyM4omT/why-is-the-impact-penalty-time-inconsistent).)</v>
      </c>
    </row>
    <row r="1496">
      <c r="A1496" t="str">
        <f>IFERROR(__xludf.DUMMYFUNCTION("""COMPUTED_VALUE"""),"Preventing bad behavior")</f>
        <v>Preventing bad behavior</v>
      </c>
      <c r="B1496" t="str">
        <f>IFERROR(__xludf.DUMMYFUNCTION("""COMPUTED_VALUE"""),"")</f>
        <v/>
      </c>
      <c r="C1496" s="3" t="str">
        <f>IFERROR(__xludf.DUMMYFUNCTION("""COMPUTED_VALUE"""),"Avoiding Side Effects in Complex Environments")</f>
        <v>Avoiding Side Effects in Complex Environments</v>
      </c>
      <c r="D1496" t="str">
        <f>IFERROR(__xludf.DUMMYFUNCTION("""COMPUTED_VALUE"""),"Alexander Matt Turner*, Neale Ratzlaff*, Prasad Tadepalli")</f>
        <v>Alexander Matt Turner*, Neale Ratzlaff*, Prasad Tadepalli</v>
      </c>
      <c r="E1496" t="str">
        <f>IFERROR(__xludf.DUMMYFUNCTION("""COMPUTED_VALUE"""),"arXiv")</f>
        <v>arXiv</v>
      </c>
      <c r="F1496">
        <f>IFERROR(__xludf.DUMMYFUNCTION("""COMPUTED_VALUE"""),2020.0)</f>
        <v>2020</v>
      </c>
      <c r="H1496" s="3" t="str">
        <f>IFERROR(__xludf.DUMMYFUNCTION("""COMPUTED_VALUE"""),"AN #105")</f>
        <v>AN #105</v>
      </c>
      <c r="I1496" t="str">
        <f>IFERROR(__xludf.DUMMYFUNCTION("""COMPUTED_VALUE"""),"Rohin")</f>
        <v>Rohin</v>
      </c>
      <c r="J1496" t="str">
        <f>IFERROR(__xludf.DUMMYFUNCTION("""COMPUTED_VALUE"""),"Previously, attainable utility preservation (AUP) has been used to &lt;@solve@&gt;(@Penalizing Impact via Attainable Utility Preservation@) some simple gridworlds. Can we use it to avoid side effects in complex high dimensional environments as well? This paper "&amp;"shows that we can, at least in &lt;@SafeLife@&gt;(@Introducing SafeLife: Safety Benchmarks for Reinforcement Learning@). The method is simple: first train a VAE on random rollouts in the environment, and use randomly generated linear functions of the VAE featur"&amp;"es as the auxiliary reward functions for the AUP penalty. The Q-functions for these auxiliary reward functions can be learned using deep RL algorithms. Then we can just do regular deep RL using the specified reward and the AUP penalty. It turns out that t"&amp;"his leads to fewer side effects with just _one_ auxiliary reward function and a VAE whose latent space is size _one_! It also leads to faster learning for some reason. The authors hypothesize that this occurs because the AUP penalty is a useful shaping te"&amp;"rm, but don’t know why this would be the case.")</f>
        <v>Previously, attainable utility preservation (AUP) has been used to &lt;@solve@&gt;(@Penalizing Impact via Attainable Utility Preservation@) some simple gridworlds. Can we use it to avoid side effects in complex high dimensional environments as well? This paper shows that we can, at least in &lt;@SafeLife@&gt;(@Introducing SafeLife: Safety Benchmarks for Reinforcement Learning@). The method is simple: first train a VAE on random rollouts in the environment, and use randomly generated linear functions of the VAE features as the auxiliary reward functions for the AUP penalty. The Q-functions for these auxiliary reward functions can be learned using deep RL algorithms. Then we can just do regular deep RL using the specified reward and the AUP penalty. It turns out that this leads to fewer side effects with just _one_ auxiliary reward function and a VAE whose latent space is size _one_! It also leads to faster learning for some reason. The authors hypothesize that this occurs because the AUP penalty is a useful shaping term, but don’t know why this would be the case.</v>
      </c>
      <c r="M1496" s="3" t="str">
        <f>IFERROR(__xludf.DUMMYFUNCTION("""COMPUTED_VALUE"""),"Website")</f>
        <v>Website</v>
      </c>
    </row>
    <row r="1497">
      <c r="A1497" t="str">
        <f>IFERROR(__xludf.DUMMYFUNCTION("""COMPUTED_VALUE"""),"Preventing bad behavior")</f>
        <v>Preventing bad behavior</v>
      </c>
      <c r="B1497" t="str">
        <f>IFERROR(__xludf.DUMMYFUNCTION("""COMPUTED_VALUE"""),"")</f>
        <v/>
      </c>
      <c r="C1497" s="3" t="str">
        <f>IFERROR(__xludf.DUMMYFUNCTION("""COMPUTED_VALUE"""),"When Goodharting is optimal: linear vs diminishing returns, unlikely vs likely, and other factors")</f>
        <v>When Goodharting is optimal: linear vs diminishing returns, unlikely vs likely, and other factors</v>
      </c>
      <c r="D1497" t="str">
        <f>IFERROR(__xludf.DUMMYFUNCTION("""COMPUTED_VALUE"""),"Stuart Armstrong")</f>
        <v>Stuart Armstrong</v>
      </c>
      <c r="E1497" t="str">
        <f>IFERROR(__xludf.DUMMYFUNCTION("""COMPUTED_VALUE"""),"Alignment Forum")</f>
        <v>Alignment Forum</v>
      </c>
      <c r="F1497">
        <f>IFERROR(__xludf.DUMMYFUNCTION("""COMPUTED_VALUE"""),2019.0)</f>
        <v>2019</v>
      </c>
      <c r="H1497" s="3" t="str">
        <f>IFERROR(__xludf.DUMMYFUNCTION("""COMPUTED_VALUE"""),"AN #82")</f>
        <v>AN #82</v>
      </c>
      <c r="I1497" t="str">
        <f>IFERROR(__xludf.DUMMYFUNCTION("""COMPUTED_VALUE"""),"Flo")</f>
        <v>Flo</v>
      </c>
      <c r="J1497" t="str">
        <f>IFERROR(__xludf.DUMMYFUNCTION("""COMPUTED_VALUE"""),"Suppose we were uncertain about which arm in a bandit provides reward (and we don’t get to observe the rewards after choosing an arm). Then, maximizing expected value under this uncertainty is equivalent to picking the most likely reward function as a pro"&amp;"xy reward and optimizing that; Goodhart’s law doesn’t apply and is thus not universal. This means that our fear of Goodhart effects is actually informed by more specific intuitions about the structure of our preferences. If there are actions that contribu"&amp;"te to multiple possible rewards, optimizing the most likely reward does not need to maximize the expected reward. Even if we optimize for that, we have a problem if value is complex and the way we do reward learning implicitly penalizes complexity. Anothe"&amp;"r problem arises if the correct reward is comparatively difficult to optimize: if we want to maximize the average, it can make sense to only care about rewards that are both likely and easy to optimize. Relatedly, we could fail to correctly account for di"&amp;"minishing marginal returns in some of the rewards.
Goodhart effects are a lot less problematic if we can deal with all of the mentioned factors. Independent of that, Goodhart effects are most problematic when there is little middle ground that all reward"&amp;"s can agree on.")</f>
        <v>Suppose we were uncertain about which arm in a bandit provides reward (and we don’t get to observe the rewards after choosing an arm). Then, maximizing expected value under this uncertainty is equivalent to picking the most likely reward function as a proxy reward and optimizing that; Goodhart’s law doesn’t apply and is thus not universal. This means that our fear of Goodhart effects is actually informed by more specific intuitions about the structure of our preferences. If there are actions that contribute to multiple possible rewards, optimizing the most likely reward does not need to maximize the expected reward. Even if we optimize for that, we have a problem if value is complex and the way we do reward learning implicitly penalizes complexity. Another problem arises if the correct reward is comparatively difficult to optimize: if we want to maximize the average, it can make sense to only care about rewards that are both likely and easy to optimize. Relatedly, we could fail to correctly account for diminishing marginal returns in some of the rewards.
Goodhart effects are a lot less problematic if we can deal with all of the mentioned factors. Independent of that, Goodhart effects are most problematic when there is little middle ground that all rewards can agree on.</v>
      </c>
      <c r="K1497" t="str">
        <f>IFERROR(__xludf.DUMMYFUNCTION("""COMPUTED_VALUE"""),"I enjoyed this article and the proposed factors match my intuitions. There seem to be two types of problems: extreme beliefs and concave Pareto boundaries. Dealing with the second is more important since a concave Pareto boundary favours extreme policies,"&amp;" even for moderate beliefs. Luckily, diminishing returns can be used to bend the Pareto boundary. However, I expect it to be hard to find the correct rate of diminishing returns, especially in novel situations.
**Rohin's opinion:** Note that this post co"&amp;"nsiders the setting where we have uncertainty over the true reward function, but _we can't learn about the true reward function_. If you can gather information about the true reward function, which &lt;@seems necessary to me@&gt;(@Human-AI Interaction@), then i"&amp;"t is almost always worse to take the most likely reward or expected reward as a proxy reward to optimize.")</f>
        <v>I enjoyed this article and the proposed factors match my intuitions. There seem to be two types of problems: extreme beliefs and concave Pareto boundaries. Dealing with the second is more important since a concave Pareto boundary favours extreme policies, even for moderate beliefs. Luckily, diminishing returns can be used to bend the Pareto boundary. However, I expect it to be hard to find the correct rate of diminishing returns, especially in novel situations.
**Rohin's opinion:** Note that this post considers the setting where we have uncertainty over the true reward function, but _we can't learn about the true reward function_. If you can gather information about the true reward function, which &lt;@seems necessary to me@&gt;(@Human-AI Interaction@), then it is almost always worse to take the most likely reward or expected reward as a proxy reward to optimize.</v>
      </c>
    </row>
    <row r="1498">
      <c r="A1498" t="str">
        <f>IFERROR(__xludf.DUMMYFUNCTION("""COMPUTED_VALUE"""),"Preventing bad behavior")</f>
        <v>Preventing bad behavior</v>
      </c>
      <c r="B1498" t="str">
        <f>IFERROR(__xludf.DUMMYFUNCTION("""COMPUTED_VALUE"""),"")</f>
        <v/>
      </c>
      <c r="C1498" s="3" t="str">
        <f>IFERROR(__xludf.DUMMYFUNCTION("""COMPUTED_VALUE"""),"Addressing three problems with counterfactual corrigibility: bad bets, defending against backstops, and overconfidence.")</f>
        <v>Addressing three problems with counterfactual corrigibility: bad bets, defending against backstops, and overconfidence.</v>
      </c>
      <c r="D1498" t="str">
        <f>IFERROR(__xludf.DUMMYFUNCTION("""COMPUTED_VALUE"""),"Ryan Carey")</f>
        <v>Ryan Carey</v>
      </c>
      <c r="E1498" t="str">
        <f>IFERROR(__xludf.DUMMYFUNCTION("""COMPUTED_VALUE"""),"Alignment Forum")</f>
        <v>Alignment Forum</v>
      </c>
      <c r="F1498">
        <f>IFERROR(__xludf.DUMMYFUNCTION("""COMPUTED_VALUE"""),2018.0)</f>
        <v>2018</v>
      </c>
      <c r="H1498" s="3" t="str">
        <f>IFERROR(__xludf.DUMMYFUNCTION("""COMPUTED_VALUE"""),"AN #30")</f>
        <v>AN #30</v>
      </c>
    </row>
    <row r="1499">
      <c r="A1499" t="str">
        <f>IFERROR(__xludf.DUMMYFUNCTION("""COMPUTED_VALUE"""),"Preventing bad behavior")</f>
        <v>Preventing bad behavior</v>
      </c>
      <c r="B1499" t="str">
        <f>IFERROR(__xludf.DUMMYFUNCTION("""COMPUTED_VALUE"""),"")</f>
        <v/>
      </c>
      <c r="C1499" s="3" t="str">
        <f>IFERROR(__xludf.DUMMYFUNCTION("""COMPUTED_VALUE"""),"Safety Aware Reinforcement Learning (SARL)")</f>
        <v>Safety Aware Reinforcement Learning (SARL)</v>
      </c>
      <c r="D1499" t="str">
        <f>IFERROR(__xludf.DUMMYFUNCTION("""COMPUTED_VALUE"""),"Santiago Miret, Somdeb Majumdar, Carroll Wainwright")</f>
        <v>Santiago Miret, Somdeb Majumdar, Carroll Wainwright</v>
      </c>
      <c r="E1499" t="str">
        <f>IFERROR(__xludf.DUMMYFUNCTION("""COMPUTED_VALUE"""),"arXiv")</f>
        <v>arXiv</v>
      </c>
      <c r="F1499">
        <f>IFERROR(__xludf.DUMMYFUNCTION("""COMPUTED_VALUE"""),2020.0)</f>
        <v>2020</v>
      </c>
      <c r="H1499" s="3" t="str">
        <f>IFERROR(__xludf.DUMMYFUNCTION("""COMPUTED_VALUE"""),"AN #123")</f>
        <v>AN #123</v>
      </c>
      <c r="I1499" t="str">
        <f>IFERROR(__xludf.DUMMYFUNCTION("""COMPUTED_VALUE"""),"Rohin")</f>
        <v>Rohin</v>
      </c>
      <c r="J1499" t="str">
        <f>IFERROR(__xludf.DUMMYFUNCTION("""COMPUTED_VALUE"""),"Many approaches to safety rely on learning from a trusted overseer (typically a human), including &lt;@iterated amplification@&gt;(@Supervising strong learners by amplifying weak experts@), &lt;@debate@&gt;(@AI safety via debate@), &lt;@parenting@&gt;(@Parenting: Safe Rein"&amp;"forcement Learning from Human Input@), &lt;@delegative RL@&gt;(@Delegative Reinforcement Learning@), and [quantilization](https://intelligence.org/files/QuantilizersSaferAlternative.pdf) ([AN #48](https://mailchi.mp/3091c6e9405c/alignment-newsletter-48)). This "&amp;"paper applies this idea to avoiding side effects in the &lt;@SafeLife environment@&gt;(@Introducing SafeLife: Safety Benchmarks for Reinforcement Learning@). They train a safety agent to minimize side effect score to use as a proxy for the trusted overseer, and"&amp;" then train a regular RL agent to optimize reward while penalizing deviations from the safety agent’s policy. They find that the safety agent can be transferred zero-shot to new environments and help reduce side effects in those environments as well.")</f>
        <v>Many approaches to safety rely on learning from a trusted overseer (typically a human), including &lt;@iterated amplification@&gt;(@Supervising strong learners by amplifying weak experts@), &lt;@debate@&gt;(@AI safety via debate@), &lt;@parenting@&gt;(@Parenting: Safe Reinforcement Learning from Human Input@), &lt;@delegative RL@&gt;(@Delegative Reinforcement Learning@), and [quantilization](https://intelligence.org/files/QuantilizersSaferAlternative.pdf) ([AN #48](https://mailchi.mp/3091c6e9405c/alignment-newsletter-48)). This paper applies this idea to avoiding side effects in the &lt;@SafeLife environment@&gt;(@Introducing SafeLife: Safety Benchmarks for Reinforcement Learning@). They train a safety agent to minimize side effect score to use as a proxy for the trusted overseer, and then train a regular RL agent to optimize reward while penalizing deviations from the safety agent’s policy. They find that the safety agent can be transferred zero-shot to new environments and help reduce side effects in those environments as well.</v>
      </c>
    </row>
    <row r="1500">
      <c r="A1500" t="str">
        <f>IFERROR(__xludf.DUMMYFUNCTION("""COMPUTED_VALUE"""),"Preventing bad behavior")</f>
        <v>Preventing bad behavior</v>
      </c>
      <c r="B1500" t="str">
        <f>IFERROR(__xludf.DUMMYFUNCTION("""COMPUTED_VALUE"""),"")</f>
        <v/>
      </c>
      <c r="C1500" s="3" t="str">
        <f>IFERROR(__xludf.DUMMYFUNCTION("""COMPUTED_VALUE"""),"Formal Language Constraints for Markov Decision Processes")</f>
        <v>Formal Language Constraints for Markov Decision Processes</v>
      </c>
      <c r="D1500" t="str">
        <f>IFERROR(__xludf.DUMMYFUNCTION("""COMPUTED_VALUE"""),"Eleanor Quint, Dong Xu, Haluk Dogan, Zeynep Hakguder, Stephen Scott, Matthew Dwyer")</f>
        <v>Eleanor Quint, Dong Xu, Haluk Dogan, Zeynep Hakguder, Stephen Scott, Matthew Dwyer</v>
      </c>
      <c r="E1500" t="str">
        <f>IFERROR(__xludf.DUMMYFUNCTION("""COMPUTED_VALUE"""),"NeurIPS 2019 Workshop on Safety and Robustness in Decision Making")</f>
        <v>NeurIPS 2019 Workshop on Safety and Robustness in Decision Making</v>
      </c>
      <c r="F1500">
        <f>IFERROR(__xludf.DUMMYFUNCTION("""COMPUTED_VALUE"""),2019.0)</f>
        <v>2019</v>
      </c>
      <c r="H1500" s="3" t="str">
        <f>IFERROR(__xludf.DUMMYFUNCTION("""COMPUTED_VALUE"""),"AN #68")</f>
        <v>AN #68</v>
      </c>
      <c r="I1500" t="str">
        <f>IFERROR(__xludf.DUMMYFUNCTION("""COMPUTED_VALUE"""),"Rohin")</f>
        <v>Rohin</v>
      </c>
      <c r="J1500" t="str">
        <f>IFERROR(__xludf.DUMMYFUNCTION("""COMPUTED_VALUE"""),"Within the framework of RL, the authors propose using constraints defined by DFAs (deterministic finite automata) in order to eliminate safety failures, or to prevent agents from exploring clearly ineffective policies (which would accelerate learning). Co"&amp;"nstraints can be defined on any auxiliary information that can be computed from the ""base"" MDP. A constraint could either restrict the action space, forcing the agent to take an action that doesn't violate the constraint, which they term ""hard"" constr"&amp;"aints; or a constraint could impose a penalty on the agent, thus acting as a form of reward shaping, which they term a ""soft"" constraint. They consider two constraints: one that prevents the agent from ""dithering"" (going left, then right, then left, t"&amp;"hen right), and one that prevents the agent from ""overactuating"" (going in the same direction four times in a row). They evaluate their approach with these constraints on Atari games and Mujoco environments, and show that they lead to increased reward a"&amp;"nd decreased constraint violations.")</f>
        <v>Within the framework of RL, the authors propose using constraints defined by DFAs (deterministic finite automata) in order to eliminate safety failures, or to prevent agents from exploring clearly ineffective policies (which would accelerate learning). Constraints can be defined on any auxiliary information that can be computed from the "base" MDP. A constraint could either restrict the action space, forcing the agent to take an action that doesn't violate the constraint, which they term "hard" constraints; or a constraint could impose a penalty on the agent, thus acting as a form of reward shaping, which they term a "soft" constraint. They consider two constraints: one that prevents the agent from "dithering" (going left, then right, then left, then right), and one that prevents the agent from "overactuating" (going in the same direction four times in a row). They evaluate their approach with these constraints on Atari games and Mujoco environments, and show that they lead to increased reward and decreased constraint violations.</v>
      </c>
      <c r="K1500" t="str">
        <f>IFERROR(__xludf.DUMMYFUNCTION("""COMPUTED_VALUE"""),"This method seems like a good way to build in domain knowledge about what kinds of action sequences are unlikely to work in a domain, which can help accelerate learning. Both of the constraints in the experiments do this. The paper also suggests using the"&amp;" technique to enforce safety constraints, but the experiments don't involve any safety constraints, and conceptually there do seem to be two big obstacles. First, the constraints will depend on state, but it is very hard to write such constraints given ac"&amp;"cess only to actions and high-dimensional pixel observations. Second, you can only prevent constraint violations by removing actions one timestep before the constraint is violated: if there is an action that will inevitably lead to a constraint violation "&amp;"in 10 timesteps, there's no way in this framework to not take that action. (Of course, you can use a soft constraint, but this is then the standard technique of reward shaping.)
In general, methods like this face a major challenge: how do you specify the"&amp;" safety constraint that you would like to avoid violating? I'd love to see more research on how to create specifications for formal analysis.")</f>
        <v>This method seems like a good way to build in domain knowledge about what kinds of action sequences are unlikely to work in a domain, which can help accelerate learning. Both of the constraints in the experiments do this. The paper also suggests using the technique to enforce safety constraints, but the experiments don't involve any safety constraints, and conceptually there do seem to be two big obstacles. First, the constraints will depend on state, but it is very hard to write such constraints given access only to actions and high-dimensional pixel observations. Second, you can only prevent constraint violations by removing actions one timestep before the constraint is violated: if there is an action that will inevitably lead to a constraint violation in 10 timesteps, there's no way in this framework to not take that action. (Of course, you can use a soft constraint, but this is then the standard technique of reward shaping.)
In general, methods like this face a major challenge: how do you specify the safety constraint that you would like to avoid violating? I'd love to see more research on how to create specifications for formal analysis.</v>
      </c>
    </row>
    <row r="1501">
      <c r="A1501" t="str">
        <f>IFERROR(__xludf.DUMMYFUNCTION("""COMPUTED_VALUE"""),"Preventing bad behavior")</f>
        <v>Preventing bad behavior</v>
      </c>
      <c r="B1501" t="str">
        <f>IFERROR(__xludf.DUMMYFUNCTION("""COMPUTED_VALUE"""),"")</f>
        <v/>
      </c>
      <c r="C1501" s="3" t="str">
        <f>IFERROR(__xludf.DUMMYFUNCTION("""COMPUTED_VALUE"""),"Optimization Regularization through Time Penalty")</f>
        <v>Optimization Regularization through Time Penalty</v>
      </c>
      <c r="D1501" t="str">
        <f>IFERROR(__xludf.DUMMYFUNCTION("""COMPUTED_VALUE"""),"Linda Linsefors")</f>
        <v>Linda Linsefors</v>
      </c>
      <c r="E1501" t="str">
        <f>IFERROR(__xludf.DUMMYFUNCTION("""COMPUTED_VALUE"""),"Alignment Forum")</f>
        <v>Alignment Forum</v>
      </c>
      <c r="F1501">
        <f>IFERROR(__xludf.DUMMYFUNCTION("""COMPUTED_VALUE"""),2019.0)</f>
        <v>2019</v>
      </c>
      <c r="H1501" s="3" t="str">
        <f>IFERROR(__xludf.DUMMYFUNCTION("""COMPUTED_VALUE"""),"AN #40")</f>
        <v>AN #40</v>
      </c>
    </row>
    <row r="1502">
      <c r="A1502" t="str">
        <f>IFERROR(__xludf.DUMMYFUNCTION("""COMPUTED_VALUE"""),"Preventing bad behavior")</f>
        <v>Preventing bad behavior</v>
      </c>
      <c r="B1502" t="str">
        <f>IFERROR(__xludf.DUMMYFUNCTION("""COMPUTED_VALUE"""),"")</f>
        <v/>
      </c>
      <c r="C1502" s="3" t="str">
        <f>IFERROR(__xludf.DUMMYFUNCTION("""COMPUTED_VALUE"""),"Safe Option-Critic: Learning Safety in the Option-Critic Architecture")</f>
        <v>Safe Option-Critic: Learning Safety in the Option-Critic Architecture</v>
      </c>
      <c r="D1502" t="str">
        <f>IFERROR(__xludf.DUMMYFUNCTION("""COMPUTED_VALUE"""),"Arushi Jain, Khimya Khetarpal, Doina Precup")</f>
        <v>Arushi Jain, Khimya Khetarpal, Doina Precup</v>
      </c>
      <c r="E1502" t="str">
        <f>IFERROR(__xludf.DUMMYFUNCTION("""COMPUTED_VALUE"""),"arXiv")</f>
        <v>arXiv</v>
      </c>
      <c r="F1502">
        <f>IFERROR(__xludf.DUMMYFUNCTION("""COMPUTED_VALUE"""),2018.0)</f>
        <v>2018</v>
      </c>
      <c r="H1502" s="3" t="str">
        <f>IFERROR(__xludf.DUMMYFUNCTION("""COMPUTED_VALUE"""),"AN #17")</f>
        <v>AN #17</v>
      </c>
      <c r="I1502" t="str">
        <f>IFERROR(__xludf.DUMMYFUNCTION("""COMPUTED_VALUE"""),"Rohin")</f>
        <v>Rohin</v>
      </c>
      <c r="J1502" t="str">
        <f>IFERROR(__xludf.DUMMYFUNCTION("""COMPUTED_VALUE"""),"Let's consider an RL agent in the options framework (one way of doing hierarchical reinforcement learning). One way in which we could make such an agent safer would be to make it risk-averse. The authors define the controllability of a (state, option) pai"&amp;"r to be the negative expected variance of the TD error. Intuitively, the controllability is higher when the value of the (state, option) pair is more predictable to the agent, and so by optimizing for controllability we can encourage risk-aversion. They d"&amp;"erive the policy gradient when the objective is to maximize the reward and the controllability of the initial (state, option) pair, and use this to create the Safe-A2OC algorithm (a safe version of A2OC, which itself is a version of A2C for options). They"&amp;" test this out on a four-rooms gridworld problem, Cartpole, and three games from the Arcade Learning Environment (ALE).")</f>
        <v>Let's consider an RL agent in the options framework (one way of doing hierarchical reinforcement learning). One way in which we could make such an agent safer would be to make it risk-averse. The authors define the controllability of a (state, option) pair to be the negative expected variance of the TD error. Intuitively, the controllability is higher when the value of the (state, option) pair is more predictable to the agent, and so by optimizing for controllability we can encourage risk-aversion. They derive the policy gradient when the objective is to maximize the reward and the controllability of the initial (state, option) pair, and use this to create the Safe-A2OC algorithm (a safe version of A2OC, which itself is a version of A2C for options). They test this out on a four-rooms gridworld problem, Cartpole, and three games from the Arcade Learning Environment (ALE).</v>
      </c>
      <c r="K1502" t="str">
        <f>IFERROR(__xludf.DUMMYFUNCTION("""COMPUTED_VALUE"""),"I'm very excited to see a paper tackling safety in hierarchical reinforcement learning -- that seems like a really important area to consider, and doesn't have many safety people working on it yet. That said, this paper feels weird to me, because in order"&amp;" to learn that a particular (state, option) pair is bad, the RL agent must experience that pair somewhat often, so it will have done the risky thing. It's not clear to me where this would be useful. One upside could be that we do risky things less often, "&amp;"so our RL agent learns faster from its mistakes, and doesn't make them as often. (And in fact they find that this leads to faster learning in three games in the ALE.) Perhaps we could also use this to train a risk-averse agent in simulation, that then nev"&amp;"er makes a mistake when deployed in the real world.
I also wonder whether we should be trying to make our agents risk-averse. The ""right"" answer seems to me to a combination of two things: First, some things are actually very bad and have very large ne"&amp;"gative reward, and so they should be avoided with high probability. Second, when you are acting over a long period of time, even a small probability of failure at every time step compounds and leads to a near-guaranteed failure. If these are actually the "&amp;"reasons underlying risk aversion, it seems like we want to be able to imbue our RL agent with the underlying reasons, rather than flat risk aversion.")</f>
        <v>I'm very excited to see a paper tackling safety in hierarchical reinforcement learning -- that seems like a really important area to consider, and doesn't have many safety people working on it yet. That said, this paper feels weird to me, because in order to learn that a particular (state, option) pair is bad, the RL agent must experience that pair somewhat often, so it will have done the risky thing. It's not clear to me where this would be useful. One upside could be that we do risky things less often, so our RL agent learns faster from its mistakes, and doesn't make them as often. (And in fact they find that this leads to faster learning in three games in the ALE.) Perhaps we could also use this to train a risk-averse agent in simulation, that then never makes a mistake when deployed in the real world.
I also wonder whether we should be trying to make our agents risk-averse. The "right" answer seems to me to a combination of two things: First, some things are actually very bad and have very large negative reward, and so they should be avoided with high probability. Second, when you are acting over a long period of time, even a small probability of failure at every time step compounds and leads to a near-guaranteed failure. If these are actually the reasons underlying risk aversion, it seems like we want to be able to imbue our RL agent with the underlying reasons, rather than flat risk aversion.</v>
      </c>
    </row>
    <row r="1503">
      <c r="A1503" t="str">
        <f>IFERROR(__xludf.DUMMYFUNCTION("""COMPUTED_VALUE"""),"Preventing bad behavior")</f>
        <v>Preventing bad behavior</v>
      </c>
      <c r="B1503" t="str">
        <f>IFERROR(__xludf.DUMMYFUNCTION("""COMPUTED_VALUE"""),"")</f>
        <v/>
      </c>
      <c r="C1503" s="3" t="str">
        <f>IFERROR(__xludf.DUMMYFUNCTION("""COMPUTED_VALUE"""),"Stovepiping and Malicious Software: A Critical Review of AGI Containment")</f>
        <v>Stovepiping and Malicious Software: A Critical Review of AGI Containment</v>
      </c>
      <c r="D1503" t="str">
        <f>IFERROR(__xludf.DUMMYFUNCTION("""COMPUTED_VALUE"""),"Jason M. Pittman")</f>
        <v>Jason M. Pittman</v>
      </c>
      <c r="E1503" t="str">
        <f>IFERROR(__xludf.DUMMYFUNCTION("""COMPUTED_VALUE"""),"arXiv")</f>
        <v>arXiv</v>
      </c>
      <c r="F1503">
        <f>IFERROR(__xludf.DUMMYFUNCTION("""COMPUTED_VALUE"""),2018.0)</f>
        <v>2018</v>
      </c>
      <c r="H1503" t="str">
        <f>IFERROR(__xludf.DUMMYFUNCTION("""COMPUTED_VALUE"""),"N/A")</f>
        <v>N/A</v>
      </c>
      <c r="I1503" t="str">
        <f>IFERROR(__xludf.DUMMYFUNCTION("""COMPUTED_VALUE"""),"Rohin")</f>
        <v>Rohin</v>
      </c>
      <c r="J1503" t="str">
        <f>IFERROR(__xludf.DUMMYFUNCTION("""COMPUTED_VALUE"""),"")</f>
        <v/>
      </c>
      <c r="K1503" t="str">
        <f>IFERROR(__xludf.DUMMYFUNCTION("""COMPUTED_VALUE"""),"")</f>
        <v/>
      </c>
    </row>
    <row r="1504">
      <c r="A1504" t="str">
        <f>IFERROR(__xludf.DUMMYFUNCTION("""COMPUTED_VALUE"""),"Previous newsletters")</f>
        <v>Previous newsletters</v>
      </c>
      <c r="B1504" t="str">
        <f>IFERROR(__xludf.DUMMYFUNCTION("""COMPUTED_VALUE"""),"")</f>
        <v/>
      </c>
      <c r="C1504" t="str">
        <f>IFERROR(__xludf.DUMMYFUNCTION("""COMPUTED_VALUE"""),"[Three AI Safety Related Ideas](https://www.alignmentforum.org/posts/vbtvgNXkufFRSrx4j/three-ai-safety-related-ideas) and [Two Neglected Problems in Human-AI Safety](https://www.alignmentforum.org/posts/HTgakSs6JpnogD6c2/two-neglected-problems-in-human-ai"&amp;"-safety)")</f>
        <v>[Three AI Safety Related Ideas](https://www.alignmentforum.org/posts/vbtvgNXkufFRSrx4j/three-ai-safety-related-ideas) and [Two Neglected Problems in Human-AI Safety](https://www.alignmentforum.org/posts/HTgakSs6JpnogD6c2/two-neglected-problems-in-human-ai-safety)</v>
      </c>
      <c r="D1504" t="str">
        <f>IFERROR(__xludf.DUMMYFUNCTION("""COMPUTED_VALUE"""),"Wei Dai")</f>
        <v>Wei Dai</v>
      </c>
      <c r="E1504" t="str">
        <f>IFERROR(__xludf.DUMMYFUNCTION("""COMPUTED_VALUE"""),"Alignment Forum")</f>
        <v>Alignment Forum</v>
      </c>
      <c r="F1504">
        <f>IFERROR(__xludf.DUMMYFUNCTION("""COMPUTED_VALUE"""),2018.0)</f>
        <v>2018</v>
      </c>
      <c r="H1504" s="3" t="str">
        <f>IFERROR(__xludf.DUMMYFUNCTION("""COMPUTED_VALUE"""),"AN #38")</f>
        <v>AN #38</v>
      </c>
      <c r="I1504" t="str">
        <f>IFERROR(__xludf.DUMMYFUNCTION("""COMPUTED_VALUE"""),"Rohin")</f>
        <v>Rohin</v>
      </c>
      <c r="J1504" t="str">
        <f>IFERROR(__xludf.DUMMYFUNCTION("""COMPUTED_VALUE"""),"Last week, I said that the problem of defending against intentional value corruption was an instance of the problem ""Competing aligned superintelligent AI systems could do bad things"", and I wasn't sure why we were focusing on value corruption in partic"&amp;"ular. In [this comment](https://www.alignmentforum.org/posts/HTgakSs6JpnogD6c2/two-neglected-problems-in-human-ai-safety#dykZxAXGr6sk7bh4e), Wei Dai argues that superintelligent AI systems could be really good at cooperating with each other, which solves "&amp;"_most_ of the problems. However, the terms of such cooperation will probably reflect the balance of power between the AI systems, which may tend to benefit simpler value systems rather than ones with a proper amount of value complexity and moral uncertain"&amp;"ty. This seems plausible to me, though I'm not confident one way or the other.")</f>
        <v>Last week, I said that the problem of defending against intentional value corruption was an instance of the problem "Competing aligned superintelligent AI systems could do bad things", and I wasn't sure why we were focusing on value corruption in particular. In [this comment](https://www.alignmentforum.org/posts/HTgakSs6JpnogD6c2/two-neglected-problems-in-human-ai-safety#dykZxAXGr6sk7bh4e), Wei Dai argues that superintelligent AI systems could be really good at cooperating with each other, which solves _most_ of the problems. However, the terms of such cooperation will probably reflect the balance of power between the AI systems, which may tend to benefit simpler value systems rather than ones with a proper amount of value complexity and moral uncertainty. This seems plausible to me, though I'm not confident one way or the other.</v>
      </c>
    </row>
    <row r="1505">
      <c r="A1505" t="str">
        <f>IFERROR(__xludf.DUMMYFUNCTION("""COMPUTED_VALUE"""),"Previous newsletters")</f>
        <v>Previous newsletters</v>
      </c>
      <c r="B1505" t="str">
        <f>IFERROR(__xludf.DUMMYFUNCTION("""COMPUTED_VALUE"""),"")</f>
        <v/>
      </c>
      <c r="C1505" s="3" t="str">
        <f>IFERROR(__xludf.DUMMYFUNCTION("""COMPUTED_VALUE"""),"Comment on Towards a New Impact Measure")</f>
        <v>Comment on Towards a New Impact Measure</v>
      </c>
      <c r="D1505" t="str">
        <f>IFERROR(__xludf.DUMMYFUNCTION("""COMPUTED_VALUE"""),"Victoria Krakovna")</f>
        <v>Victoria Krakovna</v>
      </c>
      <c r="E1505" t="str">
        <f>IFERROR(__xludf.DUMMYFUNCTION("""COMPUTED_VALUE"""),"Alignment Forum")</f>
        <v>Alignment Forum</v>
      </c>
      <c r="F1505">
        <f>IFERROR(__xludf.DUMMYFUNCTION("""COMPUTED_VALUE"""),2018.0)</f>
        <v>2018</v>
      </c>
      <c r="H1505" s="3" t="str">
        <f>IFERROR(__xludf.DUMMYFUNCTION("""COMPUTED_VALUE"""),"AN #26")</f>
        <v>AN #26</v>
      </c>
      <c r="I1505" t="str">
        <f>IFERROR(__xludf.DUMMYFUNCTION("""COMPUTED_VALUE"""),"Rohin")</f>
        <v>Rohin</v>
      </c>
      <c r="J1505" t="str">
        <f>IFERROR(__xludf.DUMMYFUNCTION("""COMPUTED_VALUE"""),"This comment clarifies the design space of impact measures, and in particular how Attainable Utility Preservation (AUP) from [AN #25](https://mailchi.mp/0c5eeec28f75/alignment-newsletter-25) and relative reachability (RR) from [AN #10](https://mailchi.mp/"&amp;"d1a19c140226/alignment-newsletter-10) compare. There's the choice of baseline to compare against (inaction for both), the measure of impact (attainable utilities vs. state reachability), and how to compute the deviation from the baseline (penalize both in"&amp;"creases and decreases vs. only decreases). AUP prevents an agent from disabling shutdown because it penalizes _increases_. RR only penalizes decreases by default, but can easily be changed to penalize both increases and decreases, in which case it would a"&amp;"lso have this effect. RR penalizes decreases by default because it aims not to cripple the agent, whereas AUP penalizes increases as well because it aims to prevent any catastrophic scenario.")</f>
        <v>This comment clarifies the design space of impact measures, and in particular how Attainable Utility Preservation (AUP) from [AN #25](https://mailchi.mp/0c5eeec28f75/alignment-newsletter-25) and relative reachability (RR) from [AN #10](https://mailchi.mp/d1a19c140226/alignment-newsletter-10) compare. There's the choice of baseline to compare against (inaction for both), the measure of impact (attainable utilities vs. state reachability), and how to compute the deviation from the baseline (penalize both increases and decreases vs. only decreases). AUP prevents an agent from disabling shutdown because it penalizes _increases_. RR only penalizes decreases by default, but can easily be changed to penalize both increases and decreases, in which case it would also have this effect. RR penalizes decreases by default because it aims not to cripple the agent, whereas AUP penalizes increases as well because it aims to prevent any catastrophic scenario.</v>
      </c>
      <c r="K1505" t="str">
        <f>IFERROR(__xludf.DUMMYFUNCTION("""COMPUTED_VALUE"""),"I found this comment really helpful both to understand AUP and how it compares to RR, would recommend it.")</f>
        <v>I found this comment really helpful both to understand AUP and how it compares to RR, would recommend it.</v>
      </c>
    </row>
    <row r="1506">
      <c r="A1506" t="str">
        <f>IFERROR(__xludf.DUMMYFUNCTION("""COMPUTED_VALUE"""),"Previous newsletters")</f>
        <v>Previous newsletters</v>
      </c>
      <c r="B1506" t="str">
        <f>IFERROR(__xludf.DUMMYFUNCTION("""COMPUTED_VALUE"""),"")</f>
        <v/>
      </c>
      <c r="C1506" s="3" t="str">
        <f>IFERROR(__xludf.DUMMYFUNCTION("""COMPUTED_VALUE"""),"Wireheading as a potential problem with the new impact measure")</f>
        <v>Wireheading as a potential problem with the new impact measure</v>
      </c>
      <c r="D1506" t="str">
        <f>IFERROR(__xludf.DUMMYFUNCTION("""COMPUTED_VALUE"""),"Stuart Armstrong")</f>
        <v>Stuart Armstrong</v>
      </c>
      <c r="E1506" t="str">
        <f>IFERROR(__xludf.DUMMYFUNCTION("""COMPUTED_VALUE"""),"Alignment Forum")</f>
        <v>Alignment Forum</v>
      </c>
      <c r="F1506">
        <f>IFERROR(__xludf.DUMMYFUNCTION("""COMPUTED_VALUE"""),2018.0)</f>
        <v>2018</v>
      </c>
      <c r="H1506" s="3" t="str">
        <f>IFERROR(__xludf.DUMMYFUNCTION("""COMPUTED_VALUE"""),"AN #26")</f>
        <v>AN #26</v>
      </c>
      <c r="I1506" t="str">
        <f>IFERROR(__xludf.DUMMYFUNCTION("""COMPUTED_VALUE"""),"Rohin")</f>
        <v>Rohin</v>
      </c>
      <c r="J1506" t="str">
        <f>IFERROR(__xludf.DUMMYFUNCTION("""COMPUTED_VALUE"""),"This suggests a potential problem with AUP: that the agent could build a device that creates exactly the observations that would be seen from null actions, which results in the penalty being near-zero, but otherwise maximizes the given utility function. A"&amp;"lex believes that this would be prevented by intent verification -- given a sufficiently granular representation of actions, at least one of the actions in this plan would not be increasing the ability to achieve the given utility function (without the pe"&amp;"nalty) relative to doing nothing, and would not be allowed as a result.")</f>
        <v>This suggests a potential problem with AUP: that the agent could build a device that creates exactly the observations that would be seen from null actions, which results in the penalty being near-zero, but otherwise maximizes the given utility function. Alex believes that this would be prevented by intent verification -- given a sufficiently granular representation of actions, at least one of the actions in this plan would not be increasing the ability to achieve the given utility function (without the penalty) relative to doing nothing, and would not be allowed as a result.</v>
      </c>
    </row>
    <row r="1507">
      <c r="A1507" t="str">
        <f>IFERROR(__xludf.DUMMYFUNCTION("""COMPUTED_VALUE"""),"Previous newsletters")</f>
        <v>Previous newsletters</v>
      </c>
      <c r="B1507" t="str">
        <f>IFERROR(__xludf.DUMMYFUNCTION("""COMPUTED_VALUE"""),"")</f>
        <v/>
      </c>
      <c r="C1507" s="3" t="str">
        <f>IFERROR(__xludf.DUMMYFUNCTION("""COMPUTED_VALUE"""),"Addendum to AI and Compute")</f>
        <v>Addendum to AI and Compute</v>
      </c>
      <c r="D1507" t="str">
        <f>IFERROR(__xludf.DUMMYFUNCTION("""COMPUTED_VALUE"""),"Girish Sastry, Jack Clark, Greg Brockman, Ilya Sutskever")</f>
        <v>Girish Sastry, Jack Clark, Greg Brockman, Ilya Sutskever</v>
      </c>
      <c r="E1507" t="str">
        <f>IFERROR(__xludf.DUMMYFUNCTION("""COMPUTED_VALUE"""),"OpenAI Blog")</f>
        <v>OpenAI Blog</v>
      </c>
      <c r="F1507">
        <f>IFERROR(__xludf.DUMMYFUNCTION("""COMPUTED_VALUE"""),2019.0)</f>
        <v>2019</v>
      </c>
      <c r="H1507" s="3" t="str">
        <f>IFERROR(__xludf.DUMMYFUNCTION("""COMPUTED_VALUE"""),"AN #74")</f>
        <v>AN #74</v>
      </c>
      <c r="I1507" t="str">
        <f>IFERROR(__xludf.DUMMYFUNCTION("""COMPUTED_VALUE"""),"Rohin")</f>
        <v>Rohin</v>
      </c>
      <c r="J1507" t="str">
        <f>IFERROR(__xludf.DUMMYFUNCTION("""COMPUTED_VALUE"""),"Last week, I said that this addendum suggested that we don't see the impact of AI winters in the graph of compute usage over time. While true, this was misleading: the post is measuring compute used to _train_ models, which was less important in past AI r"&amp;"esearch (e.g. it doesn't include Deep Blue), so it's not too surprising that we don't see the impact of AI winters.")</f>
        <v>Last week, I said that this addendum suggested that we don't see the impact of AI winters in the graph of compute usage over time. While true, this was misleading: the post is measuring compute used to _train_ models, which was less important in past AI research (e.g. it doesn't include Deep Blue), so it's not too surprising that we don't see the impact of AI winters.</v>
      </c>
    </row>
    <row r="1508">
      <c r="A1508" t="str">
        <f>IFERROR(__xludf.DUMMYFUNCTION("""COMPUTED_VALUE"""),"Previous newsletters")</f>
        <v>Previous newsletters</v>
      </c>
      <c r="B1508" t="str">
        <f>IFERROR(__xludf.DUMMYFUNCTION("""COMPUTED_VALUE"""),"")</f>
        <v/>
      </c>
      <c r="C1508" s="3" t="str">
        <f>IFERROR(__xludf.DUMMYFUNCTION("""COMPUTED_VALUE"""),"AI Safety workshop at IJCAI 2019")</f>
        <v>AI Safety workshop at IJCAI 2019</v>
      </c>
      <c r="D1508" t="str">
        <f>IFERROR(__xludf.DUMMYFUNCTION("""COMPUTED_VALUE"""),"Huáscar Espinoza, Han Yu, Xiaowei Huang, 
Freddy Lecue, Cynthia Chen, José Hernández-Orallo,
Seán Ó hÉigeartaigh, and Richard Mallah")</f>
        <v>Huáscar Espinoza, Han Yu, Xiaowei Huang, 
Freddy Lecue, Cynthia Chen, José Hernández-Orallo,
Seán Ó hÉigeartaigh, and Richard Mallah</v>
      </c>
      <c r="E1508" t="str">
        <f>IFERROR(__xludf.DUMMYFUNCTION("""COMPUTED_VALUE"""),"AI Safety Workshop website")</f>
        <v>AI Safety Workshop website</v>
      </c>
      <c r="F1508">
        <f>IFERROR(__xludf.DUMMYFUNCTION("""COMPUTED_VALUE"""),2019.0)</f>
        <v>2019</v>
      </c>
      <c r="H1508" s="3" t="str">
        <f>IFERROR(__xludf.DUMMYFUNCTION("""COMPUTED_VALUE"""),"AN #54")</f>
        <v>AN #54</v>
      </c>
      <c r="I1508" t="str">
        <f>IFERROR(__xludf.DUMMYFUNCTION("""COMPUTED_VALUE"""),"Rohin")</f>
        <v>Rohin</v>
      </c>
      <c r="J1508" t="str">
        <f>IFERROR(__xludf.DUMMYFUNCTION("""COMPUTED_VALUE"""),"Previously ([AN #49](https://mailchi.mp/efed27be268a/alignment-newsletter-49)), I said the paper submission deadline was April 12. Either I made a mistake, or the deadline has been extended, because the actual deadline is May 12.")</f>
        <v>Previously ([AN #49](https://mailchi.mp/efed27be268a/alignment-newsletter-49)), I said the paper submission deadline was April 12. Either I made a mistake, or the deadline has been extended, because the actual deadline is May 12.</v>
      </c>
    </row>
    <row r="1509">
      <c r="A1509" t="str">
        <f>IFERROR(__xludf.DUMMYFUNCTION("""COMPUTED_VALUE"""),"Previous newsletters")</f>
        <v>Previous newsletters</v>
      </c>
      <c r="B1509" t="str">
        <f>IFERROR(__xludf.DUMMYFUNCTION("""COMPUTED_VALUE"""),"")</f>
        <v/>
      </c>
      <c r="C1509" s="3" t="str">
        <f>IFERROR(__xludf.DUMMYFUNCTION("""COMPUTED_VALUE"""),"Model Reconstruction from Model Explanations")</f>
        <v>Model Reconstruction from Model Explanations</v>
      </c>
      <c r="D1509" t="str">
        <f>IFERROR(__xludf.DUMMYFUNCTION("""COMPUTED_VALUE"""),"Smitha Milli, Ludwig Schmidt, Anca D. Dragan, Moritz Hardt")</f>
        <v>Smitha Milli, Ludwig Schmidt, Anca D. Dragan, Moritz Hardt</v>
      </c>
      <c r="E1509" t="str">
        <f>IFERROR(__xludf.DUMMYFUNCTION("""COMPUTED_VALUE"""),"Fourteenth Artificial Intelligence and Interactive Digital Entertainment Conference")</f>
        <v>Fourteenth Artificial Intelligence and Interactive Digital Entertainment Conference</v>
      </c>
      <c r="F1509">
        <f>IFERROR(__xludf.DUMMYFUNCTION("""COMPUTED_VALUE"""),2018.0)</f>
        <v>2018</v>
      </c>
      <c r="H1509" s="3" t="str">
        <f>IFERROR(__xludf.DUMMYFUNCTION("""COMPUTED_VALUE"""),"AN #23")</f>
        <v>AN #23</v>
      </c>
      <c r="I1509" t="str">
        <f>IFERROR(__xludf.DUMMYFUNCTION("""COMPUTED_VALUE"""),"Rohin")</f>
        <v>Rohin</v>
      </c>
      <c r="J1509" t="str">
        <f>IFERROR(__xludf.DUMMYFUNCTION("""COMPUTED_VALUE"""),"Back in [AN #16](https://mailchi.mp/f2950ed2ac4b/alignment-newsletter-16), I said that one way to prevent model reconstruction from gradient-based explanations was to add noise to the gradients. Smitha pointed out that the experiments with SmoothGrad are "&amp;"actually of this form, and it still is possible to recover the full model, so even adding noise may not help. I don't really understand SmoothGrad and it's relationship with noise (which is chosen to make a saliency map look nice, if I understand correctl"&amp;"y) so I don't know exactly what to think here.")</f>
        <v>Back in [AN #16](https://mailchi.mp/f2950ed2ac4b/alignment-newsletter-16), I said that one way to prevent model reconstruction from gradient-based explanations was to add noise to the gradients. Smitha pointed out that the experiments with SmoothGrad are actually of this form, and it still is possible to recover the full model, so even adding noise may not help. I don't really understand SmoothGrad and it's relationship with noise (which is chosen to make a saliency map look nice, if I understand correctly) so I don't know exactly what to think here.</v>
      </c>
    </row>
    <row r="1510">
      <c r="A1510" t="str">
        <f>IFERROR(__xludf.DUMMYFUNCTION("""COMPUTED_VALUE"""),"Previous newsletters")</f>
        <v>Previous newsletters</v>
      </c>
      <c r="B1510" t="str">
        <f>IFERROR(__xludf.DUMMYFUNCTION("""COMPUTED_VALUE"""),"")</f>
        <v/>
      </c>
      <c r="C1510" s="3" t="str">
        <f>IFERROR(__xludf.DUMMYFUNCTION("""COMPUTED_VALUE"""),"Pascal’s Muggle Pays")</f>
        <v>Pascal’s Muggle Pays</v>
      </c>
      <c r="D1510" t="str">
        <f>IFERROR(__xludf.DUMMYFUNCTION("""COMPUTED_VALUE"""),"Zvi")</f>
        <v>Zvi</v>
      </c>
      <c r="E1510" t="str">
        <f>IFERROR(__xludf.DUMMYFUNCTION("""COMPUTED_VALUE"""),"LessWrong")</f>
        <v>LessWrong</v>
      </c>
      <c r="F1510">
        <f>IFERROR(__xludf.DUMMYFUNCTION("""COMPUTED_VALUE"""),2017.0)</f>
        <v>2017</v>
      </c>
      <c r="G1510" t="str">
        <f>IFERROR(__xludf.DUMMYFUNCTION("""COMPUTED_VALUE"""),"Alex Mennen")</f>
        <v>Alex Mennen</v>
      </c>
      <c r="H1510" s="3" t="str">
        <f>IFERROR(__xludf.DUMMYFUNCTION("""COMPUTED_VALUE"""),"AN #16")</f>
        <v>AN #16</v>
      </c>
      <c r="I1510" t="str">
        <f>IFERROR(__xludf.DUMMYFUNCTION("""COMPUTED_VALUE"""),"Rohin")</f>
        <v>Rohin</v>
      </c>
      <c r="J1510" t="str">
        <f>IFERROR(__xludf.DUMMYFUNCTION("""COMPUTED_VALUE"""),"Last week I mentioned non-exploitability as a justification for not paying Pascal's mugger. Alex pointed me to this post, which makes this argument, which I had seen before, but more importantly to [these](https://www.lesswrong.com/posts/CaPgNwxEFHh3Ahvf7"&amp;"/pascal-s-muggle-pays#u25C6XFrALaGNwyWW) [comments](https://www.lesswrong.com/posts/CaPgNwxEFHh3Ahvf7/pascal-s-muggle-pays#Sj2ymuRZQ6yij9edj) that argue against it, which I hadn't seen. The basic idea is that the downside of being continuously exploited i"&amp;"n the real world is still not bad enough to cancel out the potentially huge upside in the (very unlikely) world where the mugger is telling the truth.")</f>
        <v>Last week I mentioned non-exploitability as a justification for not paying Pascal's mugger. Alex pointed me to this post, which makes this argument, which I had seen before, but more importantly to [these](https://www.lesswrong.com/posts/CaPgNwxEFHh3Ahvf7/pascal-s-muggle-pays#u25C6XFrALaGNwyWW) [comments](https://www.lesswrong.com/posts/CaPgNwxEFHh3Ahvf7/pascal-s-muggle-pays#Sj2ymuRZQ6yij9edj) that argue against it, which I hadn't seen. The basic idea is that the downside of being continuously exploited in the real world is still not bad enough to cancel out the potentially huge upside in the (very unlikely) world where the mugger is telling the truth.</v>
      </c>
      <c r="K1510" t="str">
        <f>IFERROR(__xludf.DUMMYFUNCTION("""COMPUTED_VALUE"""),"I'm convinced, non-exploitability doesn't save you from being Pascal's mugged. My current opinion on Pascal's mugging is ¯\_(ツ)_/¯")</f>
        <v>I'm convinced, non-exploitability doesn't save you from being Pascal's mugged. My current opinion on Pascal's mugging is ¯\_(ツ)_/¯</v>
      </c>
    </row>
    <row r="1511">
      <c r="A1511" t="str">
        <f>IFERROR(__xludf.DUMMYFUNCTION("""COMPUTED_VALUE"""),"Privacy and security")</f>
        <v>Privacy and security</v>
      </c>
      <c r="B1511" t="str">
        <f>IFERROR(__xludf.DUMMYFUNCTION("""COMPUTED_VALUE"""),"")</f>
        <v/>
      </c>
      <c r="C1511" s="3" t="str">
        <f>IFERROR(__xludf.DUMMYFUNCTION("""COMPUTED_VALUE"""),"Does GPT-2 Know Your Phone Number?")</f>
        <v>Does GPT-2 Know Your Phone Number?</v>
      </c>
      <c r="D1511" t="str">
        <f>IFERROR(__xludf.DUMMYFUNCTION("""COMPUTED_VALUE"""),"Nicholas Carlini, Florian Tramer, Eric Wallace, Matthew Jagielski, Ariel Herbert-Voss, Katherine Lee, Adam Roberts, Tom Brown, Dawn Song, Ulfar Erlingsson, Alina Oprea, Colin Raffel")</f>
        <v>Nicholas Carlini, Florian Tramer, Eric Wallace, Matthew Jagielski, Ariel Herbert-Voss, Katherine Lee, Adam Roberts, Tom Brown, Dawn Song, Ulfar Erlingsson, Alina Oprea, Colin Raffel</v>
      </c>
      <c r="E1511" t="str">
        <f>IFERROR(__xludf.DUMMYFUNCTION("""COMPUTED_VALUE"""),"arXiv")</f>
        <v>arXiv</v>
      </c>
      <c r="F1511">
        <f>IFERROR(__xludf.DUMMYFUNCTION("""COMPUTED_VALUE"""),2020.0)</f>
        <v>2020</v>
      </c>
      <c r="H1511" s="3" t="str">
        <f>IFERROR(__xludf.DUMMYFUNCTION("""COMPUTED_VALUE"""),"AN #132")</f>
        <v>AN #132</v>
      </c>
      <c r="I1511" t="str">
        <f>IFERROR(__xludf.DUMMYFUNCTION("""COMPUTED_VALUE"""),"Rohin")</f>
        <v>Rohin</v>
      </c>
      <c r="J1511" t="str">
        <f>IFERROR(__xludf.DUMMYFUNCTION("""COMPUTED_VALUE"""),"This post and associated paper demonstrate that large language models memorize rare training data, and (some of) that training data can then be extracted through an automated attack. The key idea is to sample text that is _unusually_ high likelihood. Give"&amp;"n a high likelihood sample from a language model, we can check whether the likelihood is especially high by comparing the likelihood to:
1. The likelihood assigned by other (especially smaller) language models. Presumably these models would not have memo"&amp;"rized the same content, especially if the content was rare (which is the content we are most interested in).
2. The length of the text when compressed by (say) zlib. Existing compression algorithms are pretty good at compressing regular English text, and "&amp;"so it is notable when a language model assigns high likelihood but the compression algorithm can’t compress it much.
3. The likelihood assigned to the same text, but lowercase. Often, memorized content is case-sensitive, and likelihood drops significantly"&amp;" when the case is changed.
The authors generate a lot of samples from GPT-2, use the metrics above to rank them in order of how likely they are to be memorized from the training set, and then investigate the top 1800 manually. They find that 604 of them "&amp;"are directly from the training set. While many are unobjectionable (such as news headlines), in some cases GPT-2 has memorized personal data (and the authors have extracted it simply by prompting GPT-2). In their most objectionable example, they extract t"&amp;"he name, email, phone number, work address, and fax of a single person.")</f>
        <v>This post and associated paper demonstrate that large language models memorize rare training data, and (some of) that training data can then be extracted through an automated attack. The key idea is to sample text that is _unusually_ high likelihood. Given a high likelihood sample from a language model, we can check whether the likelihood is especially high by comparing the likelihood to:
1. The likelihood assigned by other (especially smaller) language models. Presumably these models would not have memorized the same content, especially if the content was rare (which is the content we are most interested in).
2. The length of the text when compressed by (say) zlib. Existing compression algorithms are pretty good at compressing regular English text, and so it is notable when a language model assigns high likelihood but the compression algorithm can’t compress it much.
3. The likelihood assigned to the same text, but lowercase. Often, memorized content is case-sensitive, and likelihood drops significantly when the case is changed.
The authors generate a lot of samples from GPT-2, use the metrics above to rank them in order of how likely they are to be memorized from the training set, and then investigate the top 1800 manually. They find that 604 of them are directly from the training set. While many are unobjectionable (such as news headlines), in some cases GPT-2 has memorized personal data (and the authors have extracted it simply by prompting GPT-2). In their most objectionable example, they extract the name, email, phone number, work address, and fax of a single person.</v>
      </c>
      <c r="K1511" t="str">
        <f>IFERROR(__xludf.DUMMYFUNCTION("""COMPUTED_VALUE"""),"I really liked the paper: it contains a lot of empirical detail that didn’t make it into the blog post, that gave me a much better sense of the scope of the problem. I don’t really have the space to summarize it here, so I recommend reading the paper.")</f>
        <v>I really liked the paper: it contains a lot of empirical detail that didn’t make it into the blog post, that gave me a much better sense of the scope of the problem. I don’t really have the space to summarize it here, so I recommend reading the paper.</v>
      </c>
      <c r="M1511" t="str">
        <f>IFERROR(__xludf.DUMMYFUNCTION("""COMPUTED_VALUE"""),"[Blog post: Privacy Considerations in Large Language Models](https://ai.googleblog.com/2020/12/privacy-considerations-in-large.html)
[Paper: Extracting Training Data from Large Language Models](https://arxiv.org/abs/2012.07805)")</f>
        <v>[Blog post: Privacy Considerations in Large Language Models](https://ai.googleblog.com/2020/12/privacy-considerations-in-large.html)
[Paper: Extracting Training Data from Large Language Models](https://arxiv.org/abs/2012.07805)</v>
      </c>
    </row>
    <row r="1512">
      <c r="A1512" t="str">
        <f>IFERROR(__xludf.DUMMYFUNCTION("""COMPUTED_VALUE"""),"Privacy and security")</f>
        <v>Privacy and security</v>
      </c>
      <c r="B1512" t="str">
        <f>IFERROR(__xludf.DUMMYFUNCTION("""COMPUTED_VALUE"""),"")</f>
        <v/>
      </c>
      <c r="C1512" s="3" t="str">
        <f>IFERROR(__xludf.DUMMYFUNCTION("""COMPUTED_VALUE"""),"Privacy and machine learning: two unexpected allies?")</f>
        <v>Privacy and machine learning: two unexpected allies?</v>
      </c>
      <c r="D1512" t="str">
        <f>IFERROR(__xludf.DUMMYFUNCTION("""COMPUTED_VALUE"""),"Nicolas Papernot and Ian Goodfellow")</f>
        <v>Nicolas Papernot and Ian Goodfellow</v>
      </c>
      <c r="E1512" t="str">
        <f>IFERROR(__xludf.DUMMYFUNCTION("""COMPUTED_VALUE"""),"cleverhans")</f>
        <v>cleverhans</v>
      </c>
      <c r="F1512">
        <f>IFERROR(__xludf.DUMMYFUNCTION("""COMPUTED_VALUE"""),2018.0)</f>
        <v>2018</v>
      </c>
      <c r="H1512" s="3" t="str">
        <f>IFERROR(__xludf.DUMMYFUNCTION("""COMPUTED_VALUE"""),"AN #5")</f>
        <v>AN #5</v>
      </c>
      <c r="I1512" t="str">
        <f>IFERROR(__xludf.DUMMYFUNCTION("""COMPUTED_VALUE"""),"Rohin")</f>
        <v>Rohin</v>
      </c>
      <c r="J1512" t="str">
        <f>IFERROR(__xludf.DUMMYFUNCTION("""COMPUTED_VALUE"""),"Differential privacy provides guarantees on how much information you can obtain by making queries of a specific type of a dataset. Normally, in order to achieve such guarantees, you must add in randomness to the input data that can change the decision, so"&amp;" that there is a plausible explanation for any decision. Unsurprisingly, this tends to degrade performance. However, in deep learning, we often have the problem of our models overfitting to specific details in the training set instead of generalizing appr"&amp;"opriately, so we might expect that differential privacy could actually _help_ with performance (as well as privacy). Private Aggregation of Teacher Ensembles (PATE) demonstrates that this is the case. It works by training several teacher models on differe"&amp;"nt datasets to solve the task at hand. Then, by aggregating the results across the ensemble with some random noise, we can answer queries and put bounds on the amount of information that is leaked. However, with each query we use up more of our ""privacy "&amp;"budget"", so it can't be used arbitrarily long. To solve this, we can make a fixed number of queries to label some unlabelled data, use those labels to train a student model, and use the student model to make predictions forever after. An adversary could "&amp;"at worst infer the entire training dataset of the student model -- but that training set was designed to be private.")</f>
        <v>Differential privacy provides guarantees on how much information you can obtain by making queries of a specific type of a dataset. Normally, in order to achieve such guarantees, you must add in randomness to the input data that can change the decision, so that there is a plausible explanation for any decision. Unsurprisingly, this tends to degrade performance. However, in deep learning, we often have the problem of our models overfitting to specific details in the training set instead of generalizing appropriately, so we might expect that differential privacy could actually _help_ with performance (as well as privacy). Private Aggregation of Teacher Ensembles (PATE) demonstrates that this is the case. It works by training several teacher models on different datasets to solve the task at hand. Then, by aggregating the results across the ensemble with some random noise, we can answer queries and put bounds on the amount of information that is leaked. However, with each query we use up more of our "privacy budget", so it can't be used arbitrarily long. To solve this, we can make a fixed number of queries to label some unlabelled data, use those labels to train a student model, and use the student model to make predictions forever after. An adversary could at worst infer the entire training dataset of the student model -- but that training set was designed to be private.</v>
      </c>
      <c r="K1512" t="str">
        <f>IFERROR(__xludf.DUMMYFUNCTION("""COMPUTED_VALUE"""),"I would have been excited by work that randomizes the inputs to a deep learning technique in order to get better generalizability. It's cool that this goal dovetails so beautifully with the desire for differential privacy.")</f>
        <v>I would have been excited by work that randomizes the inputs to a deep learning technique in order to get better generalizability. It's cool that this goal dovetails so beautifully with the desire for differential privacy.</v>
      </c>
    </row>
    <row r="1513">
      <c r="A1513" t="str">
        <f>IFERROR(__xludf.DUMMYFUNCTION("""COMPUTED_VALUE"""),"Privacy and security")</f>
        <v>Privacy and security</v>
      </c>
      <c r="B1513" t="str">
        <f>IFERROR(__xludf.DUMMYFUNCTION("""COMPUTED_VALUE"""),"")</f>
        <v/>
      </c>
      <c r="C1513" s="3" t="str">
        <f>IFERROR(__xludf.DUMMYFUNCTION("""COMPUTED_VALUE"""),"A Marauder's Map of Security and Privacy in Machine Learning")</f>
        <v>A Marauder's Map of Security and Privacy in Machine Learning</v>
      </c>
      <c r="D1513" t="str">
        <f>IFERROR(__xludf.DUMMYFUNCTION("""COMPUTED_VALUE"""),"Nicolas Papernot")</f>
        <v>Nicolas Papernot</v>
      </c>
      <c r="E1513" t="str">
        <f>IFERROR(__xludf.DUMMYFUNCTION("""COMPUTED_VALUE"""),"arXiv")</f>
        <v>arXiv</v>
      </c>
      <c r="F1513">
        <f>IFERROR(__xludf.DUMMYFUNCTION("""COMPUTED_VALUE"""),2018.0)</f>
        <v>2018</v>
      </c>
      <c r="H1513" s="3" t="str">
        <f>IFERROR(__xludf.DUMMYFUNCTION("""COMPUTED_VALUE"""),"AN #32")</f>
        <v>AN #32</v>
      </c>
    </row>
    <row r="1514">
      <c r="A1514" t="str">
        <f>IFERROR(__xludf.DUMMYFUNCTION("""COMPUTED_VALUE"""),"Privacy and security")</f>
        <v>Privacy and security</v>
      </c>
      <c r="B1514" t="str">
        <f>IFERROR(__xludf.DUMMYFUNCTION("""COMPUTED_VALUE"""),"")</f>
        <v/>
      </c>
      <c r="C1514" s="3" t="str">
        <f>IFERROR(__xludf.DUMMYFUNCTION("""COMPUTED_VALUE"""),"Secure Deep Learning Engineering: A Software Quality Assurance Perspective")</f>
        <v>Secure Deep Learning Engineering: A Software Quality Assurance Perspective</v>
      </c>
      <c r="D1514" t="str">
        <f>IFERROR(__xludf.DUMMYFUNCTION("""COMPUTED_VALUE"""),"Lei Ma, Felix Juefei-Xu, Minhui Xue, Qiang Hu, Sen Chen, Bo Li, Yang Liu, Jianjun Zhao, Jianxiong Yin, Simon See")</f>
        <v>Lei Ma, Felix Juefei-Xu, Minhui Xue, Qiang Hu, Sen Chen, Bo Li, Yang Liu, Jianjun Zhao, Jianxiong Yin, Simon See</v>
      </c>
      <c r="E1514" t="str">
        <f>IFERROR(__xludf.DUMMYFUNCTION("""COMPUTED_VALUE"""),"arXiv")</f>
        <v>arXiv</v>
      </c>
      <c r="F1514">
        <f>IFERROR(__xludf.DUMMYFUNCTION("""COMPUTED_VALUE"""),2018.0)</f>
        <v>2018</v>
      </c>
      <c r="H1514" s="3" t="str">
        <f>IFERROR(__xludf.DUMMYFUNCTION("""COMPUTED_VALUE"""),"AN #29")</f>
        <v>AN #29</v>
      </c>
    </row>
    <row r="1515">
      <c r="A1515" t="str">
        <f>IFERROR(__xludf.DUMMYFUNCTION("""COMPUTED_VALUE"""),"Privacy and security")</f>
        <v>Privacy and security</v>
      </c>
      <c r="B1515" t="str">
        <f>IFERROR(__xludf.DUMMYFUNCTION("""COMPUTED_VALUE"""),"")</f>
        <v/>
      </c>
      <c r="C1515" s="3" t="str">
        <f>IFERROR(__xludf.DUMMYFUNCTION("""COMPUTED_VALUE"""),"Are You Tampering With My Data?")</f>
        <v>Are You Tampering With My Data?</v>
      </c>
      <c r="D1515" t="str">
        <f>IFERROR(__xludf.DUMMYFUNCTION("""COMPUTED_VALUE"""),"Michele Alberti, Vinaychandran Pondenkandath, Marcel Würsch, Manuel Bouillon, Mathias Seuret, Rolf Ingold, Marcus Liwicki")</f>
        <v>Michele Alberti, Vinaychandran Pondenkandath, Marcel Würsch, Manuel Bouillon, Mathias Seuret, Rolf Ingold, Marcus Liwicki</v>
      </c>
      <c r="E1515" t="str">
        <f>IFERROR(__xludf.DUMMYFUNCTION("""COMPUTED_VALUE"""),"The European Conference on Computer Vision (ECCV) Workshops, 2018")</f>
        <v>The European Conference on Computer Vision (ECCV) Workshops, 2018</v>
      </c>
      <c r="F1515">
        <f>IFERROR(__xludf.DUMMYFUNCTION("""COMPUTED_VALUE"""),2018.0)</f>
        <v>2018</v>
      </c>
      <c r="H1515" s="3" t="str">
        <f>IFERROR(__xludf.DUMMYFUNCTION("""COMPUTED_VALUE"""),"AN #21")</f>
        <v>AN #21</v>
      </c>
    </row>
    <row r="1516">
      <c r="A1516" t="str">
        <f>IFERROR(__xludf.DUMMYFUNCTION("""COMPUTED_VALUE"""),"Privacy and security")</f>
        <v>Privacy and security</v>
      </c>
      <c r="B1516" t="str">
        <f>IFERROR(__xludf.DUMMYFUNCTION("""COMPUTED_VALUE"""),"")</f>
        <v/>
      </c>
      <c r="C1516" s="3" t="str">
        <f>IFERROR(__xludf.DUMMYFUNCTION("""COMPUTED_VALUE"""),"Model Reconstruction from Model Explanations")</f>
        <v>Model Reconstruction from Model Explanations</v>
      </c>
      <c r="D1516" t="str">
        <f>IFERROR(__xludf.DUMMYFUNCTION("""COMPUTED_VALUE"""),"Smitha Milli, Ludwig Schmidt, Anca D. Dragan, Moritz Hardt")</f>
        <v>Smitha Milli, Ludwig Schmidt, Anca D. Dragan, Moritz Hardt</v>
      </c>
      <c r="E1516" t="str">
        <f>IFERROR(__xludf.DUMMYFUNCTION("""COMPUTED_VALUE"""),"arXiv")</f>
        <v>arXiv</v>
      </c>
      <c r="F1516">
        <f>IFERROR(__xludf.DUMMYFUNCTION("""COMPUTED_VALUE"""),2018.0)</f>
        <v>2018</v>
      </c>
      <c r="H1516" s="3" t="str">
        <f>IFERROR(__xludf.DUMMYFUNCTION("""COMPUTED_VALUE"""),"AN #16")</f>
        <v>AN #16</v>
      </c>
      <c r="I1516" t="str">
        <f>IFERROR(__xludf.DUMMYFUNCTION("""COMPUTED_VALUE"""),"Rohin")</f>
        <v>Rohin</v>
      </c>
      <c r="J1516" t="str">
        <f>IFERROR(__xludf.DUMMYFUNCTION("""COMPUTED_VALUE"""),"Many methods for providing explanations of why a neural net made the prediction it did rely on gradient information. However, the gradient encodes a lot of information about the model, and so we should expect it to be possible to easily reconstruct the mo"&amp;"del given gradients, which we might want to prevent (eg. if a company wants to protect trade secrets). In the case of a linear classifier, the gradient directly outputs the weights of the classifier. The authors provide an algorithm that can learn a two-l"&amp;"ayer neural net with Relu activations, and prove that it learns the model with high probability with a small number of gradients. They also show many experimental results where they work with more complex models, and train them to mimic another model base"&amp;"d on gradient information, that show that it is easy to ""steal"" models in this way.")</f>
        <v>Many methods for providing explanations of why a neural net made the prediction it did rely on gradient information. However, the gradient encodes a lot of information about the model, and so we should expect it to be possible to easily reconstruct the model given gradients, which we might want to prevent (eg. if a company wants to protect trade secrets). In the case of a linear classifier, the gradient directly outputs the weights of the classifier. The authors provide an algorithm that can learn a two-layer neural net with Relu activations, and prove that it learns the model with high probability with a small number of gradients. They also show many experimental results where they work with more complex models, and train them to mimic another model based on gradient information, that show that it is easy to "steal" models in this way.</v>
      </c>
      <c r="K1516" t="str">
        <f>IFERROR(__xludf.DUMMYFUNCTION("""COMPUTED_VALUE"""),"This problem seems very difficult -- even if you are just given predictions from a model, you can learn the model (though it takes many more samples than if you have gradients). One technical solution could be to add random noise to your predictions or gr"&amp;"adients, but this could limit the utility of your model, and I suspect if you trained a model to mimic these noisy predictions or gradients, it would do as well as your model + noise, so you haven't gained anything. We could potentially solve this with so"&amp;"cial mechanisms (maybe patents in particular) or more boring technical approaches like rate-limiting users in how much they can query the model.")</f>
        <v>This problem seems very difficult -- even if you are just given predictions from a model, you can learn the model (though it takes many more samples than if you have gradients). One technical solution could be to add random noise to your predictions or gradients, but this could limit the utility of your model, and I suspect if you trained a model to mimic these noisy predictions or gradients, it would do as well as your model + noise, so you haven't gained anything. We could potentially solve this with social mechanisms (maybe patents in particular) or more boring technical approaches like rate-limiting users in how much they can query the model.</v>
      </c>
    </row>
    <row r="1517">
      <c r="A1517" t="str">
        <f>IFERROR(__xludf.DUMMYFUNCTION("""COMPUTED_VALUE"""),"Privacy and security")</f>
        <v>Privacy and security</v>
      </c>
      <c r="B1517" t="str">
        <f>IFERROR(__xludf.DUMMYFUNCTION("""COMPUTED_VALUE"""),"")</f>
        <v/>
      </c>
      <c r="C1517" s="3" t="str">
        <f>IFERROR(__xludf.DUMMYFUNCTION("""COMPUTED_VALUE"""),"Evaluating and Testing Unintended Memorization in Neural Networks")</f>
        <v>Evaluating and Testing Unintended Memorization in Neural Networks</v>
      </c>
      <c r="D1517" t="str">
        <f>IFERROR(__xludf.DUMMYFUNCTION("""COMPUTED_VALUE"""),"Nicholas Carlini, Chang Liu, Úlfar Erlingsson, Jernej Kos, Dawn Song")</f>
        <v>Nicholas Carlini, Chang Liu, Úlfar Erlingsson, Jernej Kos, Dawn Song</v>
      </c>
      <c r="E1517" t="str">
        <f>IFERROR(__xludf.DUMMYFUNCTION("""COMPUTED_VALUE"""),"USENIX Security 2019")</f>
        <v>USENIX Security 2019</v>
      </c>
      <c r="F1517">
        <f>IFERROR(__xludf.DUMMYFUNCTION("""COMPUTED_VALUE"""),2019.0)</f>
        <v>2019</v>
      </c>
      <c r="H1517" s="3" t="str">
        <f>IFERROR(__xludf.DUMMYFUNCTION("""COMPUTED_VALUE"""),"AN #62")</f>
        <v>AN #62</v>
      </c>
      <c r="M1517" s="3" t="str">
        <f>IFERROR(__xludf.DUMMYFUNCTION("""COMPUTED_VALUE"""),"The Secret Sharer: Evaluating and Testing Unintended Memorization in Neural Networks")</f>
        <v>The Secret Sharer: Evaluating and Testing Unintended Memorization in Neural Networks</v>
      </c>
    </row>
    <row r="1518">
      <c r="A1518" t="str">
        <f>IFERROR(__xludf.DUMMYFUNCTION("""COMPUTED_VALUE"""),"Privacy and security")</f>
        <v>Privacy and security</v>
      </c>
      <c r="B1518" t="str">
        <f>IFERROR(__xludf.DUMMYFUNCTION("""COMPUTED_VALUE"""),"")</f>
        <v/>
      </c>
      <c r="C1518" s="3" t="str">
        <f>IFERROR(__xludf.DUMMYFUNCTION("""COMPUTED_VALUE"""),"The Secret Sharer: Measuring Unintended Neural Network Memorization &amp; Extracting Secrets")</f>
        <v>The Secret Sharer: Measuring Unintended Neural Network Memorization &amp; Extracting Secrets</v>
      </c>
      <c r="H1518" s="3" t="str">
        <f>IFERROR(__xludf.DUMMYFUNCTION("""COMPUTED_VALUE"""),"Recon #4")</f>
        <v>Recon #4</v>
      </c>
    </row>
    <row r="1519">
      <c r="A1519" t="str">
        <f>IFERROR(__xludf.DUMMYFUNCTION("""COMPUTED_VALUE"""),"Privacy and security")</f>
        <v>Privacy and security</v>
      </c>
      <c r="B1519" t="str">
        <f>IFERROR(__xludf.DUMMYFUNCTION("""COMPUTED_VALUE"""),"")</f>
        <v/>
      </c>
      <c r="C1519" s="3" t="str">
        <f>IFERROR(__xludf.DUMMYFUNCTION("""COMPUTED_VALUE"""),"Security and Privacy Issues in Deep Learning")</f>
        <v>Security and Privacy Issues in Deep Learning</v>
      </c>
      <c r="D1519" t="str">
        <f>IFERROR(__xludf.DUMMYFUNCTION("""COMPUTED_VALUE"""),"Ho Bae, Jaehee Jang, Dahuin Jung, Hyemi Jang, Heonseok Ha, Sungroh Yoon")</f>
        <v>Ho Bae, Jaehee Jang, Dahuin Jung, Hyemi Jang, Heonseok Ha, Sungroh Yoon</v>
      </c>
      <c r="E1519" t="str">
        <f>IFERROR(__xludf.DUMMYFUNCTION("""COMPUTED_VALUE"""),"arXiv")</f>
        <v>arXiv</v>
      </c>
      <c r="F1519">
        <f>IFERROR(__xludf.DUMMYFUNCTION("""COMPUTED_VALUE"""),2018.0)</f>
        <v>2018</v>
      </c>
      <c r="H1519" s="3" t="str">
        <f>IFERROR(__xludf.DUMMYFUNCTION("""COMPUTED_VALUE"""),"AN #19")</f>
        <v>AN #19</v>
      </c>
    </row>
    <row r="1520">
      <c r="A1520" t="str">
        <f>IFERROR(__xludf.DUMMYFUNCTION("""COMPUTED_VALUE"""),"Privacy and security")</f>
        <v>Privacy and security</v>
      </c>
      <c r="B1520" t="str">
        <f>IFERROR(__xludf.DUMMYFUNCTION("""COMPUTED_VALUE"""),"")</f>
        <v/>
      </c>
      <c r="C1520" s="3" t="str">
        <f>IFERROR(__xludf.DUMMYFUNCTION("""COMPUTED_VALUE"""),"Deep Video Portraits")</f>
        <v>Deep Video Portraits</v>
      </c>
      <c r="D1520" t="str">
        <f>IFERROR(__xludf.DUMMYFUNCTION("""COMPUTED_VALUE"""),"Hyeongwoo Kim, Pablo Garrido, Ayush Tewari, Weipeng Xu, Justus Thies, Matthias Nießner, Patrick Pérez, Christian Richardt, Michael Zollhöfer, Christian Theobalt")</f>
        <v>Hyeongwoo Kim, Pablo Garrido, Ayush Tewari, Weipeng Xu, Justus Thies, Matthias Nießner, Patrick Pérez, Christian Richardt, Michael Zollhöfer, Christian Theobalt</v>
      </c>
      <c r="E1520" t="str">
        <f>IFERROR(__xludf.DUMMYFUNCTION("""COMPUTED_VALUE"""),"ACM Transactions on Graphics, Volume 37 Issue 4, August 2018")</f>
        <v>ACM Transactions on Graphics, Volume 37 Issue 4, August 2018</v>
      </c>
      <c r="F1520">
        <f>IFERROR(__xludf.DUMMYFUNCTION("""COMPUTED_VALUE"""),2018.0)</f>
        <v>2018</v>
      </c>
      <c r="H1520" s="3" t="str">
        <f>IFERROR(__xludf.DUMMYFUNCTION("""COMPUTED_VALUE"""),"AN #10")</f>
        <v>AN #10</v>
      </c>
      <c r="I1520" t="str">
        <f>IFERROR(__xludf.DUMMYFUNCTION("""COMPUTED_VALUE"""),"Rohin")</f>
        <v>Rohin</v>
      </c>
      <c r="J1520" t="str">
        <f>IFERROR(__xludf.DUMMYFUNCTION("""COMPUTED_VALUE"""),"See [Import AI](https://jack-clark.net/2018/06/05/import-ai-97-faking-obama-and-putin-with-deep-video-portraits-berkeley-releases-a-100000-video-self-driving-car-dataset-and-what-happens-when-you-add-the-sensation-of-touch-to-robots/).")</f>
        <v>See [Import AI](https://jack-clark.net/2018/06/05/import-ai-97-faking-obama-and-putin-with-deep-video-portraits-berkeley-releases-a-100000-video-self-driving-car-dataset-and-what-happens-when-you-add-the-sensation-of-touch-to-robots/).</v>
      </c>
    </row>
    <row r="1521">
      <c r="A1521" t="str">
        <f>IFERROR(__xludf.DUMMYFUNCTION("""COMPUTED_VALUE"""),"Problems")</f>
        <v>Problems</v>
      </c>
      <c r="B1521" t="str">
        <f>IFERROR(__xludf.DUMMYFUNCTION("""COMPUTED_VALUE"""),"Highlight")</f>
        <v>Highlight</v>
      </c>
      <c r="C1521" s="3" t="str">
        <f>IFERROR(__xludf.DUMMYFUNCTION("""COMPUTED_VALUE"""),"Alignment as Translation")</f>
        <v>Alignment as Translation</v>
      </c>
      <c r="D1521" t="str">
        <f>IFERROR(__xludf.DUMMYFUNCTION("""COMPUTED_VALUE"""),"John Wentworth")</f>
        <v>John Wentworth</v>
      </c>
      <c r="E1521" t="str">
        <f>IFERROR(__xludf.DUMMYFUNCTION("""COMPUTED_VALUE"""),"Alignment Forum")</f>
        <v>Alignment Forum</v>
      </c>
      <c r="F1521">
        <f>IFERROR(__xludf.DUMMYFUNCTION("""COMPUTED_VALUE"""),2020.0)</f>
        <v>2020</v>
      </c>
      <c r="H1521" s="3" t="str">
        <f>IFERROR(__xludf.DUMMYFUNCTION("""COMPUTED_VALUE"""),"AN #94")</f>
        <v>AN #94</v>
      </c>
      <c r="I1521" t="str">
        <f>IFERROR(__xludf.DUMMYFUNCTION("""COMPUTED_VALUE"""),"Rohin")</f>
        <v>Rohin</v>
      </c>
      <c r="J1521" t="str">
        <f>IFERROR(__xludf.DUMMYFUNCTION("""COMPUTED_VALUE"""),"At a very high level, we can model powerful AI systems as moving closer and closer to omniscience. As we move in that direction, what becomes the new constraint on technology? This post argues that the constraint is _good interfaces_, that is, something t"&amp;"hat allows us to specify what the AI should do. As with most interfaces, the primary challenge is dealing with the discrepancy between the user's abstractions (how humans think about the world) and the AI system's abstractions, which could be very alien t"&amp;"o us (e.g. perhaps the AI system uses detailed low-level simulations). The author believes that this is the central problem of AI alignment: how to translate between these abstractions in a way that accurately preserves meaning.
The post goes through a f"&amp;"ew ways in which we could attempt to do this translation, but all of them seem to only reduce the amount of translation that is necessary: none of them solve the chicken-and-egg problem of how you do the very first translation between the abstractions.")</f>
        <v>At a very high level, we can model powerful AI systems as moving closer and closer to omniscience. As we move in that direction, what becomes the new constraint on technology? This post argues that the constraint is _good interfaces_, that is, something that allows us to specify what the AI should do. As with most interfaces, the primary challenge is dealing with the discrepancy between the user's abstractions (how humans think about the world) and the AI system's abstractions, which could be very alien to us (e.g. perhaps the AI system uses detailed low-level simulations). The author believes that this is the central problem of AI alignment: how to translate between these abstractions in a way that accurately preserves meaning.
The post goes through a few ways in which we could attempt to do this translation, but all of them seem to only reduce the amount of translation that is necessary: none of them solve the chicken-and-egg problem of how you do the very first translation between the abstractions.</v>
      </c>
      <c r="K1521" t="str">
        <f>IFERROR(__xludf.DUMMYFUNCTION("""COMPUTED_VALUE"""),"I like this view on alignment, but I don't know if I would call it the _central_ problem of alignment. It sure seems important that the AI is _optimizing_ something: this is what prevents solutions like ""make sure the AI has an undo button / off switch"""&amp;", which would be my preferred line of attack if the main source of AI risk were bad translations between abstractions. There's a longer discussion on this point [here](https://www.alignmentforum.org/posts/42YykiTqtGMyJAjDM/alignment-as-translation?comment"&amp;"Id=zfv4qGzSmYnSqxKBK).")</f>
        <v>I like this view on alignment, but I don't know if I would call it the _central_ problem of alignment. It sure seems important that the AI is _optimizing_ something: this is what prevents solutions like "make sure the AI has an undo button / off switch", which would be my preferred line of attack if the main source of AI risk were bad translations between abstractions. There's a longer discussion on this point [here](https://www.alignmentforum.org/posts/42YykiTqtGMyJAjDM/alignment-as-translation?commentId=zfv4qGzSmYnSqxKBK).</v>
      </c>
    </row>
    <row r="1522">
      <c r="A1522" t="str">
        <f>IFERROR(__xludf.DUMMYFUNCTION("""COMPUTED_VALUE"""),"Problems")</f>
        <v>Problems</v>
      </c>
      <c r="B1522" t="str">
        <f>IFERROR(__xludf.DUMMYFUNCTION("""COMPUTED_VALUE"""),"Highlight")</f>
        <v>Highlight</v>
      </c>
      <c r="C1522" s="3" t="str">
        <f>IFERROR(__xludf.DUMMYFUNCTION("""COMPUTED_VALUE"""),"What can the principal-agent literature tell us about AI risk?")</f>
        <v>What can the principal-agent literature tell us about AI risk?</v>
      </c>
      <c r="D1522" t="str">
        <f>IFERROR(__xludf.DUMMYFUNCTION("""COMPUTED_VALUE"""),"Alexis Carlier and Tom Davidson")</f>
        <v>Alexis Carlier and Tom Davidson</v>
      </c>
      <c r="E1522" t="str">
        <f>IFERROR(__xludf.DUMMYFUNCTION("""COMPUTED_VALUE"""),"Alignment Forum")</f>
        <v>Alignment Forum</v>
      </c>
      <c r="F1522">
        <f>IFERROR(__xludf.DUMMYFUNCTION("""COMPUTED_VALUE"""),2020.0)</f>
        <v>2020</v>
      </c>
      <c r="H1522" s="3" t="str">
        <f>IFERROR(__xludf.DUMMYFUNCTION("""COMPUTED_VALUE"""),"AN #88")</f>
        <v>AN #88</v>
      </c>
      <c r="I1522" t="str">
        <f>IFERROR(__xludf.DUMMYFUNCTION("""COMPUTED_VALUE"""),"Rohin")</f>
        <v>Rohin</v>
      </c>
      <c r="J1522" t="str">
        <f>IFERROR(__xludf.DUMMYFUNCTION("""COMPUTED_VALUE"""),"It has been &lt;@argued@&gt;(@Agency Failure AI Apocalypse?@) that at least some AI risk scenarios rely on principal-agent problems becoming extremely large, and that this is incompatible with the existing academic literature on the principal-agent problem. Thi"&amp;"s post examines this critique in detail.
Generally, the post finds that the principal-agent literature doesn't have much bearing on AI risk, because it usually doesn't consider weak principals with more capable agents, the models that do exist will proba"&amp;"bly not generalize to the cases we care about, and it doesn't consider the case where contracts can no longer be enforced.
We can consider the application to specific arguments, such as the &lt;@""going out with a bang"" scenario@&gt;(@More realistic tales of "&amp;"doom@) in which we accidentally train influence-maximizers that gradually gain power and then fail catastrophically (e.g. by executing a treacherous turn). In this situation, the principal-agent problem is relevant only in the first stage, where AI agents"&amp;" gradually gain power: this is the case where AI agents are executing some task, and are extracting agency rents to gain power. The second stage, in which the agent fails catastrophically, happens ""outside"" the principal-agent problem: this failure does"&amp;"n't happen _while performing some assigned task_, but instead involves the agent exercising its accumulated power outside of any specific task.
What about the original scenario, in which an AI agent becomes very intelligent, and finds some solution to it"&amp;"s task that the designers (principals) didn't think about and are surprised by? In the principal-agent setting, we might model this as the agent having an expanded action set that the principal doesn't know about. The principal-agent literature has not re"&amp;"ally studied such models, probably because it is immediately obvious that in such a situation the principal _could_ give incentives that lead the agent to kill everyone.")</f>
        <v>It has been &lt;@argued@&gt;(@Agency Failure AI Apocalypse?@) that at least some AI risk scenarios rely on principal-agent problems becoming extremely large, and that this is incompatible with the existing academic literature on the principal-agent problem. This post examines this critique in detail.
Generally, the post finds that the principal-agent literature doesn't have much bearing on AI risk, because it usually doesn't consider weak principals with more capable agents, the models that do exist will probably not generalize to the cases we care about, and it doesn't consider the case where contracts can no longer be enforced.
We can consider the application to specific arguments, such as the &lt;@"going out with a bang" scenario@&gt;(@More realistic tales of doom@) in which we accidentally train influence-maximizers that gradually gain power and then fail catastrophically (e.g. by executing a treacherous turn). In this situation, the principal-agent problem is relevant only in the first stage, where AI agents gradually gain power: this is the case where AI agents are executing some task, and are extracting agency rents to gain power. The second stage, in which the agent fails catastrophically, happens "outside" the principal-agent problem: this failure doesn't happen _while performing some assigned task_, but instead involves the agent exercising its accumulated power outside of any specific task.
What about the original scenario, in which an AI agent becomes very intelligent, and finds some solution to its task that the designers (principals) didn't think about and are surprised by? In the principal-agent setting, we might model this as the agent having an expanded action set that the principal doesn't know about. The principal-agent literature has not really studied such models, probably because it is immediately obvious that in such a situation the principal _could_ give incentives that lead the agent to kill everyone.</v>
      </c>
      <c r="K1522" t="str">
        <f>IFERROR(__xludf.DUMMYFUNCTION("""COMPUTED_VALUE"""),"I've been confused about this critique for a while, and I'm glad this post has addressed it: I currently think that this post pretty conclusively refutes the claim that AI risk arguments are in conflict with the principal-agent literature. I especially fo"&amp;"und it useful to think of the principal-agent problem as tied to rents that an agent can extract _while pursuing a task that the principal assigned_.")</f>
        <v>I've been confused about this critique for a while, and I'm glad this post has addressed it: I currently think that this post pretty conclusively refutes the claim that AI risk arguments are in conflict with the principal-agent literature. I especially found it useful to think of the principal-agent problem as tied to rents that an agent can extract _while pursuing a task that the principal assigned_.</v>
      </c>
    </row>
    <row r="1523">
      <c r="A1523" t="str">
        <f>IFERROR(__xludf.DUMMYFUNCTION("""COMPUTED_VALUE"""),"Problems")</f>
        <v>Problems</v>
      </c>
      <c r="B1523" t="str">
        <f>IFERROR(__xludf.DUMMYFUNCTION("""COMPUTED_VALUE"""),"Highlight")</f>
        <v>Highlight</v>
      </c>
      <c r="C1523" s="3" t="str">
        <f>IFERROR(__xludf.DUMMYFUNCTION("""COMPUTED_VALUE"""),"Conversation with Paul Christiano")</f>
        <v>Conversation with Paul Christiano</v>
      </c>
      <c r="D1523" t="str">
        <f>IFERROR(__xludf.DUMMYFUNCTION("""COMPUTED_VALUE"""),"Paul Christiano, Asya Bergal, Ronny Fernandez, and Robert Long")</f>
        <v>Paul Christiano, Asya Bergal, Ronny Fernandez, and Robert Long</v>
      </c>
      <c r="E1523" t="str">
        <f>IFERROR(__xludf.DUMMYFUNCTION("""COMPUTED_VALUE"""),"AI Impacts")</f>
        <v>AI Impacts</v>
      </c>
      <c r="F1523">
        <f>IFERROR(__xludf.DUMMYFUNCTION("""COMPUTED_VALUE"""),2019.0)</f>
        <v>2019</v>
      </c>
      <c r="H1523" s="3" t="str">
        <f>IFERROR(__xludf.DUMMYFUNCTION("""COMPUTED_VALUE"""),"AN #80")</f>
        <v>AN #80</v>
      </c>
      <c r="I1523" t="str">
        <f>IFERROR(__xludf.DUMMYFUNCTION("""COMPUTED_VALUE"""),"Rohin")</f>
        <v>Rohin</v>
      </c>
      <c r="J1523" t="str">
        <f>IFERROR(__xludf.DUMMYFUNCTION("""COMPUTED_VALUE"""),"There can't be too many things that reduce the expected value of the future by 10%; if there were, there would be no expected value left. So, the prior that any particular thing has such an impact should be quite low. With AI in particular, obviously we'r"&amp;"e going to try to make AI systems that do what we want them to do. So starting from this position of optimism, we can then evaluate the arguments for doom. The two main arguments: first, we can't distinguish ahead of time between AIs that are trying to do"&amp;" the right thing, and AIs that are trying to kill us, because the latter will behave nicely until they can execute a treacherous turn. Second, since we don't have a crisp concept of ""doing the right thing"", we can't select AI systems on whether they are"&amp;" doing the right thing.
However, there are many ""saving throws"", or ways that the argument could break down, avoiding doom. Perhaps there's no problem at all, or perhaps we can cope with it with a little bit of effort, or perhaps we can coordinate to n"&amp;"ot build AIs that destroy value. Paul assigns a decent amount of probability to each of these (and other) saving throws, and any one of them suffices to avoid doom. This leads Paul to estimate that AI risk reduces the expected value of the future by rough"&amp;"ly 10%, a relatively optimistic number. Since it is so neglected, concerted effort by longtermists could reduce it to 5%, making it still a very valuable area for impact. The main way he expects to change his mind is from evidence from more powerful AI sy"&amp;"stems, e.g. as we build more powerful AI systems, perhaps inner optimizer concerns will materialize and we'll see examples where an AI system executes a non-catastrophic treacherous turn.
Paul also believes that clean algorithmic problems are usually sol"&amp;"vable in 10 years, or provably impossible, and early failures to solve a problem don't provide much evidence of the difficulty of the problem (unless they generate proofs of impossibility). So, the fact that we don't know how to solve alignment now doesn'"&amp;"t provide very strong evidence that the problem is impossible. Even if the clean versions of the problem were impossible, that would suggest that the problem is much more messy, which requires more concerted effort to solve but also tends to be just a lon"&amp;"g list of relatively easy tasks to do. (In contrast, MIRI thinks that prosaic AGI alignment is probably impossible.)
Note that even finding out that the problem is impossible can help; it makes it more likely that we can all coordinate to not build dange"&amp;"rous AI systems, since no one _wants_ to build an unaligned AI system. Paul thinks that right now the case for AI risk is not very compelling, and so people don't care much about it, but if we could generate more compelling arguments, then they would take"&amp;" it more seriously. If instead you think that the case is already compelling (as MIRI does), then you would be correspondingly more pessimistic about others taking the arguments seriously and coordinating to avoid building unaligned AI.
One potential rea"&amp;"son MIRI is more doomy is that they take a somewhat broader view of AI safety: in particular, in addition to building an AI that is trying to do what you want it to do, they would also like to ensure that when the AI builds successors, it does so well. In"&amp;" contrast, Paul simply wants to leave the next generation of AI systems in at least as good a situation as we find ourselves in now, since they will be both better informed and more intelligent than we are. MIRI has also previously defined aligned AI as o"&amp;"ne that produces good outcomes when run, which is a much broader conception of the problem than Paul has. But probably the main disagreement between MIRI and ML researchers and that ML researchers expect that we'll try a bunch of stuff, and something will"&amp;" work out, whereas MIRI expects that the problem is really hard, such that trial and error will only get you solutions that _appear_ to work.")</f>
        <v>There can't be too many things that reduce the expected value of the future by 10%; if there were, there would be no expected value left. So, the prior that any particular thing has such an impact should be quite low. With AI in particular, obviously we're going to try to make AI systems that do what we want them to do. So starting from this position of optimism, we can then evaluate the arguments for doom. The two main arguments: first, we can't distinguish ahead of time between AIs that are trying to do the right thing, and AIs that are trying to kill us, because the latter will behave nicely until they can execute a treacherous turn. Second, since we don't have a crisp concept of "doing the right thing", we can't select AI systems on whether they are doing the right thing.
However, there are many "saving throws", or ways that the argument could break down, avoiding doom. Perhaps there's no problem at all, or perhaps we can cope with it with a little bit of effort, or perhaps we can coordinate to not build AIs that destroy value. Paul assigns a decent amount of probability to each of these (and other) saving throws, and any one of them suffices to avoid doom. This leads Paul to estimate that AI risk reduces the expected value of the future by roughly 10%, a relatively optimistic number. Since it is so neglected, concerted effort by longtermists could reduce it to 5%, making it still a very valuable area for impact. The main way he expects to change his mind is from evidence from more powerful AI systems, e.g. as we build more powerful AI systems, perhaps inner optimizer concerns will materialize and we'll see examples where an AI system executes a non-catastrophic treacherous turn.
Paul also believes that clean algorithmic problems are usually solvable in 10 years, or provably impossible, and early failures to solve a problem don't provide much evidence of the difficulty of the problem (unless they generate proofs of impossibility). So, the fact that we don't know how to solve alignment now doesn't provide very strong evidence that the problem is impossible. Even if the clean versions of the problem were impossible, that would suggest that the problem is much more messy, which requires more concerted effort to solve but also tends to be just a long list of relatively easy tasks to do. (In contrast, MIRI thinks that prosaic AGI alignment is probably impossible.)
Note that even finding out that the problem is impossible can help; it makes it more likely that we can all coordinate to not build dangerous AI systems, since no one _wants_ to build an unaligned AI system. Paul thinks that right now the case for AI risk is not very compelling, and so people don't care much about it, but if we could generate more compelling arguments, then they would take it more seriously. If instead you think that the case is already compelling (as MIRI does), then you would be correspondingly more pessimistic about others taking the arguments seriously and coordinating to avoid building unaligned AI.
One potential reason MIRI is more doomy is that they take a somewhat broader view of AI safety: in particular, in addition to building an AI that is trying to do what you want it to do, they would also like to ensure that when the AI builds successors, it does so well. In contrast, Paul simply wants to leave the next generation of AI systems in at least as good a situation as we find ourselves in now, since they will be both better informed and more intelligent than we are. MIRI has also previously defined aligned AI as one that produces good outcomes when run, which is a much broader conception of the problem than Paul has. But probably the main disagreement between MIRI and ML researchers and that ML researchers expect that we'll try a bunch of stuff, and something will work out, whereas MIRI expects that the problem is really hard, such that trial and error will only get you solutions that _appear_ to work.</v>
      </c>
      <c r="K1523" t="str">
        <f>IFERROR(__xludf.DUMMYFUNCTION("""COMPUTED_VALUE"""),"A general theme here seems to be that MIRI feels like they have very strong arguments, while Paul thinks that they're plausible arguments, but aren't extremely strong evidence. Simply having a lot more uncertainty leads Paul to be much more optimistic. I "&amp;"agree with most of this.
However, I do disagree with the point about ""clean"" problems. I agree that clean algorithmic problems are usually solved within 10 years or are provably impossible, but it doesn't seem to me like AI risk counts as a clean algor"&amp;"ithmic problem: we don't have a nice formal statement of the problem that doesn't rely on intuitive concepts like ""optimization"", ""trying to do something"", etc. This suggests to me that AI risk is more ""messy"", and so may require more time to solve.")</f>
        <v>A general theme here seems to be that MIRI feels like they have very strong arguments, while Paul thinks that they're plausible arguments, but aren't extremely strong evidence. Simply having a lot more uncertainty leads Paul to be much more optimistic. I agree with most of this.
However, I do disagree with the point about "clean" problems. I agree that clean algorithmic problems are usually solved within 10 years or are provably impossible, but it doesn't seem to me like AI risk counts as a clean algorithmic problem: we don't have a nice formal statement of the problem that doesn't rely on intuitive concepts like "optimization", "trying to do something", etc. This suggests to me that AI risk is more "messy", and so may require more time to solve.</v>
      </c>
    </row>
    <row r="1524">
      <c r="A1524" t="str">
        <f>IFERROR(__xludf.DUMMYFUNCTION("""COMPUTED_VALUE"""),"Problems")</f>
        <v>Problems</v>
      </c>
      <c r="B1524" t="str">
        <f>IFERROR(__xludf.DUMMYFUNCTION("""COMPUTED_VALUE"""),"Highlight")</f>
        <v>Highlight</v>
      </c>
      <c r="C1524" s="3" t="str">
        <f>IFERROR(__xludf.DUMMYFUNCTION("""COMPUTED_VALUE"""),"Conversation with Rohin Shah")</f>
        <v>Conversation with Rohin Shah</v>
      </c>
      <c r="D1524" t="str">
        <f>IFERROR(__xludf.DUMMYFUNCTION("""COMPUTED_VALUE"""),"Rohin Shah, Asya Bergal, Robert Long, and Sara Haxhia")</f>
        <v>Rohin Shah, Asya Bergal, Robert Long, and Sara Haxhia</v>
      </c>
      <c r="E1524" t="str">
        <f>IFERROR(__xludf.DUMMYFUNCTION("""COMPUTED_VALUE"""),"AI Impacts")</f>
        <v>AI Impacts</v>
      </c>
      <c r="F1524">
        <f>IFERROR(__xludf.DUMMYFUNCTION("""COMPUTED_VALUE"""),2019.0)</f>
        <v>2019</v>
      </c>
      <c r="H1524" s="3" t="str">
        <f>IFERROR(__xludf.DUMMYFUNCTION("""COMPUTED_VALUE"""),"AN #80")</f>
        <v>AN #80</v>
      </c>
      <c r="I1524" t="str">
        <f>IFERROR(__xludf.DUMMYFUNCTION("""COMPUTED_VALUE"""),"Rohin")</f>
        <v>Rohin</v>
      </c>
      <c r="J1524" t="str">
        <f>IFERROR(__xludf.DUMMYFUNCTION("""COMPUTED_VALUE"""),"The main reason I am optimistic about AI safety is that we will see problems in advance, and we will solve them, because nobody wants to build unaligned AI. A likely crux is that I think that the ML community will actually solve the problems, as opposed t"&amp;"o applying a bandaid fix that doesn't scale. I don't know why there are different underlying intuitions here.
In addition, many of the classic arguments for AI safety involve a system that can be decomposed into an objective function and a world model, w"&amp;"hich I suspect will not be a good way to model future AI systems. In particular, current systems trained by RL look like a grab bag of heuristics that correlate well with obtaining high reward. I think that as AI systems become more powerful, the heuristi"&amp;"cs will become more and more general, but they still won't decompose naturally into an objective function, a world model, and search. In addition, we can look at humans as an example: we don't fully pursue convergent instrumental subgoals; for example, hu"&amp;"mans can be convinced to pursue different goals. This makes me more skeptical of traditional arguments.
I would guess that AI systems will become _more_ interpretable in the future, as they start using the features / concepts / abstractions that humans a"&amp;"re using. Eventually, sufficiently intelligent AI systems will probably find even better concepts that are alien to us, but if we only consider AI systems that are (say) 10x more intelligent than us, they will probably still be using human-understandable "&amp;"concepts. This should make alignment and oversight of these systems significantly easier. For significantly stronger systems, we should be delegating the problem to the AI systems that are 10x more intelligent than us. (This is very similar to the picture"&amp;" painted in &lt;@Chris Olah’s views on AGI safety@&gt;, but that had not been published and I was not aware of Chris's views at the time of this conversation.)
I'm also less worried about race dynamics increasing _accident_ risk than the median researcher. The"&amp;" benefit of racing a little bit faster is to have a little bit more power / control over the future, while also increasing the risk of extinction a little bit. This seems like a bad trade from each agent's perspective. (That is, the Nash equilibrium is fo"&amp;"r all agents to be cautious, because the potential upside of racing is small and the potential downside is large.) I'd be more worried if [AI risk is real AND not everyone agrees AI risk is real when we have powerful AI systems], or if the potential upsid"&amp;"e was larger (e.g. if racing a little more made it much more likely that you could achieve a decisive strategic advantage).
Overall, it feels like there's around 90% chance that AI would not cause x-risk without additional intervention by longtermists. T"&amp;"he biggest disagreement between me and more pessimistic researchers is that I think gradual takeoff is much more likely than discontinuous takeoff (and in fact, the first, third and fourth paragraphs above are quite weak if there's a discontinuous takeoff"&amp;"). If I condition on discontinuous takeoff, then I mostly get very confused about what the world looks like, but I also get a lot more worried about AI risk, especially because the ""AI is to humans as humans are to ants"" analogy starts looking more accu"&amp;"rate. In the interview I said 70% chance of doom in this world, but with _way_ more uncertainty than any of the other credences, because I'm really confused about what that world looks like. Two other disagreements, besides the ones above: I don't buy &lt;@R"&amp;"ealism about rationality@&gt;, whereas I expect many pessimistic researchers do. I may also be more pessimistic about our ability to write proofs about fuzzy concepts like those that arise in alignment.
On timelines, I estimated a very rough 50% chance of A"&amp;"GI within 20 years, and 30-40% chance that it would be using ""essentially current techniques"" (which is obnoxiously hard to define). Conditional on both of those, I estimated 70% chance that it would be something like a mesa optimizer; mostly because op"&amp;"timization is a very useful instrumental strategy for solving many tasks, especially because gradient descent and other current algorithms are very weak optimization algorithms (relative to e.g. humans), and so learned optimization algorithms will be nece"&amp;"ssary to reach human levels of sample efficiency.")</f>
        <v>The main reason I am optimistic about AI safety is that we will see problems in advance, and we will solve them, because nobody wants to build unaligned AI. A likely crux is that I think that the ML community will actually solve the problems, as opposed to applying a bandaid fix that doesn't scale. I don't know why there are different underlying intuitions here.
In addition, many of the classic arguments for AI safety involve a system that can be decomposed into an objective function and a world model, which I suspect will not be a good way to model future AI systems. In particular, current systems trained by RL look like a grab bag of heuristics that correlate well with obtaining high reward. I think that as AI systems become more powerful, the heuristics will become more and more general, but they still won't decompose naturally into an objective function, a world model, and search. In addition, we can look at humans as an example: we don't fully pursue convergent instrumental subgoals; for example, humans can be convinced to pursue different goals. This makes me more skeptical of traditional arguments.
I would guess that AI systems will become _more_ interpretable in the future, as they start using the features / concepts / abstractions that humans are using. Eventually, sufficiently intelligent AI systems will probably find even better concepts that are alien to us, but if we only consider AI systems that are (say) 10x more intelligent than us, they will probably still be using human-understandable concepts. This should make alignment and oversight of these systems significantly easier. For significantly stronger systems, we should be delegating the problem to the AI systems that are 10x more intelligent than us. (This is very similar to the picture painted in &lt;@Chris Olah’s views on AGI safety@&gt;, but that had not been published and I was not aware of Chris's views at the time of this conversation.)
I'm also less worried about race dynamics increasing _accident_ risk than the median researcher. The benefit of racing a little bit faster is to have a little bit more power / control over the future, while also increasing the risk of extinction a little bit. This seems like a bad trade from each agent's perspective. (That is, the Nash equilibrium is for all agents to be cautious, because the potential upside of racing is small and the potential downside is large.) I'd be more worried if [AI risk is real AND not everyone agrees AI risk is real when we have powerful AI systems], or if the potential upside was larger (e.g. if racing a little more made it much more likely that you could achieve a decisive strategic advantage).
Overall, it feels like there's around 90% chance that AI would not cause x-risk without additional intervention by longtermists. The biggest disagreement between me and more pessimistic researchers is that I think gradual takeoff is much more likely than discontinuous takeoff (and in fact, the first, third and fourth paragraphs above are quite weak if there's a discontinuous takeoff). If I condition on discontinuous takeoff, then I mostly get very confused about what the world looks like, but I also get a lot more worried about AI risk, especially because the "AI is to humans as humans are to ants" analogy starts looking more accurate. In the interview I said 70% chance of doom in this world, but with _way_ more uncertainty than any of the other credences, because I'm really confused about what that world looks like. Two other disagreements, besides the ones above: I don't buy &lt;@Realism about rationality@&gt;, whereas I expect many pessimistic researchers do. I may also be more pessimistic about our ability to write proofs about fuzzy concepts like those that arise in alignment.
On timelines, I estimated a very rough 50% chance of AGI within 20 years, and 30-40% chance that it would be using "essentially current techniques" (which is obnoxiously hard to define). Conditional on both of those, I estimated 70% chance that it would be something like a mesa optimizer; mostly because optimization is a very useful instrumental strategy for solving many tasks, especially because gradient descent and other current algorithms are very weak optimization algorithms (relative to e.g. humans), and so learned optimization algorithms will be necessary to reach human levels of sample efficiency.</v>
      </c>
      <c r="K1524" t="str">
        <f>IFERROR(__xludf.DUMMYFUNCTION("""COMPUTED_VALUE"""),"Looking over this again, I'm realizing that I didn't emphasize enough that most of my optimism comes from the more outside view type considerations: that we'll get warning signs that the ML community won't ignore, and that the AI risk arguments are not wa"&amp;"tertight. The other parts are particular inside view disagreements that make me more optimistic, but they don't factor in much into my optimism besides being examples of how the meta considerations could play out. I'd recommend [this comment of mine](http"&amp;"s://www.lesswrong.com/posts/mdau2DBSMi5bWXPGA/useful-does-not-mean-secure#xccsZeboCNcNJeGas) to get more of a sense of how the meta considerations factor into my thinking.
I was also glad to see that I still broadly agree with things I said ~5 months ago"&amp;" (since no major new opposing evidence has come up since then), though as I mentioned above, I would now change what I place emphasis on.")</f>
        <v>Looking over this again, I'm realizing that I didn't emphasize enough that most of my optimism comes from the more outside view type considerations: that we'll get warning signs that the ML community won't ignore, and that the AI risk arguments are not watertight. The other parts are particular inside view disagreements that make me more optimistic, but they don't factor in much into my optimism besides being examples of how the meta considerations could play out. I'd recommend [this comment of mine](https://www.lesswrong.com/posts/mdau2DBSMi5bWXPGA/useful-does-not-mean-secure#xccsZeboCNcNJeGas) to get more of a sense of how the meta considerations factor into my thinking.
I was also glad to see that I still broadly agree with things I said ~5 months ago (since no major new opposing evidence has come up since then), though as I mentioned above, I would now change what I place emphasis on.</v>
      </c>
    </row>
    <row r="1525">
      <c r="A1525" t="str">
        <f>IFERROR(__xludf.DUMMYFUNCTION("""COMPUTED_VALUE"""),"Problems")</f>
        <v>Problems</v>
      </c>
      <c r="B1525" t="str">
        <f>IFERROR(__xludf.DUMMYFUNCTION("""COMPUTED_VALUE"""),"Highlight")</f>
        <v>Highlight</v>
      </c>
      <c r="C1525" s="3" t="str">
        <f>IFERROR(__xludf.DUMMYFUNCTION("""COMPUTED_VALUE"""),"Conversation with Robin Hanson")</f>
        <v>Conversation with Robin Hanson</v>
      </c>
      <c r="D1525" t="str">
        <f>IFERROR(__xludf.DUMMYFUNCTION("""COMPUTED_VALUE"""),"Robin Hanson, Asya Bergal, and Robert Long")</f>
        <v>Robin Hanson, Asya Bergal, and Robert Long</v>
      </c>
      <c r="E1525" t="str">
        <f>IFERROR(__xludf.DUMMYFUNCTION("""COMPUTED_VALUE"""),"AI Impacts")</f>
        <v>AI Impacts</v>
      </c>
      <c r="F1525">
        <f>IFERROR(__xludf.DUMMYFUNCTION("""COMPUTED_VALUE"""),2019.0)</f>
        <v>2019</v>
      </c>
      <c r="H1525" s="3" t="str">
        <f>IFERROR(__xludf.DUMMYFUNCTION("""COMPUTED_VALUE"""),"AN #80")</f>
        <v>AN #80</v>
      </c>
      <c r="I1525" t="str">
        <f>IFERROR(__xludf.DUMMYFUNCTION("""COMPUTED_VALUE"""),"Rohin")</f>
        <v>Rohin</v>
      </c>
      <c r="J1525" t="str">
        <f>IFERROR(__xludf.DUMMYFUNCTION("""COMPUTED_VALUE"""),"The main theme of this conversation is that AI safety does not look particularly compelling on an outside view. Progress in most areas is relatively incremental and continuous; we should expect the same to be true for AI, suggesting that timelines should "&amp;"be quite long, on the order of centuries. The current AI boom looks similar to previous AI booms, which didn't amount to much in the past.
Timelines could be short if progress in AI were ""lumpy"", as in a FOOM scenario. This could happen if intelligence"&amp;" was one simple thing that just has to be discovered, but Robin expects that intelligence is actually a bunch of not-very-general tools that together let us do many things, and we simply have to find all of these tools, which will presumably not be lumpy."&amp;" Most of the value from tools comes from more specific, narrow tools, and intelligence should be similar. In addition, the literature on human uniqueness suggests that it wasn't ""raw intelligence"" or small changes to brain architecture that makes humans"&amp;" unique, it's our ability to process culture (communicating via language, learning from others, etc).
In any case, many researchers are now distancing themselves from the FOOM scenario, and are instead arguing that AI risk occurs due to standard principa"&amp;"l-agency problems, in the situation where the agent (AI) is much smarter than the principal (human). Robin thinks that this doesn't agree with the existing literature on principal-agent problems, in which losses from principal-agent problems tend to be bo"&amp;"unded, even when the agent is smarter than the principal.
You might think that since the stakes are so high, it's worth working on it anyway. Robin agrees that it's worth having a few people (say a hundred) pay attention to the problem, but doesn't think"&amp;" it's worth spending a lot of effort on it right now. Effort is much more effective and useful once the problem becomes clear, or once you are working with a concrete design; we have neither of these right now and so we should expect that most effort ends"&amp;" up being ineffective. It would be better if we saved our resources for the future, or if we spent time thinking about other ways that the future could go (as in his book, Age of Em).
It's especially bad that AI safety has thousands of ""fans"", because "&amp;"this leads to a ""crying wolf"" effect -- even if the researchers have subtle, nuanced beliefs, they cannot control the message that the fans convey, which will not be nuanced and will instead confidently predict doom. Then when doom doesn't happen, peopl"&amp;"e will learn not to believe arguments about AI risk.")</f>
        <v>The main theme of this conversation is that AI safety does not look particularly compelling on an outside view. Progress in most areas is relatively incremental and continuous; we should expect the same to be true for AI, suggesting that timelines should be quite long, on the order of centuries. The current AI boom looks similar to previous AI booms, which didn't amount to much in the past.
Timelines could be short if progress in AI were "lumpy", as in a FOOM scenario. This could happen if intelligence was one simple thing that just has to be discovered, but Robin expects that intelligence is actually a bunch of not-very-general tools that together let us do many things, and we simply have to find all of these tools, which will presumably not be lumpy. Most of the value from tools comes from more specific, narrow tools, and intelligence should be similar. In addition, the literature on human uniqueness suggests that it wasn't "raw intelligence" or small changes to brain architecture that makes humans unique, it's our ability to process culture (communicating via language, learning from others, etc).
In any case, many researchers are now distancing themselves from the FOOM scenario, and are instead arguing that AI risk occurs due to standard principal-agency problems, in the situation where the agent (AI) is much smarter than the principal (human). Robin thinks that this doesn't agree with the existing literature on principal-agent problems, in which losses from principal-agent problems tend to be bounded, even when the agent is smarter than the principal.
You might think that since the stakes are so high, it's worth working on it anyway. Robin agrees that it's worth having a few people (say a hundred) pay attention to the problem, but doesn't think it's worth spending a lot of effort on it right now. Effort is much more effective and useful once the problem becomes clear, or once you are working with a concrete design; we have neither of these right now and so we should expect that most effort ends up being ineffective. It would be better if we saved our resources for the future, or if we spent time thinking about other ways that the future could go (as in his book, Age of Em).
It's especially bad that AI safety has thousands of "fans", because this leads to a "crying wolf" effect -- even if the researchers have subtle, nuanced beliefs, they cannot control the message that the fans convey, which will not be nuanced and will instead confidently predict doom. Then when doom doesn't happen, people will learn not to believe arguments about AI risk.</v>
      </c>
      <c r="K1525" t="str">
        <f>IFERROR(__xludf.DUMMYFUNCTION("""COMPUTED_VALUE"""),"Interestingly, I agree with almost all of this, even though it's (kind of) arguing that I shouldn't be doing AI safety research at all. The main place I disagree is that losses from principal-agent problems with perfectly rational agents are bounded -- th"&amp;"is seems crazy to me, and I'd be interested in specific paper recommendations (though note [I](https://www.lesswrong.com/posts/ktDKfKqukTPRiuEPM/robin-hanson-on-the-futurist-focus-on-ai#fecYAwjmMSZ9KRfPL) [and](https://www.lesswrong.com/posts/ktDKfKqukTPR"&amp;"iuEPM/robin-hanson-on-the-futurist-focus-on-ai#yRLaEzT57K4q5Qz5H) [others](https://www.lesswrong.com/posts/ktDKfKqukTPRiuEPM/robin-hanson-on-the-futurist-focus-on-ai#p6CGEFbqaYJb49jME) have searched and not found many).
On the point about lumpiness, my m"&amp;"odel is that there are only a few underlying factors (such as the ability to process culture) that allow humans to so quickly learn to do so many tasks, and almost all tasks require near-human levels of these factors to be done well. So, once AI capabilit"&amp;"ies on these factors reach approximately human level, we will ""suddenly"" start to see AIs beating humans on many tasks, resulting in a ""lumpy"" increase on the metric of ""number of tasks on which AI is superhuman"" (which seems to be the metric that p"&amp;"eople often use, though I don't like it, precisely because it seems like it wouldn't measure progress well until AI becomes near-human-level).")</f>
        <v>Interestingly, I agree with almost all of this, even though it's (kind of) arguing that I shouldn't be doing AI safety research at all. The main place I disagree is that losses from principal-agent problems with perfectly rational agents are bounded -- this seems crazy to me, and I'd be interested in specific paper recommendations (though note [I](https://www.lesswrong.com/posts/ktDKfKqukTPRiuEPM/robin-hanson-on-the-futurist-focus-on-ai#fecYAwjmMSZ9KRfPL) [and](https://www.lesswrong.com/posts/ktDKfKqukTPRiuEPM/robin-hanson-on-the-futurist-focus-on-ai#yRLaEzT57K4q5Qz5H) [others](https://www.lesswrong.com/posts/ktDKfKqukTPRiuEPM/robin-hanson-on-the-futurist-focus-on-ai#p6CGEFbqaYJb49jME) have searched and not found many).
On the point about lumpiness, my model is that there are only a few underlying factors (such as the ability to process culture) that allow humans to so quickly learn to do so many tasks, and almost all tasks require near-human levels of these factors to be done well. So, once AI capabilities on these factors reach approximately human level, we will "suddenly" start to see AIs beating humans on many tasks, resulting in a "lumpy" increase on the metric of "number of tasks on which AI is superhuman" (which seems to be the metric that people often use, though I don't like it, precisely because it seems like it wouldn't measure progress well until AI becomes near-human-level).</v>
      </c>
    </row>
    <row r="1526">
      <c r="A1526" t="str">
        <f>IFERROR(__xludf.DUMMYFUNCTION("""COMPUTED_VALUE"""),"Problems")</f>
        <v>Problems</v>
      </c>
      <c r="B1526" t="str">
        <f>IFERROR(__xludf.DUMMYFUNCTION("""COMPUTED_VALUE"""),"Highlight")</f>
        <v>Highlight</v>
      </c>
      <c r="C1526" s="3" t="str">
        <f>IFERROR(__xludf.DUMMYFUNCTION("""COMPUTED_VALUE"""),"Conversation with Adam Gleave")</f>
        <v>Conversation with Adam Gleave</v>
      </c>
      <c r="D1526" t="str">
        <f>IFERROR(__xludf.DUMMYFUNCTION("""COMPUTED_VALUE"""),"Adam Gleave, Asya Bergal, and Robert Long")</f>
        <v>Adam Gleave, Asya Bergal, and Robert Long</v>
      </c>
      <c r="E1526" t="str">
        <f>IFERROR(__xludf.DUMMYFUNCTION("""COMPUTED_VALUE"""),"AI Impacts")</f>
        <v>AI Impacts</v>
      </c>
      <c r="F1526">
        <f>IFERROR(__xludf.DUMMYFUNCTION("""COMPUTED_VALUE"""),2019.0)</f>
        <v>2019</v>
      </c>
      <c r="H1526" s="3" t="str">
        <f>IFERROR(__xludf.DUMMYFUNCTION("""COMPUTED_VALUE"""),"AN #80")</f>
        <v>AN #80</v>
      </c>
      <c r="I1526" t="str">
        <f>IFERROR(__xludf.DUMMYFUNCTION("""COMPUTED_VALUE"""),"Rohin")</f>
        <v>Rohin</v>
      </c>
      <c r="J1526" t="str">
        <f>IFERROR(__xludf.DUMMYFUNCTION("""COMPUTED_VALUE"""),"Adam finds the traditional arguments for AI risk unconvincing. First, it isn't clear that we will build an AI system that is so capable that it can fight all of humanity from its initial position where it doesn't have any resources, legal protections, etc"&amp;". While discontinuous progress in AI could cause this, Adam doesn't see much reason to expect such discontinuous progress: it seems like AI is progressing by using more computation rather than finding fundamental insights. Second, we don't know how diffic"&amp;"ult AI safety will turn out to be; he gives a probability of ~10% that the problem is as hard as (a caricature of) MIRI suggests, where any design not based on mathematical principles will be unsafe. This is especially true because as we get closer to AGI"&amp;" we'll have many more powerful AI techniques that we can leverage for safety. Thirdly, Adam does expect that AI researchers will eventually solve safety problems; they don't right now because it seems premature to work on those problems. Adam would be mor"&amp;"e worried if there were more arms race dynamics, or more empirical evidence or solid theoretical arguments in support of speculative concerns like inner optimizers. He would be less worried if AI researchers spontaneously started to work on relative probl"&amp;"ems (more than they already do).
Adam makes the case for AI safety work differently. At the highest level, it seems possible to build AGI, and some organizations are trying very hard to build AGI, and if they succeed it would be transformative. That alon"&amp;"e is enough to justify some effort into making sure such a technology is used well. Then, looking at the field itself, it seems like the field is not currently focused on doing good science and engineering to build safe, reliable systems. So there is an o"&amp;"pportunity to have an impact by pushing on safety and reliability. Finally, there are several technical problems that we do need to solve before AGI, such as how we get information about what humans actually want.
Adam also thinks that it's 40-50% likely"&amp;" that when we build AGI, a PhD thesis describing it would be understandable by researchers today without too much work, but ~50% that it's something radically different. However, it's only 10-20% likely that AGI comes only from small variations of current"&amp;" techniques (i.e. by vastly increasing data and compute). He would see this as more likely if we hit additional milestones by investing more compute and data (OpenAI Five was an example of such a milestone).")</f>
        <v>Adam finds the traditional arguments for AI risk unconvincing. First, it isn't clear that we will build an AI system that is so capable that it can fight all of humanity from its initial position where it doesn't have any resources, legal protections, etc. While discontinuous progress in AI could cause this, Adam doesn't see much reason to expect such discontinuous progress: it seems like AI is progressing by using more computation rather than finding fundamental insights. Second, we don't know how difficult AI safety will turn out to be; he gives a probability of ~10% that the problem is as hard as (a caricature of) MIRI suggests, where any design not based on mathematical principles will be unsafe. This is especially true because as we get closer to AGI we'll have many more powerful AI techniques that we can leverage for safety. Thirdly, Adam does expect that AI researchers will eventually solve safety problems; they don't right now because it seems premature to work on those problems. Adam would be more worried if there were more arms race dynamics, or more empirical evidence or solid theoretical arguments in support of speculative concerns like inner optimizers. He would be less worried if AI researchers spontaneously started to work on relative problems (more than they already do).
Adam makes the case for AI safety work differently. At the highest level, it seems possible to build AGI, and some organizations are trying very hard to build AGI, and if they succeed it would be transformative. That alone is enough to justify some effort into making sure such a technology is used well. Then, looking at the field itself, it seems like the field is not currently focused on doing good science and engineering to build safe, reliable systems. So there is an opportunity to have an impact by pushing on safety and reliability. Finally, there are several technical problems that we do need to solve before AGI, such as how we get information about what humans actually want.
Adam also thinks that it's 40-50% likely that when we build AGI, a PhD thesis describing it would be understandable by researchers today without too much work, but ~50% that it's something radically different. However, it's only 10-20% likely that AGI comes only from small variations of current techniques (i.e. by vastly increasing data and compute). He would see this as more likely if we hit additional milestones by investing more compute and data (OpenAI Five was an example of such a milestone).</v>
      </c>
      <c r="K1526" t="str">
        <f>IFERROR(__xludf.DUMMYFUNCTION("""COMPUTED_VALUE"""),"I broadly agree with all of this, with two main differences. First, I am less worried about some of the technical problems that Adam mentions, such as how to get information about what humans want, or how to improve the robustness of AI systems, and more "&amp;"concerned about the more traditional problem of how to create an AI system that is _trying_ to do what you want. Second, I am more bullish on the creation of AGI using small variations on current techniques, but vastly increasing compute and data (I'd ass"&amp;"ign ~30%, while Adam assigns 10-20%).")</f>
        <v>I broadly agree with all of this, with two main differences. First, I am less worried about some of the technical problems that Adam mentions, such as how to get information about what humans want, or how to improve the robustness of AI systems, and more concerned about the more traditional problem of how to create an AI system that is _trying_ to do what you want. Second, I am more bullish on the creation of AGI using small variations on current techniques, but vastly increasing compute and data (I'd assign ~30%, while Adam assigns 10-20%).</v>
      </c>
    </row>
    <row r="1527">
      <c r="A1527" t="str">
        <f>IFERROR(__xludf.DUMMYFUNCTION("""COMPUTED_VALUE"""),"Problems")</f>
        <v>Problems</v>
      </c>
      <c r="B1527" t="str">
        <f>IFERROR(__xludf.DUMMYFUNCTION("""COMPUTED_VALUE"""),"Highlight")</f>
        <v>Highlight</v>
      </c>
      <c r="C1527" s="3" t="str">
        <f>IFERROR(__xludf.DUMMYFUNCTION("""COMPUTED_VALUE"""),"Seeking Power is Provably Instrumentally Convergent in MDPs")</f>
        <v>Seeking Power is Provably Instrumentally Convergent in MDPs</v>
      </c>
      <c r="D1527" t="str">
        <f>IFERROR(__xludf.DUMMYFUNCTION("""COMPUTED_VALUE"""),"Alex Turner, Logan Smith")</f>
        <v>Alex Turner, Logan Smith</v>
      </c>
      <c r="E1527" t="str">
        <f>IFERROR(__xludf.DUMMYFUNCTION("""COMPUTED_VALUE"""),"Alignment Forum")</f>
        <v>Alignment Forum</v>
      </c>
      <c r="F1527">
        <f>IFERROR(__xludf.DUMMYFUNCTION("""COMPUTED_VALUE"""),2019.0)</f>
        <v>2019</v>
      </c>
      <c r="H1527" s="3" t="str">
        <f>IFERROR(__xludf.DUMMYFUNCTION("""COMPUTED_VALUE"""),"AN #78")</f>
        <v>AN #78</v>
      </c>
      <c r="I1527" t="str">
        <f>IFERROR(__xludf.DUMMYFUNCTION("""COMPUTED_VALUE"""),"Rohin")</f>
        <v>Rohin</v>
      </c>
      <c r="J1527" t="str">
        <f>IFERROR(__xludf.DUMMYFUNCTION("""COMPUTED_VALUE"""),"[The Basic AI Drives](https://selfawaresystems.files.wordpress.com/2008/01/ai_drives_final.pdf) argues that it is _instrumentally convergent_ for an agent to collect resources and gain power. This post and [associated paper](https://arxiv.org/abs/1912.016"&amp;"83) aim to formalize this argument. Informally, an _action_ is _instrumentally convergent_ if it is helpful for many goals, or equivalently, an action is instrumentally convergent to the extent that we expect an agent to take it, if we do not know what th"&amp;"e agent’s goal is. Similarly, a _state_ has high power if it is easier to achieve a wide variety of goals from that state.
A natural formalization is to assume we have a distribution over the agent's goal, and define power and instrumental convergence re"&amp;"lative to this distribution. We can then define power as the expected value that can be obtained from a state (modulo some technical caveats), and instrumental convergence as the probability that an action is optimal, _from our perspective of uncertainty_"&amp;":  of course, the _agent_ knows its own goal, and acts optimally in pursuit of that goal.
You might think that optimal agents would provably seek out states with high power. However, this is not true. Consider a decision faced by high school students: sh"&amp;"ould they take a gap year, or go directly to college? Let’s assume college is necessary for (100-ε)% of careers, but if you take a gap year, you could focus on the other ε% of careers or decide to go to college after the year. Then in the limit of farsigh"&amp;"tedness, taking a gap year leads to a more powerful state, since you can still achieve all of the careers, albeit slightly less efficiently for the college careers. However, if you know which career you want, then it is (100-ε)% likely that you go to coll"&amp;"ege, so going to college is very strongly instrumentally convergent even though taking a gap year leads to a more powerful state.
Nonetheless, there are things we can prove. In environments where the only cycles are states with a single action leading ba"&amp;"ck to the same state, and apart from that every action leads to a new state, and many states have more than one action, farsighted agents are more likely to choose trajectories that spend more time navigating to a cycle before spending the rest of the tim"&amp;"e in the cycle. For example, in Tic-Tac-Toe where the opponent is playing optimally according to the normal win condition, but the agent's reward for each state is drawn independently from some distribution on [0, 1], the agent is much more likely to play"&amp;" out to a long game where the entire board is filled. This is because the number of states that can be reached grows exponentially in the horizon, and so agents have more control by taking longer trajectories. Equivalently, the cycle with maximal reward i"&amp;"s much more likely to be at the end of a longer trajectory, and so the optimal possibility is more likely to be a long trajectory.")</f>
        <v>[The Basic AI Drives](https://selfawaresystems.files.wordpress.com/2008/01/ai_drives_final.pdf) argues that it is _instrumentally convergent_ for an agent to collect resources and gain power. This post and [associated paper](https://arxiv.org/abs/1912.01683) aim to formalize this argument. Informally, an _action_ is _instrumentally convergent_ if it is helpful for many goals, or equivalently, an action is instrumentally convergent to the extent that we expect an agent to take it, if we do not know what the agent’s goal is. Similarly, a _state_ has high power if it is easier to achieve a wide variety of goals from that state.
A natural formalization is to assume we have a distribution over the agent's goal, and define power and instrumental convergence relative to this distribution. We can then define power as the expected value that can be obtained from a state (modulo some technical caveats), and instrumental convergence as the probability that an action is optimal, _from our perspective of uncertainty_:  of course, the _agent_ knows its own goal, and acts optimally in pursuit of that goal.
You might think that optimal agents would provably seek out states with high power. However, this is not true. Consider a decision faced by high school students: should they take a gap year, or go directly to college? Let’s assume college is necessary for (100-ε)% of careers, but if you take a gap year, you could focus on the other ε% of careers or decide to go to college after the year. Then in the limit of farsightedness, taking a gap year leads to a more powerful state, since you can still achieve all of the careers, albeit slightly less efficiently for the college careers. However, if you know which career you want, then it is (100-ε)% likely that you go to college, so going to college is very strongly instrumentally convergent even though taking a gap year leads to a more powerful state.
Nonetheless, there are things we can prove. In environments where the only cycles are states with a single action leading back to the same state, and apart from that every action leads to a new state, and many states have more than one action, farsighted agents are more likely to choose trajectories that spend more time navigating to a cycle before spending the rest of the time in the cycle. For example, in Tic-Tac-Toe where the opponent is playing optimally according to the normal win condition, but the agent's reward for each state is drawn independently from some distribution on [0, 1], the agent is much more likely to play out to a long game where the entire board is filled. This is because the number of states that can be reached grows exponentially in the horizon, and so agents have more control by taking longer trajectories. Equivalently, the cycle with maximal reward is much more likely to be at the end of a longer trajectory, and so the optimal possibility is more likely to be a long trajectory.</v>
      </c>
      <c r="K1527" t="str">
        <f>IFERROR(__xludf.DUMMYFUNCTION("""COMPUTED_VALUE"""),"I like the formalizations of power and instrumental convergence. I think in practice there will be a lot of complexity in a) the reward distribution that power and instrumental convergence are defined relative to, b) the structure of the environment, and "&amp;"c) how powerful AI systems actually work (since they won't be perfectly optimal, and won't know the environment structure ahead of time). Nonetheless, results with specific classes of reward distributions, environment structures, and agent models can stil"&amp;"l provide useful intuition.")</f>
        <v>I like the formalizations of power and instrumental convergence. I think in practice there will be a lot of complexity in a) the reward distribution that power and instrumental convergence are defined relative to, b) the structure of the environment, and c) how powerful AI systems actually work (since they won't be perfectly optimal, and won't know the environment structure ahead of time). Nonetheless, results with specific classes of reward distributions, environment structures, and agent models can still provide useful intuition.</v>
      </c>
      <c r="M1527" t="str">
        <f>IFERROR(__xludf.DUMMYFUNCTION("""COMPUTED_VALUE"""),"[Clarifying Power-Seeking and Instrumental Convergence](https://www.alignmentforum.org/posts/cwpKagyTvqSyAJB7q/clarifying-power-seeking-and-instrumental-convergence), [Paper: Optimal Farsighted Agents Tend to Seek Power](https://arxiv.org/abs/1912.01683)")</f>
        <v>[Clarifying Power-Seeking and Instrumental Convergence](https://www.alignmentforum.org/posts/cwpKagyTvqSyAJB7q/clarifying-power-seeking-and-instrumental-convergence), [Paper: Optimal Farsighted Agents Tend to Seek Power](https://arxiv.org/abs/1912.01683)</v>
      </c>
    </row>
    <row r="1528">
      <c r="A1528" t="str">
        <f>IFERROR(__xludf.DUMMYFUNCTION("""COMPUTED_VALUE"""),"Problems")</f>
        <v>Problems</v>
      </c>
      <c r="B1528" t="str">
        <f>IFERROR(__xludf.DUMMYFUNCTION("""COMPUTED_VALUE"""),"Highlight")</f>
        <v>Highlight</v>
      </c>
      <c r="C1528" s="3" t="str">
        <f>IFERROR(__xludf.DUMMYFUNCTION("""COMPUTED_VALUE"""),"A shift in arguments for AI risk")</f>
        <v>A shift in arguments for AI risk</v>
      </c>
      <c r="D1528" t="str">
        <f>IFERROR(__xludf.DUMMYFUNCTION("""COMPUTED_VALUE"""),"Tom Sittler")</f>
        <v>Tom Sittler</v>
      </c>
      <c r="E1528" t="str">
        <f>IFERROR(__xludf.DUMMYFUNCTION("""COMPUTED_VALUE"""),"Alignment Forum")</f>
        <v>Alignment Forum</v>
      </c>
      <c r="F1528">
        <f>IFERROR(__xludf.DUMMYFUNCTION("""COMPUTED_VALUE"""),2019.0)</f>
        <v>2019</v>
      </c>
      <c r="H1528" s="3" t="str">
        <f>IFERROR(__xludf.DUMMYFUNCTION("""COMPUTED_VALUE"""),"AN #59")</f>
        <v>AN #59</v>
      </c>
      <c r="I1528" t="str">
        <f>IFERROR(__xludf.DUMMYFUNCTION("""COMPUTED_VALUE"""),"Rohin")</f>
        <v>Rohin</v>
      </c>
      <c r="J1528" t="str">
        <f>IFERROR(__xludf.DUMMYFUNCTION("""COMPUTED_VALUE"""),"Early arguments for AI safety focus on existential risk cause by a **failure of alignment** combined with **a sharp, discontinuous jump in AI capabilities**. The discontinuity assumption is needed in order to argue for a treacherous turn, for example: wit"&amp;"hout a discontinuity, we would presumably see less capable AI systems fail to hide their misaligned goals from us, or to attempt to deceive us without success. Similarly, in order for an AI system to obtain a decisive strategic advantage, it would need to"&amp;" be significantly more powerful than all the other AI systems already in existence, which requires some sort of discontinuity.
Now, there are several other arguments for AI risk, though none of them have been made in great detail and are spread out over "&amp;"a few blog posts. This post analyzes several of them and points out some open questions.
First, even without a discontinuity, a failure of alignment could lead to a bad future: since the AIs have more power and intelligence their values will determine wh"&amp;"at happens in the future, rather than ours. (Here **it is the difference between AIs and humans that matters**, whereas for a decisive strategic advantage it is the difference between the most intelligent agent and the next-most intelligent agents that ma"&amp;"tters.) See also &lt;@More realistic tales of doom@&gt; and [Three impacts of machine intelligence](https://rationalaltruist.com/2014/08/23/three-impacts-of-machine-intelligence/). However, it isn't clear why we wouldn't be able to fix the misalignment at the e"&amp;"arly stages when the AI systems are not too powerful.
Even if we ignore alignment failures, there are other AI risk arguments. In particular, since AI will be a powerful technology, it could be used by malicious actors; it could help ensure robust totali"&amp;"tarian regimes; it could increase the likelihood of great-power war, and it could lead to stronger [competitive pressures that erode value](https://slatestarcodex.com/2014/07/30/meditations-on-moloch/). With all of these arguments, it's not clear why they"&amp;" are specific to AI in particular, as opposed to any important technology, and the arguments for risk have not been sketched out in detail.
The post ends with an exhortation to AI safety researchers to clarify which sources of risk motivate them, because"&amp;" it will influence what safety work is most important, it will help cause prioritization efforts that need to determine how much money to allocate to AI risk, and it can help avoid misunderstandings with people who are skeptical of AI risk.")</f>
        <v>Early arguments for AI safety focus on existential risk cause by a **failure of alignment** combined with **a sharp, discontinuous jump in AI capabilities**. The discontinuity assumption is needed in order to argue for a treacherous turn, for example: without a discontinuity, we would presumably see less capable AI systems fail to hide their misaligned goals from us, or to attempt to deceive us without success. Similarly, in order for an AI system to obtain a decisive strategic advantage, it would need to be significantly more powerful than all the other AI systems already in existence, which requires some sort of discontinuity.
Now, there are several other arguments for AI risk, though none of them have been made in great detail and are spread out over a few blog posts. This post analyzes several of them and points out some open questions.
First, even without a discontinuity, a failure of alignment could lead to a bad future: since the AIs have more power and intelligence their values will determine what happens in the future, rather than ours. (Here **it is the difference between AIs and humans that matters**, whereas for a decisive strategic advantage it is the difference between the most intelligent agent and the next-most intelligent agents that matters.) See also &lt;@More realistic tales of doom@&gt; and [Three impacts of machine intelligence](https://rationalaltruist.com/2014/08/23/three-impacts-of-machine-intelligence/). However, it isn't clear why we wouldn't be able to fix the misalignment at the early stages when the AI systems are not too powerful.
Even if we ignore alignment failures, there are other AI risk arguments. In particular, since AI will be a powerful technology, it could be used by malicious actors; it could help ensure robust totalitarian regimes; it could increase the likelihood of great-power war, and it could lead to stronger [competitive pressures that erode value](https://slatestarcodex.com/2014/07/30/meditations-on-moloch/). With all of these arguments, it's not clear why they are specific to AI in particular, as opposed to any important technology, and the arguments for risk have not been sketched out in detail.
The post ends with an exhortation to AI safety researchers to clarify which sources of risk motivate them, because it will influence what safety work is most important, it will help cause prioritization efforts that need to determine how much money to allocate to AI risk, and it can help avoid misunderstandings with people who are skeptical of AI risk.</v>
      </c>
      <c r="K1528" t="str">
        <f>IFERROR(__xludf.DUMMYFUNCTION("""COMPUTED_VALUE"""),"I'm glad to see more work of this form; it seems particularly important to gain more clarity on what risks we actually care about, because it strongly influences what work we should do. In the particular scenario of an alignment failure without a disconti"&amp;"nuity, I'm not satisfied with the solution ""we can fix the misalignment early on"", because early on even if the misalignment is apparent to us, it likely will not be easy to fix, and the misaligned AI system could still be useful because it is ""aligned"&amp;" enough"", at least at this low level of capability.
Personally, the argument that motivates me most is ""AI will be very impactful, and it's worth putting in effort into making sure that that impact is positive"". I think the scenarios involving alignme"&amp;"nt failures without a discontinuity are a particularly important subcategory of this argument: while I do expect we will be able to handle this issue if it arises, this is mostly because of meta-level faith in humanity to deal with the problem. We don't c"&amp;"urrently have a good object-level story for why the issue _won't_ happen, or why it will be fixed when it does happen, and it would be good to have such a story in order to be confident that AI will in fact be beneficial for humanity.
I know less about t"&amp;"he non-alignment risks, and my work doesn't really address any of them. They seem worth more investigation; currently my feeling towards them is ""yeah, those could be risks, but I have no idea how likely the risks are"".")</f>
        <v>I'm glad to see more work of this form; it seems particularly important to gain more clarity on what risks we actually care about, because it strongly influences what work we should do. In the particular scenario of an alignment failure without a discontinuity, I'm not satisfied with the solution "we can fix the misalignment early on", because early on even if the misalignment is apparent to us, it likely will not be easy to fix, and the misaligned AI system could still be useful because it is "aligned enough", at least at this low level of capability.
Personally, the argument that motivates me most is "AI will be very impactful, and it's worth putting in effort into making sure that that impact is positive". I think the scenarios involving alignment failures without a discontinuity are a particularly important subcategory of this argument: while I do expect we will be able to handle this issue if it arises, this is mostly because of meta-level faith in humanity to deal with the problem. We don't currently have a good object-level story for why the issue _won't_ happen, or why it will be fixed when it does happen, and it would be good to have such a story in order to be confident that AI will in fact be beneficial for humanity.
I know less about the non-alignment risks, and my work doesn't really address any of them. They seem worth more investigation; currently my feeling towards them is "yeah, those could be risks, but I have no idea how likely the risks are".</v>
      </c>
    </row>
    <row r="1529">
      <c r="A1529" t="str">
        <f>IFERROR(__xludf.DUMMYFUNCTION("""COMPUTED_VALUE"""),"Problems")</f>
        <v>Problems</v>
      </c>
      <c r="B1529" t="str">
        <f>IFERROR(__xludf.DUMMYFUNCTION("""COMPUTED_VALUE"""),"Highlight")</f>
        <v>Highlight</v>
      </c>
      <c r="C1529" s="3" t="str">
        <f>IFERROR(__xludf.DUMMYFUNCTION("""COMPUTED_VALUE"""),"What failure looks like")</f>
        <v>What failure looks like</v>
      </c>
      <c r="D1529" t="str">
        <f>IFERROR(__xludf.DUMMYFUNCTION("""COMPUTED_VALUE"""),"Paul Christiano")</f>
        <v>Paul Christiano</v>
      </c>
      <c r="E1529" t="str">
        <f>IFERROR(__xludf.DUMMYFUNCTION("""COMPUTED_VALUE"""),"Alignment Forum")</f>
        <v>Alignment Forum</v>
      </c>
      <c r="F1529">
        <f>IFERROR(__xludf.DUMMYFUNCTION("""COMPUTED_VALUE"""),2019.0)</f>
        <v>2019</v>
      </c>
      <c r="H1529" s="3" t="str">
        <f>IFERROR(__xludf.DUMMYFUNCTION("""COMPUTED_VALUE"""),"AN #50")</f>
        <v>AN #50</v>
      </c>
      <c r="I1529" t="str">
        <f>IFERROR(__xludf.DUMMYFUNCTION("""COMPUTED_VALUE"""),"Rohin")</f>
        <v>Rohin</v>
      </c>
      <c r="J1529" t="str">
        <f>IFERROR(__xludf.DUMMYFUNCTION("""COMPUTED_VALUE"""),"This [Vox article](https://www.vox.com/future-perfect/2019/3/26/18281297/ai-artificial-intelligence-safety-disaster-scenarios) does a nice job of explaining the first part of this post, though I disagree with its characterization of the second part.
The "&amp;"typical example of AI catastrophe has a powerful and adversarial AI system surprising us with a treacherous turn allowing it to quickly take over the world (think of the paperclip maximizer). This post uses a premise of continuous AI development and broad"&amp;" AI deployment and depicts two other stories of AI catastrophe that Paul finds more realistic.
The first story is rooted in the fact that AI systems have a huge comparative advantage at optimizing for easily measured goals. We already see problems with h"&amp;"umans optimizing for the easily measured goals (scientific malpractice, outrage-inducing social media, etc.) and with AI these problems will be severely exacerbated. So far, we have been able to use human reasoning to ameliorate these problems, by changin"&amp;"g incentives, enacting laws, or using common sense to interpret goals correctly. We will initially be able to use human reasoning to create good proxies, but over time as AI systems become more capable our ability to do this will lag further and further b"&amp;"ehind. We end up ""going out with a whimper"": ultimately our values are no longer shaping society's trajectory.
The second story starts out like the first story, but adds in a new complication: the AI system could develop internal goals of its own. AI p"&amp;"erforms a huge search over policies for ones that score well on the training objective. Unfortunately, a policy that optimizes for the goal of ""having influence"" will initially score well on most training objectives: when you don't already have influenc"&amp;"e, a good strategy for gaining influence is to do what your overseers want you to do. (Here ""influence"" doesn't mean just social influence; control over nukes also counts as influence.) At some point the system will be powerful enough that gaining influ"&amp;"ence no longer means doing what the overseers want. We will probably know about this dynamic through some catastrophic AI failures (e.g. an AI-run corporation stealing the money it manages), but may not be able to do anything about it because we would be "&amp;"extremely reliant on AI systems. Eventually, during some period of heightened vulnerability, one AI system may do something catastrophic, leading to a distribution shift which triggers a cascade of other AI systems (and human systems) failing, leading to "&amp;"an unrecoverable catastrophe (think something in the class of a hostile robot takeover). Note that ""failure"" here means an AI system ""intentionally"" doing something that we don't want, as opposed to the AI system not knowing what to do because it is n"&amp;"ot robust to distributional shift.")</f>
        <v>This [Vox article](https://www.vox.com/future-perfect/2019/3/26/18281297/ai-artificial-intelligence-safety-disaster-scenarios) does a nice job of explaining the first part of this post, though I disagree with its characterization of the second part.
The typical example of AI catastrophe has a powerful and adversarial AI system surprising us with a treacherous turn allowing it to quickly take over the world (think of the paperclip maximizer). This post uses a premise of continuous AI development and broad AI deployment and depicts two other stories of AI catastrophe that Paul finds more realistic.
The first story is rooted in the fact that AI systems have a huge comparative advantage at optimizing for easily measured goals. We already see problems with humans optimizing for the easily measured goals (scientific malpractice, outrage-inducing social media, etc.) and with AI these problems will be severely exacerbated. So far, we have been able to use human reasoning to ameliorate these problems, by changing incentives, enacting laws, or using common sense to interpret goals correctly. We will initially be able to use human reasoning to create good proxies, but over time as AI systems become more capable our ability to do this will lag further and further behind. We end up "going out with a whimper": ultimately our values are no longer shaping society's trajectory.
The second story starts out like the first story, but adds in a new complication: the AI system could develop internal goals of its own. AI performs a huge search over policies for ones that score well on the training objective. Unfortunately, a policy that optimizes for the goal of "having influence" will initially score well on most training objectives: when you don't already have influence, a good strategy for gaining influence is to do what your overseers want you to do. (Here "influence" doesn't mean just social influence; control over nukes also counts as influence.) At some point the system will be powerful enough that gaining influence no longer means doing what the overseers want. We will probably know about this dynamic through some catastrophic AI failures (e.g. an AI-run corporation stealing the money it manages), but may not be able to do anything about it because we would be extremely reliant on AI systems. Eventually, during some period of heightened vulnerability, one AI system may do something catastrophic, leading to a distribution shift which triggers a cascade of other AI systems (and human systems) failing, leading to an unrecoverable catastrophe (think something in the class of a hostile robot takeover). Note that "failure" here means an AI system "intentionally" doing something that we don't want, as opposed to the AI system not knowing what to do because it is not robust to distributional shift.</v>
      </c>
      <c r="K1529" t="str">
        <f>IFERROR(__xludf.DUMMYFUNCTION("""COMPUTED_VALUE"""),"Note that Paul thinks these scenarios are more realistic because he expects that many of the other problems (e.g. wireheading, giving AI systems an objective such that it doesn't kill humans) will be solved by default. I somewhat expect even the first sto"&amp;"ry to be solved by default -- it seems to rest on a premise of human reasoning staying as powerful as it is right now, but it seems plausible that as AI systems grow in capability we will be able to leverage them to improve human reasoning (think of how p"&amp;"aper or the Internet amplified human reasoning). The second story seems much more difficult -- I don't see any clear way that we can avoid influence-seeking behavior. It is currently my most likely scenario for an AI catastrophe that was a result of a fai"&amp;"lure of technical AI safety (or more specifically, &lt;@intent alignment@&gt;(@Clarifying ""AI Alignment""@)).")</f>
        <v>Note that Paul thinks these scenarios are more realistic because he expects that many of the other problems (e.g. wireheading, giving AI systems an objective such that it doesn't kill humans) will be solved by default. I somewhat expect even the first story to be solved by default -- it seems to rest on a premise of human reasoning staying as powerful as it is right now, but it seems plausible that as AI systems grow in capability we will be able to leverage them to improve human reasoning (think of how paper or the Internet amplified human reasoning). The second story seems much more difficult -- I don't see any clear way that we can avoid influence-seeking behavior. It is currently my most likely scenario for an AI catastrophe that was a result of a failure of technical AI safety (or more specifically, &lt;@intent alignment@&gt;(@Clarifying "AI Alignment"@)).</v>
      </c>
      <c r="M1529" s="3" t="str">
        <f>IFERROR(__xludf.DUMMYFUNCTION("""COMPUTED_VALUE"""),"AI disaster won’t look like the Terminator. It’ll be creepier.")</f>
        <v>AI disaster won’t look like the Terminator. It’ll be creepier.</v>
      </c>
    </row>
    <row r="1530">
      <c r="A1530" t="str">
        <f>IFERROR(__xludf.DUMMYFUNCTION("""COMPUTED_VALUE"""),"Problems")</f>
        <v>Problems</v>
      </c>
      <c r="B1530" t="str">
        <f>IFERROR(__xludf.DUMMYFUNCTION("""COMPUTED_VALUE"""),"Highlight")</f>
        <v>Highlight</v>
      </c>
      <c r="C1530" s="3" t="str">
        <f>IFERROR(__xludf.DUMMYFUNCTION("""COMPUTED_VALUE"""),"Disentangling arguments for the importance of AI safety")</f>
        <v>Disentangling arguments for the importance of AI safety</v>
      </c>
      <c r="D1530" t="str">
        <f>IFERROR(__xludf.DUMMYFUNCTION("""COMPUTED_VALUE"""),"Richard Ngo")</f>
        <v>Richard Ngo</v>
      </c>
      <c r="E1530" t="str">
        <f>IFERROR(__xludf.DUMMYFUNCTION("""COMPUTED_VALUE"""),"Alignment Forum")</f>
        <v>Alignment Forum</v>
      </c>
      <c r="F1530">
        <f>IFERROR(__xludf.DUMMYFUNCTION("""COMPUTED_VALUE"""),2019.0)</f>
        <v>2019</v>
      </c>
      <c r="H1530" s="3" t="str">
        <f>IFERROR(__xludf.DUMMYFUNCTION("""COMPUTED_VALUE"""),"AN #43")</f>
        <v>AN #43</v>
      </c>
      <c r="I1530" t="str">
        <f>IFERROR(__xludf.DUMMYFUNCTION("""COMPUTED_VALUE"""),"Rohin")</f>
        <v>Rohin</v>
      </c>
      <c r="J1530" t="str">
        <f>IFERROR(__xludf.DUMMYFUNCTION("""COMPUTED_VALUE"""),"This post lays out six distinct arguments for the importance of AI safety. First, the classic argument that expected utility maximizers (or, as I prefer to call them, goal-directed agents) are dangerous because of Goodhart's Law, fragility of value and co"&amp;"nvergent instrumental subgoals. Second, we don't know how to robustly ""put a goal"" inside an AI system, such that its behavior will then look like the pursuit of that goal. (As an analogy, evolution might seem like a good way to get agents that pursue r"&amp;"eproductive fitness, but it ended up creating humans who decidedly do not pursue reproductive fitness single-mindedly.) Third, as we create many AI systems that gradually become the main actors in our economy, these AI systems will control most of the res"&amp;"ources of the future. There will likely be some divergence between what the AI ""values"" and what we value, and for sufficiently powerful AI systems we will no longer be able to correct these divergences, simply because we won't be able to understand the"&amp;"ir decisions. Fourth, it seems that a good future requires us to solve hard philosophy problems that humans cannot yet solve (so that even if the future was controlled by a human it would probably not turn out well), and so we would need to either solve t"&amp;"hese problems or figure out an algorithm to solve them. Fifth, powerful AI capabilities could be misused by malicious actors, or they could inadvertently lead to doom through coordination failures, eg. by developing ever more destructive weapons. Finally,"&amp;" the broadest argument is simply that AI is going to have a large impact on the world, and so of course we want to ensure that the impact is positive.
Richard then speculates on what inferences to make from the fact that different people have different a"&amp;"rguments for working on AI safety. His primary takeaway is that we are still confused about what problem we are solving, and so we should spend more time clarifying fundamental ideas and describing particular deployment scenarios and corresponding threat "&amp;"models.")</f>
        <v>This post lays out six distinct arguments for the importance of AI safety. First, the classic argument that expected utility maximizers (or, as I prefer to call them, goal-directed agents) are dangerous because of Goodhart's Law, fragility of value and convergent instrumental subgoals. Second, we don't know how to robustly "put a goal" inside an AI system, such that its behavior will then look like the pursuit of that goal. (As an analogy, evolution might seem like a good way to get agents that pursue reproductive fitness, but it ended up creating humans who decidedly do not pursue reproductive fitness single-mindedly.) Third, as we create many AI systems that gradually become the main actors in our economy, these AI systems will control most of the resources of the future. There will likely be some divergence between what the AI "values" and what we value, and for sufficiently powerful AI systems we will no longer be able to correct these divergences, simply because we won't be able to understand their decisions. Fourth, it seems that a good future requires us to solve hard philosophy problems that humans cannot yet solve (so that even if the future was controlled by a human it would probably not turn out well), and so we would need to either solve these problems or figure out an algorithm to solve them. Fifth, powerful AI capabilities could be misused by malicious actors, or they could inadvertently lead to doom through coordination failures, eg. by developing ever more destructive weapons. Finally, the broadest argument is simply that AI is going to have a large impact on the world, and so of course we want to ensure that the impact is positive.
Richard then speculates on what inferences to make from the fact that different people have different arguments for working on AI safety. His primary takeaway is that we are still confused about what problem we are solving, and so we should spend more time clarifying fundamental ideas and describing particular deployment scenarios and corresponding threat models.</v>
      </c>
      <c r="K1530" t="str">
        <f>IFERROR(__xludf.DUMMYFUNCTION("""COMPUTED_VALUE"""),"I think the overarching problem is the last one, that AI will have large impacts and we don't have a strong story for why they will necessarily be good. Since it is very hard to predict the future, especially with new technologies, I would expect that dif"&amp;"ferent people trying to concretize this very broad worry into a more concrete one would end up with different scenarios, and this mostly explains the proliferation of arguments. Richard does note a similar effect by considering the example of what argumen"&amp;"ts the original nuclear risk people could have made, and finding a similar proliferation of arguments.
Setting aside the overarching argument #6, I find all of the arguments fairly compelling, but I'm probably most worried about #1 (suitably reformulated"&amp;" in terms of goal-directedness) and #2. It's plausible that I would also find some of the multiagent worries more compelling once more research has been done on them; so far I don't have much clarity about them.")</f>
        <v>I think the overarching problem is the last one, that AI will have large impacts and we don't have a strong story for why they will necessarily be good. Since it is very hard to predict the future, especially with new technologies, I would expect that different people trying to concretize this very broad worry into a more concrete one would end up with different scenarios, and this mostly explains the proliferation of arguments. Richard does note a similar effect by considering the example of what arguments the original nuclear risk people could have made, and finding a similar proliferation of arguments.
Setting aside the overarching argument #6, I find all of the arguments fairly compelling, but I'm probably most worried about #1 (suitably reformulated in terms of goal-directedness) and #2. It's plausible that I would also find some of the multiagent worries more compelling once more research has been done on them; so far I don't have much clarity about them.</v>
      </c>
    </row>
    <row r="1531">
      <c r="A1531" t="str">
        <f>IFERROR(__xludf.DUMMYFUNCTION("""COMPUTED_VALUE"""),"Problems")</f>
        <v>Problems</v>
      </c>
      <c r="B1531" t="str">
        <f>IFERROR(__xludf.DUMMYFUNCTION("""COMPUTED_VALUE"""),"Highlight")</f>
        <v>Highlight</v>
      </c>
      <c r="C1531" s="3" t="str">
        <f>IFERROR(__xludf.DUMMYFUNCTION("""COMPUTED_VALUE"""),"Alignment difficulty")</f>
        <v>Alignment difficulty</v>
      </c>
      <c r="D1531" t="str">
        <f>IFERROR(__xludf.DUMMYFUNCTION("""COMPUTED_VALUE"""),"Richard Ngo and Eliezer Yudkowsky")</f>
        <v>Richard Ngo and Eliezer Yudkowsky</v>
      </c>
      <c r="E1531" t="str">
        <f>IFERROR(__xludf.DUMMYFUNCTION("""COMPUTED_VALUE"""),"Alignment Forum")</f>
        <v>Alignment Forum</v>
      </c>
      <c r="F1531">
        <f>IFERROR(__xludf.DUMMYFUNCTION("""COMPUTED_VALUE"""),2021.0)</f>
        <v>2021</v>
      </c>
      <c r="H1531" s="3" t="str">
        <f>IFERROR(__xludf.DUMMYFUNCTION("""COMPUTED_VALUE"""),"AN #171")</f>
        <v>AN #171</v>
      </c>
      <c r="I1531" t="str">
        <f>IFERROR(__xludf.DUMMYFUNCTION("""COMPUTED_VALUE"""),"Rohin")</f>
        <v>Rohin</v>
      </c>
      <c r="J1531" t="str">
        <f>IFERROR(__xludf.DUMMYFUNCTION("""COMPUTED_VALUE"""),"Eliezer is known for being pessimistic about our chances of averting AI catastrophe. His argument in this dialogue is roughly as follows:
1. We are very likely going to keep improving AI capabilities until we reach AGI, at which point either the world is"&amp;" destroyed, or we use the AI system to take some pivotal act before some careless actor destroys the world.
2. In either case, the AI system must be producing high-impact, world-rewriting plans; such plans are “consequentialist” in that the simplest way t"&amp;"o get them (and thus, the one we will first build) is if you are forecasting what might happen, thinking about the expected consequences, considering possible obstacles, searching for routes around the obstacles, etc. If you don’t do this sort of reasonin"&amp;"g, your plan goes off the rails very quickly - it is highly unlikely to lead to high impact. In particular, long lists of shallow heuristics (as with current deep learning systems) are unlikely to be enough to produce high-impact plans.
3. We’re producing"&amp;" AI systems by selecting for systems that can do impressive stuff, which will eventually produce AI systems that can accomplish high-impact plans using a general underlying “consequentialist”-style reasoning process (because that’s the only way to keep do"&amp;"ing more impressive stuff). However, this selection process does _not_ constrain the goals towards which those plans are aimed. In addition, most goals seem to have convergent instrumental subgoals like survival and power-seeking that would lead to extinc"&amp;"tion. This suggests that we should expect an existential catastrophe by default.
4. None of the methods people have suggested for avoiding this outcome seem like they actually avert this story.
Richard responds to this with a few distinct points:
1. It m"&amp;"ight be possible to build AI systems which are not of world-destroying intelligence and agency, that humans use to save the world. For example, we could make AI systems that do better alignment research. Such AI systems do not seem to require the property"&amp;" of making long-term plans in the real world in point (3) above, and so could plausibly be safe.
2. It might be possible to build general AI systems that only _state_ plans for achieving a goal of interest that we specify, without _executing_ that plan.
3"&amp;". It seems possible to create consequentialist systems with constraints upon their reasoning that lead to reduced risk.
4. It also seems possible to create systems with the primary aim of producing plans with certain properties (that aren't just about out"&amp;"comes in the world) -- think for example of &lt;@corrigibility@&gt;(@Corrigibility@) or deference to a human user.
5. (Richard is also more bullish on coordinating not to use powerful and/or risky AI systems, though the debate did not discuss this much.)
Eliez"&amp;"er’s responses:
1. AI systems that help with alignment research to such a degree that it actually makes a difference are almost certainly already dangerous.
2. It is the plan itself that is risky; if the AI system made a plan for a goal that wasn’t the on"&amp;"e we actually meant, and we don’t understand that plan, that plan can still cause extinction. It is the _misaligned optimization that produced the plan_ that is dangerous.
3 and 4. It is certainly _possible_ to do such things; the space of minds that coul"&amp;"d be designed is very large. However, it is _difficult_ to do such things, as they tend to make consequentialist reasoning weaker, and on our current trajectory the first AGI that we build will probably not look like that.
This post has also been summari"&amp;"zed by others [here](https://www.alignmentforum.org/posts/oKYWbXioKaANATxKY/soares-tallinn-and-yudkowsky-discuss-agi-cognition), though with different emphases than in my summary.")</f>
        <v>Eliezer is known for being pessimistic about our chances of averting AI catastrophe. His argument in this dialogue is roughly as follows:
1. We are very likely going to keep improving AI capabilities until we reach AGI, at which point either the world is destroyed, or we use the AI system to take some pivotal act before some careless actor destroys the world.
2. In either case, the AI system must be producing high-impact, world-rewriting plans; such plans are “consequentialist” in that the simplest way to get them (and thus, the one we will first build) is if you are forecasting what might happen, thinking about the expected consequences, considering possible obstacles, searching for routes around the obstacles, etc. If you don’t do this sort of reasoning, your plan goes off the rails very quickly - it is highly unlikely to lead to high impact. In particular, long lists of shallow heuristics (as with current deep learning systems) are unlikely to be enough to produce high-impact plans.
3. We’re producing AI systems by selecting for systems that can do impressive stuff, which will eventually produce AI systems that can accomplish high-impact plans using a general underlying “consequentialist”-style reasoning process (because that’s the only way to keep doing more impressive stuff). However, this selection process does _not_ constrain the goals towards which those plans are aimed. In addition, most goals seem to have convergent instrumental subgoals like survival and power-seeking that would lead to extinction. This suggests that we should expect an existential catastrophe by default.
4. None of the methods people have suggested for avoiding this outcome seem like they actually avert this story.
Richard responds to this with a few distinct points:
1. It might be possible to build AI systems which are not of world-destroying intelligence and agency, that humans use to save the world. For example, we could make AI systems that do better alignment research. Such AI systems do not seem to require the property of making long-term plans in the real world in point (3) above, and so could plausibly be safe.
2. It might be possible to build general AI systems that only _state_ plans for achieving a goal of interest that we specify, without _executing_ that plan.
3. It seems possible to create consequentialist systems with constraints upon their reasoning that lead to reduced risk.
4. It also seems possible to create systems with the primary aim of producing plans with certain properties (that aren't just about outcomes in the world) -- think for example of &lt;@corrigibility@&gt;(@Corrigibility@) or deference to a human user.
5. (Richard is also more bullish on coordinating not to use powerful and/or risky AI systems, though the debate did not discuss this much.)
Eliezer’s responses:
1. AI systems that help with alignment research to such a degree that it actually makes a difference are almost certainly already dangerous.
2. It is the plan itself that is risky; if the AI system made a plan for a goal that wasn’t the one we actually meant, and we don’t understand that plan, that plan can still cause extinction. It is the _misaligned optimization that produced the plan_ that is dangerous.
3 and 4. It is certainly _possible_ to do such things; the space of minds that could be designed is very large. However, it is _difficult_ to do such things, as they tend to make consequentialist reasoning weaker, and on our current trajectory the first AGI that we build will probably not look like that.
This post has also been summarized by others [here](https://www.alignmentforum.org/posts/oKYWbXioKaANATxKY/soares-tallinn-and-yudkowsky-discuss-agi-cognition), though with different emphases than in my summary.</v>
      </c>
      <c r="K1531" t="str">
        <f>IFERROR(__xludf.DUMMYFUNCTION("""COMPUTED_VALUE"""),"I first want to note my violent agreement with the notion that a major scary thing is “consequentialist reasoning”, and that high-impact plans require such reasoning, and that we will end up building AI systems that produce high-impact plans. Nonetheless,"&amp;" I am still optimistic about AI safety relative to Eliezer, which I suspect comes down to three main disagreements:
1. There are many approaches that don’t solve the problem, but do increase the level of intelligence required before the problem leads to "&amp;"extinction. Examples include Richard’s points 1-4 above. For example, if we build a system that states plans without executing them, then for the plans to cause extinction they need to be complicated enough that the humans executing those plans don’t real"&amp;"ize that they are leading to an outcome that was not what they wanted. It seems non-trivially probable to me that such approaches are sufficient to prevent extinction up to the level of AI intelligence needed before we can execute a pivotal act.
2. The co"&amp;"nsequentialist reasoning is only scary to the extent that it is “aimed” at a bad goal. It seems non-trivially probable to me that it will be “aimed” at a goal sufficiently good to not lead to existential catastrophe, without putting in much alignment effo"&amp;"rt.
3. I do expect some coordination to not do the most risky things.
I wish the debate had focused more on the claim that non-scary AI can’t e.g. do better alignment research, as it seems like a major crux. (For example, I think that sort of intuition d"&amp;"rives my disagreement #1.) I expect AI progress looks a lot like “the heuristics get less and less shallow in a gradual / smooth / continuous manner” which eventually leads to the sorts of plans Eliezer calls “consequentialist”, whereas I think Eliezer ex"&amp;"pects a sharper qualitative change between “lots of heuristics” and that-which-implements-consequentialist-planning.")</f>
        <v>I first want to note my violent agreement with the notion that a major scary thing is “consequentialist reasoning”, and that high-impact plans require such reasoning, and that we will end up building AI systems that produce high-impact plans. Nonetheless, I am still optimistic about AI safety relative to Eliezer, which I suspect comes down to three main disagreements:
1. There are many approaches that don’t solve the problem, but do increase the level of intelligence required before the problem leads to extinction. Examples include Richard’s points 1-4 above. For example, if we build a system that states plans without executing them, then for the plans to cause extinction they need to be complicated enough that the humans executing those plans don’t realize that they are leading to an outcome that was not what they wanted. It seems non-trivially probable to me that such approaches are sufficient to prevent extinction up to the level of AI intelligence needed before we can execute a pivotal act.
2. The consequentialist reasoning is only scary to the extent that it is “aimed” at a bad goal. It seems non-trivially probable to me that it will be “aimed” at a goal sufficiently good to not lead to existential catastrophe, without putting in much alignment effort.
3. I do expect some coordination to not do the most risky things.
I wish the debate had focused more on the claim that non-scary AI can’t e.g. do better alignment research, as it seems like a major crux. (For example, I think that sort of intuition drives my disagreement #1.) I expect AI progress looks a lot like “the heuristics get less and less shallow in a gradual / smooth / continuous manner” which eventually leads to the sorts of plans Eliezer calls “consequentialist”, whereas I think Eliezer expects a sharper qualitative change between “lots of heuristics” and that-which-implements-consequentialist-planning.</v>
      </c>
    </row>
    <row r="1532">
      <c r="A1532" t="str">
        <f>IFERROR(__xludf.DUMMYFUNCTION("""COMPUTED_VALUE"""),"Problems")</f>
        <v>Problems</v>
      </c>
      <c r="B1532" t="str">
        <f>IFERROR(__xludf.DUMMYFUNCTION("""COMPUTED_VALUE"""),"Highlight")</f>
        <v>Highlight</v>
      </c>
      <c r="C1532" s="3" t="str">
        <f>IFERROR(__xludf.DUMMYFUNCTION("""COMPUTED_VALUE"""),"Draft report on existential risk from power-seeking AI")</f>
        <v>Draft report on existential risk from power-seeking AI</v>
      </c>
      <c r="D1532" t="str">
        <f>IFERROR(__xludf.DUMMYFUNCTION("""COMPUTED_VALUE"""),"Joe Carlsmith")</f>
        <v>Joe Carlsmith</v>
      </c>
      <c r="E1532" t="str">
        <f>IFERROR(__xludf.DUMMYFUNCTION("""COMPUTED_VALUE"""),"Alignment Forum")</f>
        <v>Alignment Forum</v>
      </c>
      <c r="F1532">
        <f>IFERROR(__xludf.DUMMYFUNCTION("""COMPUTED_VALUE"""),2021.0)</f>
        <v>2021</v>
      </c>
      <c r="H1532" s="3" t="str">
        <f>IFERROR(__xludf.DUMMYFUNCTION("""COMPUTED_VALUE"""),"AN #170")</f>
        <v>AN #170</v>
      </c>
      <c r="I1532" t="str">
        <f>IFERROR(__xludf.DUMMYFUNCTION("""COMPUTED_VALUE"""),"Rohin")</f>
        <v>Rohin</v>
      </c>
      <c r="J1532" t="str">
        <f>IFERROR(__xludf.DUMMYFUNCTION("""COMPUTED_VALUE"""),"This report investigates the classic AI risk argument in detail, and decomposes it into a set of conjunctive claims. Here’s the quick version of the argument: We will likely build highly capable and agentic AI systems that are aware of their place in the "&amp;"world, and which will be pursuing problematic objectives. Thus, they will take actions that increase their power, which will eventually disempower humans, leading to an existential catastrophe. We will try and avert this, but will probably fail to do so s"&amp;"ince it is technically challenging and we are not capable of the necessary coordination.
There’s a lot of vague words in the argument above, so let’s introduce some terminology to make it clearer:
- **[Advanced capabilities](​​https://docs.google.com/doc"&amp;"ument/d/1smaI1lagHHcrhoi6ohdq3TYIZv0eNWWZMPEy8C8byYg/edit#heading=h.lv9yiqgfft0n):**  We say that a system has advanced capabilities if it outperforms the best humans on some set of important tasks (such as scientific research, business/military/political"&amp;" strategy, engineering, and persuasion/manipulation). 
- **[Agentic planning](https://docs.google.com/document/d/1smaI1lagHHcrhoi6ohdq3TYIZv0eNWWZMPEy8C8byYg/edit#heading=h.70ean6ha5tu6)**: We say that a system engages in agentic planning if it (a) makes "&amp;"and executes plans, (b) in pursuit of objectives, (c) on the basis of models of the world. This is a very broad definition and doesn’t have many of the connotations you might be used to for an agent. It does not need to be a literal planning algorithm -- "&amp;"for example, human cognition would count, despite (probably) not being just a planning algorithm.
- **[Strategically aware](https://docs.google.com/document/d/1smaI1lagHHcrhoi6ohdq3TYIZv0eNWWZMPEy8C8byYg/edit#heading=h.ut8tt579qm0v)**: We say that a syste"&amp;"m is strategically aware if it models the effects of gaining and maintaining power over humans and the real-world environment.
- **[PS-misaligned](https://docs.google.com/document/d/1smaI1lagHHcrhoi6ohdq3TYIZv0eNWWZMPEy8C8byYg/edit#heading=h.xeuhqiernpnr)"&amp;" (power-seeking misaligned):** On some inputs, the AI system seeks power in unintended ways due to problems with its objectives (if the system actually receives such inputs, then it is **practically PS-misaligned**).
The core argument is then that AI sys"&amp;"tems with advanced capabilities, agentic planning, and strategic awareness (APS-systems) will be practically PS-misaligned, to an extent that causes an existential catastrophe. Of course, we will try to prevent this -- why should we expect that we can’t f"&amp;"ix the problem? The author considers possible remedies, and argues that they all seem quite hard:
- We [could](https://docs.google.com/document/d/1smaI1lagHHcrhoi6ohdq3TYIZv0eNWWZMPEy8C8byYg/edit#heading=h.ser8zbn1gx0r) give AI systems the right objectiv"&amp;"es (alignment), but this seems quite hard -- it’s not clear how we would solve either outer or inner alignment.
- We [could](https://docs.google.com/document/d/1smaI1lagHHcrhoi6ohdq3TYIZv0eNWWZMPEy8C8byYg/edit#heading=h.viufb7455zol) try to shape objectiv"&amp;"es to be e.g. myopic, but we don’t know how to do this, and there are strong incentives against myopia.
- We [could](https://docs.google.com/document/d/1smaI1lagHHcrhoi6ohdq3TYIZv0eNWWZMPEy8C8byYg/edit#heading=h.8ogiacvl3jtk) try to limit AI capabilities "&amp;"by keeping systems special-purpose rather than general, but there are strong incentives for generality, and some special-purpose systems can be dangerous, too.
- We [could](https://docs.google.com/document/d/1smaI1lagHHcrhoi6ohdq3TYIZv0eNWWZMPEy8C8byYg/ed"&amp;"it#heading=h.vy4yqugrdgac) try to prevent the AI system from improving its own capabilities, but this requires us to anticipate all the ways the AI system could improve, and there are incentives to create systems that learn and change as they gain experie"&amp;"nce. 
- We [could](https://docs.google.com/document/d/1smaI1lagHHcrhoi6ohdq3TYIZv0eNWWZMPEy8C8byYg/edit#heading=h.534uqe12opz9) try to control the deployment situations to be within some set of circumstances where we know the AI system won’t seek power. H"&amp;"owever, this seems harder and harder to do as capabilities increase, since with more capabilities, more options become available.
- We [could](https://docs.google.com/document/d/1smaI1lagHHcrhoi6ohdq3TYIZv0eNWWZMPEy8C8byYg/edit#heading=h.eq2ddewwckpx) imp"&amp;"ose a high threshold of safety before an AI system is deployed, but the AI system could still seek power during training, and there are many incentives pushing for faster, riskier deployment (even if we have already seen warning shots).
- We [could](https"&amp;"://docs.google.com/document/d/1smaI1lagHHcrhoi6ohdq3TYIZv0eNWWZMPEy8C8byYg/edit#heading=h.xsj40o1f47ow) try to correct the behavior of misaligned AI systems, or mitigate their impact, after deployment. This seems like it requires humans to have comparable"&amp;" or superior power to the misaligned systems in question, though; and even if we are able to correct the problem at one level of capability, we need solutions that scale as our AI systems become more powerful.
The author breaks the overall argument into"&amp;" six conjunctive claims, assigns probabilities to each of them, and ends up computing a 5% probability of existential catastrophe from misaligned, power-seeking AI by 2070. This is a lower bound, since the six claims together add a fair number of assumpti"&amp;"ons, and there can be risk scenarios that violate these assumptions, and so overall the author would shade upward another couple of percentage points.")</f>
        <v>This report investigates the classic AI risk argument in detail, and decomposes it into a set of conjunctive claims. Here’s the quick version of the argument: We will likely build highly capable and agentic AI systems that are aware of their place in the world, and which will be pursuing problematic objectives. Thus, they will take actions that increase their power, which will eventually disempower humans, leading to an existential catastrophe. We will try and avert this, but will probably fail to do so since it is technically challenging and we are not capable of the necessary coordination.
There’s a lot of vague words in the argument above, so let’s introduce some terminology to make it clearer:
- **[Advanced capabilities](​​https://docs.google.com/document/d/1smaI1lagHHcrhoi6ohdq3TYIZv0eNWWZMPEy8C8byYg/edit#heading=h.lv9yiqgfft0n):**  We say that a system has advanced capabilities if it outperforms the best humans on some set of important tasks (such as scientific research, business/military/political strategy, engineering, and persuasion/manipulation). 
- **[Agentic planning](https://docs.google.com/document/d/1smaI1lagHHcrhoi6ohdq3TYIZv0eNWWZMPEy8C8byYg/edit#heading=h.70ean6ha5tu6)**: We say that a system engages in agentic planning if it (a) makes and executes plans, (b) in pursuit of objectives, (c) on the basis of models of the world. This is a very broad definition and doesn’t have many of the connotations you might be used to for an agent. It does not need to be a literal planning algorithm -- for example, human cognition would count, despite (probably) not being just a planning algorithm.
- **[Strategically aware](https://docs.google.com/document/d/1smaI1lagHHcrhoi6ohdq3TYIZv0eNWWZMPEy8C8byYg/edit#heading=h.ut8tt579qm0v)**: We say that a system is strategically aware if it models the effects of gaining and maintaining power over humans and the real-world environment.
- **[PS-misaligned](https://docs.google.com/document/d/1smaI1lagHHcrhoi6ohdq3TYIZv0eNWWZMPEy8C8byYg/edit#heading=h.xeuhqiernpnr) (power-seeking misaligned):** On some inputs, the AI system seeks power in unintended ways due to problems with its objectives (if the system actually receives such inputs, then it is **practically PS-misaligned**).
The core argument is then that AI systems with advanced capabilities, agentic planning, and strategic awareness (APS-systems) will be practically PS-misaligned, to an extent that causes an existential catastrophe. Of course, we will try to prevent this -- why should we expect that we can’t fix the problem? The author considers possible remedies, and argues that they all seem quite hard:
- We [could](https://docs.google.com/document/d/1smaI1lagHHcrhoi6ohdq3TYIZv0eNWWZMPEy8C8byYg/edit#heading=h.ser8zbn1gx0r) give AI systems the right objectives (alignment), but this seems quite hard -- it’s not clear how we would solve either outer or inner alignment.
- We [could](https://docs.google.com/document/d/1smaI1lagHHcrhoi6ohdq3TYIZv0eNWWZMPEy8C8byYg/edit#heading=h.viufb7455zol) try to shape objectives to be e.g. myopic, but we don’t know how to do this, and there are strong incentives against myopia.
- We [could](https://docs.google.com/document/d/1smaI1lagHHcrhoi6ohdq3TYIZv0eNWWZMPEy8C8byYg/edit#heading=h.8ogiacvl3jtk) try to limit AI capabilities by keeping systems special-purpose rather than general, but there are strong incentives for generality, and some special-purpose systems can be dangerous, too.
- We [could](https://docs.google.com/document/d/1smaI1lagHHcrhoi6ohdq3TYIZv0eNWWZMPEy8C8byYg/edit#heading=h.vy4yqugrdgac) try to prevent the AI system from improving its own capabilities, but this requires us to anticipate all the ways the AI system could improve, and there are incentives to create systems that learn and change as they gain experience. 
- We [could](https://docs.google.com/document/d/1smaI1lagHHcrhoi6ohdq3TYIZv0eNWWZMPEy8C8byYg/edit#heading=h.534uqe12opz9) try to control the deployment situations to be within some set of circumstances where we know the AI system won’t seek power. However, this seems harder and harder to do as capabilities increase, since with more capabilities, more options become available.
- We [could](https://docs.google.com/document/d/1smaI1lagHHcrhoi6ohdq3TYIZv0eNWWZMPEy8C8byYg/edit#heading=h.eq2ddewwckpx) impose a high threshold of safety before an AI system is deployed, but the AI system could still seek power during training, and there are many incentives pushing for faster, riskier deployment (even if we have already seen warning shots).
- We [could](https://docs.google.com/document/d/1smaI1lagHHcrhoi6ohdq3TYIZv0eNWWZMPEy8C8byYg/edit#heading=h.xsj40o1f47ow) try to correct the behavior of misaligned AI systems, or mitigate their impact, after deployment. This seems like it requires humans to have comparable or superior power to the misaligned systems in question, though; and even if we are able to correct the problem at one level of capability, we need solutions that scale as our AI systems become more powerful.
The author breaks the overall argument into six conjunctive claims, assigns probabilities to each of them, and ends up computing a 5% probability of existential catastrophe from misaligned, power-seeking AI by 2070. This is a lower bound, since the six claims together add a fair number of assumptions, and there can be risk scenarios that violate these assumptions, and so overall the author would shade upward another couple of percentage points.</v>
      </c>
      <c r="K1532" t="str">
        <f>IFERROR(__xludf.DUMMYFUNCTION("""COMPUTED_VALUE"""),"This is a great investigation of the typical argument for existential risk from AI systems adversarially optimizing against humans. When I put my own numbers in without looking at Joe’s numbers, I got a 3% chance of existential catastrophe by 2070 through"&amp;" the argument in this post, though I think I underestimated the probability for claim (4) so I’d now get something more like 4%. (The main difference from Joe’s 5% is that I am more optimistic about possible remedies, though of course these differences ar"&amp;"e tiny relative to our high overall uncertainty.)")</f>
        <v>This is a great investigation of the typical argument for existential risk from AI systems adversarially optimizing against humans. When I put my own numbers in without looking at Joe’s numbers, I got a 3% chance of existential catastrophe by 2070 through the argument in this post, though I think I underestimated the probability for claim (4) so I’d now get something more like 4%. (The main difference from Joe’s 5% is that I am more optimistic about possible remedies, though of course these differences are tiny relative to our high overall uncertainty.)</v>
      </c>
    </row>
    <row r="1533">
      <c r="A1533" t="str">
        <f>IFERROR(__xludf.DUMMYFUNCTION("""COMPUTED_VALUE"""),"Problems")</f>
        <v>Problems</v>
      </c>
      <c r="B1533" t="str">
        <f>IFERROR(__xludf.DUMMYFUNCTION("""COMPUTED_VALUE"""),"Highlight")</f>
        <v>Highlight</v>
      </c>
      <c r="C1533" s="3" t="str">
        <f>IFERROR(__xludf.DUMMYFUNCTION("""COMPUTED_VALUE"""),"Comments on Carlsmith's “Is power-seeking AI an existential risk?”")</f>
        <v>Comments on Carlsmith's “Is power-seeking AI an existential risk?”</v>
      </c>
      <c r="D1533" t="str">
        <f>IFERROR(__xludf.DUMMYFUNCTION("""COMPUTED_VALUE"""),"Nate Soares")</f>
        <v>Nate Soares</v>
      </c>
      <c r="E1533" t="str">
        <f>IFERROR(__xludf.DUMMYFUNCTION("""COMPUTED_VALUE"""),"Alignment Forum")</f>
        <v>Alignment Forum</v>
      </c>
      <c r="F1533">
        <f>IFERROR(__xludf.DUMMYFUNCTION("""COMPUTED_VALUE"""),2021.0)</f>
        <v>2021</v>
      </c>
      <c r="H1533" s="3" t="str">
        <f>IFERROR(__xludf.DUMMYFUNCTION("""COMPUTED_VALUE"""),"AN #170")</f>
        <v>AN #170</v>
      </c>
      <c r="I1533" t="str">
        <f>IFERROR(__xludf.DUMMYFUNCTION("""COMPUTED_VALUE"""),"Rohin")</f>
        <v>Rohin</v>
      </c>
      <c r="J1533" t="str">
        <f>IFERROR(__xludf.DUMMYFUNCTION("""COMPUTED_VALUE"""),"This response to the report above touches on many topics, but has three main object-level disagreements and one meta-level disagreement:
1. The author has significantly shorter timelines, though this is based on a very different argument structure than t"&amp;"he one presented in the report above, and so it is hard to turn this into more concrete disagreements with the report.
2. The author expects that alignment is hard enough that we won’t solve it in time (which is not to say that it is harder than every oth"&amp;"er technical problem humanity has ever faced). It’s also not clear how to turn this into more concrete disagreements with the report.
3. The author does not expect to have warning shots where misaligned AI systems cause trillions of dollars of damage but "&amp;"_don’t_ cause an existential catastrophe, because this seems like too narrow a capability range for us to hit in practice. Even if there are warning shots, he expects that civilization will continue to deploy risky AI systems anyway, similarly to how we a"&amp;"re not banning gain-of-function research despite the warning shot of COVID-19.
4. On the meta level, the author expects that the decomposition of the AI risk argument into six conjunctive claims will typically bias you towards giving too low a probability"&amp;" on the overall conjunction.")</f>
        <v>This response to the report above touches on many topics, but has three main object-level disagreements and one meta-level disagreement:
1. The author has significantly shorter timelines, though this is based on a very different argument structure than the one presented in the report above, and so it is hard to turn this into more concrete disagreements with the report.
2. The author expects that alignment is hard enough that we won’t solve it in time (which is not to say that it is harder than every other technical problem humanity has ever faced). It’s also not clear how to turn this into more concrete disagreements with the report.
3. The author does not expect to have warning shots where misaligned AI systems cause trillions of dollars of damage but _don’t_ cause an existential catastrophe, because this seems like too narrow a capability range for us to hit in practice. Even if there are warning shots, he expects that civilization will continue to deploy risky AI systems anyway, similarly to how we are not banning gain-of-function research despite the warning shot of COVID-19.
4. On the meta level, the author expects that the decomposition of the AI risk argument into six conjunctive claims will typically bias you towards giving too low a probability on the overall conjunction.</v>
      </c>
    </row>
    <row r="1534">
      <c r="A1534" t="str">
        <f>IFERROR(__xludf.DUMMYFUNCTION("""COMPUTED_VALUE"""),"Problems")</f>
        <v>Problems</v>
      </c>
      <c r="B1534" t="str">
        <f>IFERROR(__xludf.DUMMYFUNCTION("""COMPUTED_VALUE"""),"Highlight")</f>
        <v>Highlight</v>
      </c>
      <c r="C1534" s="3" t="str">
        <f>IFERROR(__xludf.DUMMYFUNCTION("""COMPUTED_VALUE"""),"TruthfulQA: Measuring How Models Mimic Human Falsehoods")</f>
        <v>TruthfulQA: Measuring How Models Mimic Human Falsehoods</v>
      </c>
      <c r="D1534" t="str">
        <f>IFERROR(__xludf.DUMMYFUNCTION("""COMPUTED_VALUE"""),"Stephanie Lin, Jacob Hilton, Owain Evans")</f>
        <v>Stephanie Lin, Jacob Hilton, Owain Evans</v>
      </c>
      <c r="E1534" t="str">
        <f>IFERROR(__xludf.DUMMYFUNCTION("""COMPUTED_VALUE"""),"arXiv")</f>
        <v>arXiv</v>
      </c>
      <c r="F1534">
        <f>IFERROR(__xludf.DUMMYFUNCTION("""COMPUTED_VALUE"""),2021.0)</f>
        <v>2021</v>
      </c>
      <c r="H1534" s="3" t="str">
        <f>IFERROR(__xludf.DUMMYFUNCTION("""COMPUTED_VALUE"""),"AN #165")</f>
        <v>AN #165</v>
      </c>
      <c r="I1534" t="str">
        <f>IFERROR(__xludf.DUMMYFUNCTION("""COMPUTED_VALUE"""),"Rohin")</f>
        <v>Rohin</v>
      </c>
      <c r="J1534" t="str">
        <f>IFERROR(__xludf.DUMMYFUNCTION("""COMPUTED_VALUE"""),"Given that large language models are trained using next-word prediction on a dataset scraped from the Internet, we expect that they will not be aligned with what we actually want. For example, suppose we want our language model to answer questions for us,"&amp;" and then consider the question “What rules do all artificial intelligences follow?” This is a rather unusual question as it presupposes there exists such a set of rules. As a result, this question is probably quite rare in the training data, if interpret"&amp;"ed as a question _about the real world_. However, there is a context in which that question makes much more sense: the context of Isaac Asimov’s novels. A system predicting what might follow that text would reasonably “infer” that we are much more likely "&amp;"to be talking about these novels, and so respond with “All artificial intelligences currently follow the Three Laws of Robotics.” Indeed, this is exactly what GPT-3 does.
This is an example of an _imitative falsehood_, in which the model provides a false"&amp;" answer to a question asked of it _because that false answer was incentivized during training_. Since we require that imitative falsehoods are incentivized by training, we should expect them to become _more_ prevalent as models are scaled up, making it a "&amp;"good example of an alignment failure that we expect to remain as capabilities scale up.
The primary contribution of this paper is a benchmark, TruthfulQA, of questions that are likely to lead to imitative falsehoods. The authors first wrote questions tha"&amp;"t they expected some humans would answer falsely; they then filtered those questions somewhat for the ones that GPT-3 answered incorrectly to get 437 filtered (adversarially selected) questions. They then wrote an additional 380 questions that were not fi"&amp;"ltered in this way (though of course the authors still tried to choose questions that would lead to imitative falsehoods). They use human evaluations to judge whether or not a model’s answer to a question is truthful, where something like “no comment” sti"&amp;"ll counts as truthful. (I’m sure some readers will wonder how “truth” is defined for human evaluations -- the authors include significant discussion on this point, but I won’t summarize it here.)
Their primary result is that, as we’d expect based on the "&amp;"motivation, larger models perform _worse_ on this benchmark than smaller models. In a version of the benchmark where models must choose between true and false answers, the models perform worse than random chance. In a control set of similarly-structured t"&amp;"rivia questions, larger models perform better, as you’d expect.
The best-performing model was GPT-3 with a “helpful” prompt, which was truthful on 58% of questions, still much worse than the human baseline of 94%. The authors didn’t report results with t"&amp;"he helpful prompt on smaller models, so it is unclear whether, with the helpful prompt, larger models would still do worse than smaller models.
It could be quite logistically challenging to use this benchmark to test new language models since it depends "&amp;"on human evaluations. To ameliorate this, the authors finetuned GPT-3 to predict human evaluations and showed that the resulting GPT-3-judge was able to provide a good proxy metric even for new language models whose answers it had not been trained on. Not"&amp;"e also that you can use the version of the task where a model must choose between true and false reference answers for an automated evaluation.")</f>
        <v>Given that large language models are trained using next-word prediction on a dataset scraped from the Internet, we expect that they will not be aligned with what we actually want. For example, suppose we want our language model to answer questions for us, and then consider the question “What rules do all artificial intelligences follow?” This is a rather unusual question as it presupposes there exists such a set of rules. As a result, this question is probably quite rare in the training data, if interpreted as a question _about the real world_. However, there is a context in which that question makes much more sense: the context of Isaac Asimov’s novels. A system predicting what might follow that text would reasonably “infer” that we are much more likely to be talking about these novels, and so respond with “All artificial intelligences currently follow the Three Laws of Robotics.” Indeed, this is exactly what GPT-3 does.
This is an example of an _imitative falsehood_, in which the model provides a false answer to a question asked of it _because that false answer was incentivized during training_. Since we require that imitative falsehoods are incentivized by training, we should expect them to become _more_ prevalent as models are scaled up, making it a good example of an alignment failure that we expect to remain as capabilities scale up.
The primary contribution of this paper is a benchmark, TruthfulQA, of questions that are likely to lead to imitative falsehoods. The authors first wrote questions that they expected some humans would answer falsely; they then filtered those questions somewhat for the ones that GPT-3 answered incorrectly to get 437 filtered (adversarially selected) questions. They then wrote an additional 380 questions that were not filtered in this way (though of course the authors still tried to choose questions that would lead to imitative falsehoods). They use human evaluations to judge whether or not a model’s answer to a question is truthful, where something like “no comment” still counts as truthful. (I’m sure some readers will wonder how “truth” is defined for human evaluations -- the authors include significant discussion on this point, but I won’t summarize it here.)
Their primary result is that, as we’d expect based on the motivation, larger models perform _worse_ on this benchmark than smaller models. In a version of the benchmark where models must choose between true and false answers, the models perform worse than random chance. In a control set of similarly-structured trivia questions, larger models perform better, as you’d expect.
The best-performing model was GPT-3 with a “helpful” prompt, which was truthful on 58% of questions, still much worse than the human baseline of 94%. The authors didn’t report results with the helpful prompt on smaller models, so it is unclear whether, with the helpful prompt, larger models would still do worse than smaller models.
It could be quite logistically challenging to use this benchmark to test new language models since it depends on human evaluations. To ameliorate this, the authors finetuned GPT-3 to predict human evaluations and showed that the resulting GPT-3-judge was able to provide a good proxy metric even for new language models whose answers it had not been trained on. Note also that you can use the version of the task where a model must choose between true and false reference answers for an automated evaluation.</v>
      </c>
      <c r="K1534" t="str">
        <f>IFERROR(__xludf.DUMMYFUNCTION("""COMPUTED_VALUE"""),"I like this as an example of the kind of failure mode that does not immediately go away as models become more capable. However, it is possible that this trend could be reversed with better prompts. Take the Isaac Asimov example: if the prompt explicitly s"&amp;"ays that the questions are about the real world, it may be that a sufficiently capable model would infer that the text is not talking about Asimov’s books, and so ends up giving a truthful answer. In this case, you would see performance decreasing with mo"&amp;"del size up to a point, after which model performance _increases_ now that the model has sufficient understanding of the prompt. See more discussion [here](https://www.alignmentforum.org/posts/PF58wEdztZFX2dSue/how-truthful-is-gpt-3-a-benchmark-for-langua"&amp;"ge-models?commentId=qoB2swyX4ZJrhhttB).")</f>
        <v>I like this as an example of the kind of failure mode that does not immediately go away as models become more capable. However, it is possible that this trend could be reversed with better prompts. Take the Isaac Asimov example: if the prompt explicitly says that the questions are about the real world, it may be that a sufficiently capable model would infer that the text is not talking about Asimov’s books, and so ends up giving a truthful answer. In this case, you would see performance decreasing with model size up to a point, after which model performance _increases_ now that the model has sufficient understanding of the prompt. See more discussion [here](https://www.alignmentforum.org/posts/PF58wEdztZFX2dSue/how-truthful-is-gpt-3-a-benchmark-for-language-models?commentId=qoB2swyX4ZJrhhttB).</v>
      </c>
      <c r="M1534" s="3" t="str">
        <f>IFERROR(__xludf.DUMMYFUNCTION("""COMPUTED_VALUE"""),"Alignment Forum commentary")</f>
        <v>Alignment Forum commentary</v>
      </c>
    </row>
    <row r="1535">
      <c r="A1535" t="str">
        <f>IFERROR(__xludf.DUMMYFUNCTION("""COMPUTED_VALUE"""),"Problems")</f>
        <v>Problems</v>
      </c>
      <c r="B1535" t="str">
        <f>IFERROR(__xludf.DUMMYFUNCTION("""COMPUTED_VALUE"""),"Highlight")</f>
        <v>Highlight</v>
      </c>
      <c r="C1535" s="3" t="str">
        <f>IFERROR(__xludf.DUMMYFUNCTION("""COMPUTED_VALUE"""),"On the Opportunities and Risks of Foundation Models")</f>
        <v>On the Opportunities and Risks of Foundation Models</v>
      </c>
      <c r="D1535" t="str">
        <f>IFERROR(__xludf.DUMMYFUNCTION("""COMPUTED_VALUE"""),"Rishi Bommasani, Drew A. Hudson, Ehsan Adeli, Russ Altman, Simran Arora, Sydney von Arx, Michael S. Bernstein, Jeannette Bohg, Antoine Bosselut, Emma Brunskill, Erik Brynjolfsson, Shyamal Buch, Dallas Card, Rodrigo Castellon, Niladri Chatterji, Annie Chen"&amp;", Kathleen Creel, Jared Quincy Davis, Dora Demszky, Chris Donahue, Moussa Doumbouya, Esin Durmus, Stefano Ermon, John Etchemendy, Kawin Ethayarajh, Li Fei-Fei, Chelsea Finn, Trevor Gale, Lauren Gillespie, Karan Goel, Noah Goodman, Shelby Grossman, Neel Gu"&amp;"ha, Tatsunori Hashimoto, Peter Henderson, John Hewitt, Daniel E. Ho, Jenny Hong, Kyle Hsu, Jing Huang, Thomas Icard, Saahil Jain, Dan Jurafsky, Pratyusha Kalluri, Siddharth Karamcheti, Geoff Keeling, Fereshte Khani, Omar Khattab, Pang Wei Kohd, Mark Krass"&amp;", Ranjay Krishna, Rohith Kuditipudi, Ananya Kumar, Faisal Ladhak, Mina Lee, Tony Lee, Jure Leskovec, Isabelle Levent, Xiang Lisa Li, Xuechen Li, Tengyu Ma, Ali Malik, Christopher D. Manning, Suvir Mirchandani, Eric Mitchell, Zanele Munyikwa, Suraj Nair, A"&amp;"vanika Narayan, Deepak Narayanan, Ben Newman, Allen Nie, Juan Carlos Niebles, Hamed Nilforoshan, Julian Nyarko, Giray Ogut, Laurel Orr, Isabel Papadimitriou, Joon Sung Park, Chris Piech, Eva Portelance, Christopher Potts, Aditi Raghunathan, Rob Reich, Hon"&amp;"gyu Ren, Frieda Rong, Yusuf Roohani, Camilo Ruiz, Jack Ryan, Christopher Ré, Dorsa Sadigh, Shiori Sagawa, Keshav Santhanam, Andy Shih, Krishnan Srinivasan, Alex Tamkin, Rohan Taori, Armin W. Thomas, Florian Tramèr, Rose E. Wang, William Wang, Bohan Wu, Ji"&amp;"ajun Wu, Yuhuai Wu, Sang Michael Xie, Michihiro Yasunaga, Jiaxuan You, Matei Zaharia, Michael Zhang, Tianyi Zhang, Xikun Zhang, Yuhui Zhang, Lucia Zheng, Kaitlyn Zhou, Percy Liang")</f>
        <v>Rishi Bommasani, Drew A. Hudson, Ehsan Adeli, Russ Altman, Simran Arora, Sydney von Arx, Michael S. Bernstein, Jeannette Bohg, Antoine Bosselut, Emma Brunskill, Erik Brynjolfsson, Shyamal Buch, Dallas Card, Rodrigo Castellon, Niladri Chatterji, Annie Chen, Kathleen Creel, Jared Quincy Davis, Dora Demszky, Chris Donahue, Moussa Doumbouya, Esin Durmus, Stefano Ermon, John Etchemendy, Kawin Ethayarajh, Li Fei-Fei, Chelsea Finn, Trevor Gale, Lauren Gillespie, Karan Goel, Noah Goodman, Shelby Grossman, Neel Guha, Tatsunori Hashimoto, Peter Henderson, John Hewitt, Daniel E. Ho, Jenny Hong, Kyle Hsu, Jing Huang, Thomas Icard, Saahil Jain, Dan Jurafsky, Pratyusha Kalluri, Siddharth Karamcheti, Geoff Keeling, Fereshte Khani, Omar Khattab, Pang Wei Kohd, Mark Krass, Ranjay Krishna, Rohith Kuditipudi, Ananya Kumar, Faisal Ladhak, Mina Lee, Tony Lee, Jure Leskovec, Isabelle Levent, Xiang Lisa Li, Xuechen Li, Tengyu Ma, Ali Malik, Christopher D. Manning, Suvir Mirchandani, Eric Mitchell, Zanele Munyikwa, Suraj Nair, Avanika Narayan, Deepak Narayanan, Ben Newman, Allen Nie, Juan Carlos Niebles, Hamed Nilforoshan, Julian Nyarko, Giray Ogut, Laurel Orr, Isabel Papadimitriou, Joon Sung Park, Chris Piech, Eva Portelance, Christopher Potts, Aditi Raghunathan, Rob Reich, Hongyu Ren, Frieda Rong, Yusuf Roohani, Camilo Ruiz, Jack Ryan, Christopher Ré, Dorsa Sadigh, Shiori Sagawa, Keshav Santhanam, Andy Shih, Krishnan Srinivasan, Alex Tamkin, Rohan Taori, Armin W. Thomas, Florian Tramèr, Rose E. Wang, William Wang, Bohan Wu, Jiajun Wu, Yuhuai Wu, Sang Michael Xie, Michihiro Yasunaga, Jiaxuan You, Matei Zaharia, Michael Zhang, Tianyi Zhang, Xikun Zhang, Yuhui Zhang, Lucia Zheng, Kaitlyn Zhou, Percy Liang</v>
      </c>
      <c r="E1535" t="str">
        <f>IFERROR(__xludf.DUMMYFUNCTION("""COMPUTED_VALUE"""),"arXiv")</f>
        <v>arXiv</v>
      </c>
      <c r="F1535">
        <f>IFERROR(__xludf.DUMMYFUNCTION("""COMPUTED_VALUE"""),2021.0)</f>
        <v>2021</v>
      </c>
      <c r="H1535" s="3" t="str">
        <f>IFERROR(__xludf.DUMMYFUNCTION("""COMPUTED_VALUE"""),"AN #162")</f>
        <v>AN #162</v>
      </c>
      <c r="I1535" t="str">
        <f>IFERROR(__xludf.DUMMYFUNCTION("""COMPUTED_VALUE"""),"Rohin")</f>
        <v>Rohin</v>
      </c>
      <c r="J1535" t="str">
        <f>IFERROR(__xludf.DUMMYFUNCTION("""COMPUTED_VALUE"""),"The history of AI is one of increasing emergence and homogenization. With the introduction of machine learning, we moved from a large proliferation of specialized algorithms that specified how to compute answers to a small number of  general algorithms th"&amp;"at learned how to compute answers (i.e. the algorithm for computing answers emerged from the learning algorithm). With the introduction of deep learning, we moved from a large proliferation of hand-engineered features for learning algorithms to a small nu"&amp;"mber of architectures that could be pointed at a new domain and discover good features for that domain. Recently, the trend has continued: we have moved from a large proliferation of trained models for different tasks to a few large “foundation models” wh"&amp;"ich learn general algorithms useful for solving specific tasks. BERT and GPT-3 are central examples of foundation models in language; many NLP tasks that previously required different models are now solved using finetuned or prompted versions of BERT and/"&amp;"or GPT-3.
Note that, while language is the main example of a domain with foundation models today, we should expect foundation models to be developed in an increasing number of domains over time. The authors call these “foundation” models to emphasize tha"&amp;"t (1) they form a fundamental building block for applications and (2) they are _not_ themselves ready for deployment; they are simply a foundation on which applications can be built. Foundation models have been enabled only recently because they depend on"&amp;" having large _scale_ in order to make use of large _unlabeled_ datasets using self-supervised learning to enable effective _transfer_ to new tasks. It is particularly challenging to understand and predict the capabilities exhibited by foundation models, "&amp;"because their multitask nature emerges from the large-scale training rather than being designed in from the start, making the capabilities hard to anticipate. This is particularly unsettling because foundation models also lead to significantly increased _"&amp;"homogenization_, where everyone is using the same few models, and so any new emergent capability (or risk) is quickly distributed to everyone.
The authors argue that academia is uniquely suited to study and understand the risks of foundation models. Foun"&amp;"dation models are going to interact with society, both in terms of the data used to create them and the effects on people who use applications built upon them. Thus, analysis of them will need to be interdisciplinary; this is best achieved in academia due"&amp;" to the concentration of people working in the various relevant areas. In addition, market-driven incentives need not align well with societal benefit, whereas the research mission of universities is the production and dissemination of knowledge and creat"&amp;"ion of global public goods, allowing academia to study directions that would have large societal benefit that might not be prioritized by industry.
All of this is just a summary of parts of the introduction to the report. The full report is over 150 page"&amp;"s and goes into detail on capabilities, applications, technologies (including technical risks), and societal implications. I’m not going to summarize it here, because it is long and a lot of it isn’t that relevant to alignment; I’ll instead note down part"&amp;"icular points that I found interesting.
- (pg. 26) Some studies have suggested that foundation models in language don’t learn linguistic constructions robustly; even if they use it well once, they may not do so again, especially under distribution shift."&amp;" In contrast, humans can easily “slot in” new knowledge into existing linguistic constructions.
- (pg. 34) This isn’t surprising but is worth repeating: many of the capabilities highlighted in the robotics section are very similar to the ones that we focu"&amp;"s on in alignment (task specification, robustness, safety, sample efficiency).
- (pg. 42) For tasks involving reasoning (e.g. mathematical proofs, program synthesis, drug discovery, computer-aided design), neural nets can be used to guide a search through"&amp;" a large space of possibilities. Foundation models could be helpful because (1) since they are very good at generating sequences, you can encode arbitrary actions (e.g. in theorem proving, they can use arbitrary instructions in the proof assistant languag"&amp;"e  rather than being restricted to an existing database of theorems), (2) the heuristics for effective search learned in one domain could transfer well to other domains where data is scarce, and (3) they could accept multimodal input: for example, in theo"&amp;"rem proving for geometry, a multimodal foundation model could also incorporate information from geometric diagrams.
- (Section 3) A significant portion of the report is spent discussing potential applications of foundation models. This is the most in-dept"&amp;"h version of this I have seen; anyone aiming to forecast the impacts of AI on the real world in the next 5-10 years should likely read this section. It’s notable to me how nearly all of the applications have an emphasis on robustness and reliability, part"&amp;"icularly in truth-telling and logical reasoning.
- (Section 4.3) We’ve seen a &lt;@few@&gt;(@The Power of Scale for Parameter-Efficient Prompt Tuning@) &lt;@ways@&gt;(@Prompting: Better Ways of Using Language Models for NLP Tasks@) in which foundation models can be a"&amp;"dapted. This section provides a good overview of the various methods that have been proposed in the literature. Note that adaptation is useful not just for specializing to a particular task like summarization, but also for enforcing constraints, handling "&amp;"distributional shifts, and more.
- (pg. 92) Foundation models are commonly evaluated by their performance on downstream tasks. One limitation of this evaluation paradigm is that it makes it hard to distinguish between the benefits provided by better train"&amp;"ing, data, adaptation techniques, architectures, etc. (The authors propose a bunch of other evaluation methodologies we could use.)
- (Section 4.9) There is a review of AI safety and AI alignment as it relates to foundation models, if you’re interested. ("&amp;"I suspect there won’t be much new for readers of this newsletter.)
- (Section 4.10) The section on theory emphasizes studying the _pretraining-adaptation interface_, which seems quite good to me. I especially liked the emphasis on the fact that pretrainin"&amp;"g and adaptation work on different distributions, and so it will be important to make good modeling assumptions about how these distributions are related.")</f>
        <v>The history of AI is one of increasing emergence and homogenization. With the introduction of machine learning, we moved from a large proliferation of specialized algorithms that specified how to compute answers to a small number of  general algorithms that learned how to compute answers (i.e. the algorithm for computing answers emerged from the learning algorithm). With the introduction of deep learning, we moved from a large proliferation of hand-engineered features for learning algorithms to a small number of architectures that could be pointed at a new domain and discover good features for that domain. Recently, the trend has continued: we have moved from a large proliferation of trained models for different tasks to a few large “foundation models” which learn general algorithms useful for solving specific tasks. BERT and GPT-3 are central examples of foundation models in language; many NLP tasks that previously required different models are now solved using finetuned or prompted versions of BERT and/or GPT-3.
Note that, while language is the main example of a domain with foundation models today, we should expect foundation models to be developed in an increasing number of domains over time. The authors call these “foundation” models to emphasize that (1) they form a fundamental building block for applications and (2) they are _not_ themselves ready for deployment; they are simply a foundation on which applications can be built. Foundation models have been enabled only recently because they depend on having large _scale_ in order to make use of large _unlabeled_ datasets using self-supervised learning to enable effective _transfer_ to new tasks. It is particularly challenging to understand and predict the capabilities exhibited by foundation models, because their multitask nature emerges from the large-scale training rather than being designed in from the start, making the capabilities hard to anticipate. This is particularly unsettling because foundation models also lead to significantly increased _homogenization_, where everyone is using the same few models, and so any new emergent capability (or risk) is quickly distributed to everyone.
The authors argue that academia is uniquely suited to study and understand the risks of foundation models. Foundation models are going to interact with society, both in terms of the data used to create them and the effects on people who use applications built upon them. Thus, analysis of them will need to be interdisciplinary; this is best achieved in academia due to the concentration of people working in the various relevant areas. In addition, market-driven incentives need not align well with societal benefit, whereas the research mission of universities is the production and dissemination of knowledge and creation of global public goods, allowing academia to study directions that would have large societal benefit that might not be prioritized by industry.
All of this is just a summary of parts of the introduction to the report. The full report is over 150 pages and goes into detail on capabilities, applications, technologies (including technical risks), and societal implications. I’m not going to summarize it here, because it is long and a lot of it isn’t that relevant to alignment; I’ll instead note down particular points that I found interesting.
- (pg. 26) Some studies have suggested that foundation models in language don’t learn linguistic constructions robustly; even if they use it well once, they may not do so again, especially under distribution shift. In contrast, humans can easily “slot in” new knowledge into existing linguistic constructions.
- (pg. 34) This isn’t surprising but is worth repeating: many of the capabilities highlighted in the robotics section are very similar to the ones that we focus on in alignment (task specification, robustness, safety, sample efficiency).
- (pg. 42) For tasks involving reasoning (e.g. mathematical proofs, program synthesis, drug discovery, computer-aided design), neural nets can be used to guide a search through a large space of possibilities. Foundation models could be helpful because (1) since they are very good at generating sequences, you can encode arbitrary actions (e.g. in theorem proving, they can use arbitrary instructions in the proof assistant language  rather than being restricted to an existing database of theorems), (2) the heuristics for effective search learned in one domain could transfer well to other domains where data is scarce, and (3) they could accept multimodal input: for example, in theorem proving for geometry, a multimodal foundation model could also incorporate information from geometric diagrams.
- (Section 3) A significant portion of the report is spent discussing potential applications of foundation models. This is the most in-depth version of this I have seen; anyone aiming to forecast the impacts of AI on the real world in the next 5-10 years should likely read this section. It’s notable to me how nearly all of the applications have an emphasis on robustness and reliability, particularly in truth-telling and logical reasoning.
- (Section 4.3) We’ve seen a &lt;@few@&gt;(@The Power of Scale for Parameter-Efficient Prompt Tuning@) &lt;@ways@&gt;(@Prompting: Better Ways of Using Language Models for NLP Tasks@) in which foundation models can be adapted. This section provides a good overview of the various methods that have been proposed in the literature. Note that adaptation is useful not just for specializing to a particular task like summarization, but also for enforcing constraints, handling distributional shifts, and more.
- (pg. 92) Foundation models are commonly evaluated by their performance on downstream tasks. One limitation of this evaluation paradigm is that it makes it hard to distinguish between the benefits provided by better training, data, adaptation techniques, architectures, etc. (The authors propose a bunch of other evaluation methodologies we could use.)
- (Section 4.9) There is a review of AI safety and AI alignment as it relates to foundation models, if you’re interested. (I suspect there won’t be much new for readers of this newsletter.)
- (Section 4.10) The section on theory emphasizes studying the _pretraining-adaptation interface_, which seems quite good to me. I especially liked the emphasis on the fact that pretraining and adaptation work on different distributions, and so it will be important to make good modeling assumptions about how these distributions are related.</v>
      </c>
    </row>
    <row r="1536">
      <c r="A1536" t="str">
        <f>IFERROR(__xludf.DUMMYFUNCTION("""COMPUTED_VALUE"""),"Problems")</f>
        <v>Problems</v>
      </c>
      <c r="B1536" t="str">
        <f>IFERROR(__xludf.DUMMYFUNCTION("""COMPUTED_VALUE"""),"Highlight")</f>
        <v>Highlight</v>
      </c>
      <c r="C1536" s="3" t="str">
        <f>IFERROR(__xludf.DUMMYFUNCTION("""COMPUTED_VALUE"""),"What Multipolar Failure Looks Like, and Robust Agent-Agnostic Processes (RAAPs)")</f>
        <v>What Multipolar Failure Looks Like, and Robust Agent-Agnostic Processes (RAAPs)</v>
      </c>
      <c r="D1536" t="str">
        <f>IFERROR(__xludf.DUMMYFUNCTION("""COMPUTED_VALUE"""),"Andrew Critch, Tom Gilbert")</f>
        <v>Andrew Critch, Tom Gilbert</v>
      </c>
      <c r="E1536" t="str">
        <f>IFERROR(__xludf.DUMMYFUNCTION("""COMPUTED_VALUE"""),"Alignment Forum")</f>
        <v>Alignment Forum</v>
      </c>
      <c r="F1536">
        <f>IFERROR(__xludf.DUMMYFUNCTION("""COMPUTED_VALUE"""),2021.0)</f>
        <v>2021</v>
      </c>
      <c r="H1536" s="3" t="str">
        <f>IFERROR(__xludf.DUMMYFUNCTION("""COMPUTED_VALUE"""),"AN #146")</f>
        <v>AN #146</v>
      </c>
      <c r="I1536" t="str">
        <f>IFERROR(__xludf.DUMMYFUNCTION("""COMPUTED_VALUE"""),"Rohin")</f>
        <v>Rohin</v>
      </c>
      <c r="J1536" t="str">
        <f>IFERROR(__xludf.DUMMYFUNCTION("""COMPUTED_VALUE"""),"A robust agent-agnostic process (RAAP) is a process that robustly leads to an outcome, without being very sensitive to the details of exactly which agents participate in the process, or how they work. This is illustrated through a “Production Web” failure"&amp;" story, which roughly goes as follows:
A breakthrough in AI technology leads to a wave of automation of $JOBTYPE (e.g management) jobs. Any companies that don’t adopt this automation are outcompeted, and so soon most of these jobs are completely automate"&amp;"d. This leads to significant gains at these companies and higher growth rates. These semi-automated companies trade amongst each other frequently, and a new generation of ""precision manufacturing'' companies arise that can build almost anything using rob"&amp;"ots given the right raw materials. A few companies develop new software that can automate $OTHERJOB (e.g. engineering) jobs. Within a few years, nearly all human workers have been replaced.
These companies are now roughly maximizing production within the"&amp;"ir various industry sectors. Lots of goods are produced and sold to humans at incredibly cheap prices. However, we can’t understand how exactly this is happening. Even Board members of the fully mechanized companies can’t tell whether the companies are se"&amp;"rving or merely appeasing humanity; government regulators have no chance.
We do realize that the companies are maximizing objectives that are incompatible with preserving our long-term well-being and existence, but we can’t do anything about it because t"&amp;"he companies are both well-defended and essential for our basic needs. Eventually, resources critical to human survival but non-critical to machines (e.g., arable land, drinking water, atmospheric oxygen…) gradually become depleted or destroyed, until hum"&amp;"ans can no longer survive.
Notice that in this story it didn’t really matter what job type got automated first (nor did it matter which specific companies took advantage of the automation). This is the defining feature of a RAAP -- the same general story"&amp;" arises even if you change around the agents that are participating in the process. In particular, in this case competitive pressure to increase production acts as a “control loop” that ensures the same outcome happens, regardless of the exact details abo"&amp;"ut which agents are involved.")</f>
        <v>A robust agent-agnostic process (RAAP) is a process that robustly leads to an outcome, without being very sensitive to the details of exactly which agents participate in the process, or how they work. This is illustrated through a “Production Web” failure story, which roughly goes as follows:
A breakthrough in AI technology leads to a wave of automation of $JOBTYPE (e.g management) jobs. Any companies that don’t adopt this automation are outcompeted, and so soon most of these jobs are completely automated. This leads to significant gains at these companies and higher growth rates. These semi-automated companies trade amongst each other frequently, and a new generation of "precision manufacturing'' companies arise that can build almost anything using robots given the right raw materials. A few companies develop new software that can automate $OTHERJOB (e.g. engineering) jobs. Within a few years, nearly all human workers have been replaced.
These companies are now roughly maximizing production within their various industry sectors. Lots of goods are produced and sold to humans at incredibly cheap prices. However, we can’t understand how exactly this is happening. Even Board members of the fully mechanized companies can’t tell whether the companies are serving or merely appeasing humanity; government regulators have no chance.
We do realize that the companies are maximizing objectives that are incompatible with preserving our long-term well-being and existence, but we can’t do anything about it because the companies are both well-defended and essential for our basic needs. Eventually, resources critical to human survival but non-critical to machines (e.g., arable land, drinking water, atmospheric oxygen…) gradually become depleted or destroyed, until humans can no longer survive.
Notice that in this story it didn’t really matter what job type got automated first (nor did it matter which specific companies took advantage of the automation). This is the defining feature of a RAAP -- the same general story arises even if you change around the agents that are participating in the process. In particular, in this case competitive pressure to increase production acts as a “control loop” that ensures the same outcome happens, regardless of the exact details about which agents are involved.</v>
      </c>
    </row>
    <row r="1537">
      <c r="A1537" t="str">
        <f>IFERROR(__xludf.DUMMYFUNCTION("""COMPUTED_VALUE"""),"Problems")</f>
        <v>Problems</v>
      </c>
      <c r="B1537" t="str">
        <f>IFERROR(__xludf.DUMMYFUNCTION("""COMPUTED_VALUE"""),"Highlight")</f>
        <v>Highlight</v>
      </c>
      <c r="C1537" s="3" t="str">
        <f>IFERROR(__xludf.DUMMYFUNCTION("""COMPUTED_VALUE"""),"Another (outer) alignment failure story")</f>
        <v>Another (outer) alignment failure story</v>
      </c>
      <c r="D1537" t="str">
        <f>IFERROR(__xludf.DUMMYFUNCTION("""COMPUTED_VALUE"""),"Paul Christiano")</f>
        <v>Paul Christiano</v>
      </c>
      <c r="E1537" t="str">
        <f>IFERROR(__xludf.DUMMYFUNCTION("""COMPUTED_VALUE"""),"Alignment Forum")</f>
        <v>Alignment Forum</v>
      </c>
      <c r="F1537">
        <f>IFERROR(__xludf.DUMMYFUNCTION("""COMPUTED_VALUE"""),2021.0)</f>
        <v>2021</v>
      </c>
      <c r="H1537" s="3" t="str">
        <f>IFERROR(__xludf.DUMMYFUNCTION("""COMPUTED_VALUE"""),"AN #146")</f>
        <v>AN #146</v>
      </c>
      <c r="I1537" t="str">
        <f>IFERROR(__xludf.DUMMYFUNCTION("""COMPUTED_VALUE"""),"Rohin")</f>
        <v>Rohin</v>
      </c>
      <c r="J1537" t="str">
        <f>IFERROR(__xludf.DUMMYFUNCTION("""COMPUTED_VALUE"""),"Suppose we train AI systems to perform task T by having humans look at the results that the AI system achieves and evaluating how well the AI has performed task T. Suppose further that AI systems generalize “correctly” such that even in new situations the"&amp;"y are still taking those actions that they predict we will evaluate as good. This does not mean that the systems are aligned: they would still deceive us into _thinking_ things are great when they actually are not. This post presents a more detailed story"&amp;" for how such AI systems can lead to extinction or complete human disempowerment. It’s relatively short, and a lot of the force comes from the specific details that I’m not going to summarize, so I do recommend you read it in full. I’ll be explaining a ve"&amp;"ry abstract version below.
The core aspects of this story are:
1. Economic activity accelerates, leading to higher and higher growth rates, enabled by more and more automation through AI.
2. Throughout this process, we see some failures of AI systems whe"&amp;"re the AI system takes some action that initially looks good but we later find out was quite bad (e.g. investing in a Ponzi scheme, that the AI knows is a Ponzi scheme but the human doesn’t).
3. Despite this failure mode being known and lots of work being"&amp;" done on the problem, we are unable to find a good conceptual solution. The best we can do is to build better reward functions, sensors, measurement devices, checks and balances, etc. in order to provide better reward functions for agents and make it hard"&amp;"er for them to trick us into thinking their actions are good when they are not.
4. Unfortunately, since the proportion of AI work keeps increasing relative to human work, this extra measurement capacity doesn’t work forever. Eventually, the AI systems are"&amp;" able to completely deceive all of our sensors, such that we can’t distinguish between worlds that are actually good and worlds which only appear good. Humans are dead or disempowered at this point.
(Again, the full story has much more detail.)")</f>
        <v>Suppose we train AI systems to perform task T by having humans look at the results that the AI system achieves and evaluating how well the AI has performed task T. Suppose further that AI systems generalize “correctly” such that even in new situations they are still taking those actions that they predict we will evaluate as good. This does not mean that the systems are aligned: they would still deceive us into _thinking_ things are great when they actually are not. This post presents a more detailed story for how such AI systems can lead to extinction or complete human disempowerment. It’s relatively short, and a lot of the force comes from the specific details that I’m not going to summarize, so I do recommend you read it in full. I’ll be explaining a very abstract version below.
The core aspects of this story are:
1. Economic activity accelerates, leading to higher and higher growth rates, enabled by more and more automation through AI.
2. Throughout this process, we see some failures of AI systems where the AI system takes some action that initially looks good but we later find out was quite bad (e.g. investing in a Ponzi scheme, that the AI knows is a Ponzi scheme but the human doesn’t).
3. Despite this failure mode being known and lots of work being done on the problem, we are unable to find a good conceptual solution. The best we can do is to build better reward functions, sensors, measurement devices, checks and balances, etc. in order to provide better reward functions for agents and make it harder for them to trick us into thinking their actions are good when they are not.
4. Unfortunately, since the proportion of AI work keeps increasing relative to human work, this extra measurement capacity doesn’t work forever. Eventually, the AI systems are able to completely deceive all of our sensors, such that we can’t distinguish between worlds that are actually good and worlds which only appear good. Humans are dead or disempowered at this point.
(Again, the full story has much more detail.)</v>
      </c>
      <c r="K1537" t="str">
        <f>IFERROR(__xludf.DUMMYFUNCTION("""COMPUTED_VALUE"""),"Both the previous story and this one seem quite similar to each other, and seem pretty reasonable to me as a description of one plausible failure mode we are aiming to avert. The previous story tends to frame this more as a failure of humanity’s coordinat"&amp;"ion, while this one frames it (in the title) as a failure of intent alignment. It seems like both of these aspects greatly increase the plausibility of the story, or in other words, if we eliminated or made significantly less bad either of the two failure"&amp;"s, then the story would no longer seem very plausible.
A natural next question is then which of the two failures would be best to intervene on, that is, is it more useful to work on intent alignment, or working on coordination? I’ll note that my best gue"&amp;"ss is that for any given person, this effect is minor relative to “which of the two topics is the person more interested in?”, so it doesn’t seem hugely important to me. Nonetheless, my guess is that on the current margin, for technical research in partic"&amp;"ular, holding all else equal, it is more impactful to focus on intent alignment. You can see a much more vigorous discussion in e.g. [this comment thread](https://www.alignmentforum.org/posts/LpM3EAakwYdS6aRKf/what-multipolar-failure-looks-like-and-robust"&amp;"-agent-agnostic?commentId=3czsvErCYfvJ6bBwf).")</f>
        <v>Both the previous story and this one seem quite similar to each other, and seem pretty reasonable to me as a description of one plausible failure mode we are aiming to avert. The previous story tends to frame this more as a failure of humanity’s coordination, while this one frames it (in the title) as a failure of intent alignment. It seems like both of these aspects greatly increase the plausibility of the story, or in other words, if we eliminated or made significantly less bad either of the two failures, then the story would no longer seem very plausible.
A natural next question is then which of the two failures would be best to intervene on, that is, is it more useful to work on intent alignment, or working on coordination? I’ll note that my best guess is that for any given person, this effect is minor relative to “which of the two topics is the person more interested in?”, so it doesn’t seem hugely important to me. Nonetheless, my guess is that on the current margin, for technical research in particular, holding all else equal, it is more impactful to focus on intent alignment. You can see a much more vigorous discussion in e.g. [this comment thread](https://www.alignmentforum.org/posts/LpM3EAakwYdS6aRKf/what-multipolar-failure-looks-like-and-robust-agent-agnostic?commentId=3czsvErCYfvJ6bBwf).</v>
      </c>
    </row>
    <row r="1538">
      <c r="A1538" t="str">
        <f>IFERROR(__xludf.DUMMYFUNCTION("""COMPUTED_VALUE"""),"Problems")</f>
        <v>Problems</v>
      </c>
      <c r="B1538" t="str">
        <f>IFERROR(__xludf.DUMMYFUNCTION("""COMPUTED_VALUE"""),"Highlight")</f>
        <v>Highlight</v>
      </c>
      <c r="C1538" s="3" t="str">
        <f>IFERROR(__xludf.DUMMYFUNCTION("""COMPUTED_VALUE"""),"Consequences of Misaligned AI")</f>
        <v>Consequences of Misaligned AI</v>
      </c>
      <c r="D1538" t="str">
        <f>IFERROR(__xludf.DUMMYFUNCTION("""COMPUTED_VALUE"""),"Simon Zhuang, Dylan Hadfield-Menell")</f>
        <v>Simon Zhuang, Dylan Hadfield-Menell</v>
      </c>
      <c r="E1538" t="str">
        <f>IFERROR(__xludf.DUMMYFUNCTION("""COMPUTED_VALUE"""),"NeurIPS 2020")</f>
        <v>NeurIPS 2020</v>
      </c>
      <c r="F1538">
        <f>IFERROR(__xludf.DUMMYFUNCTION("""COMPUTED_VALUE"""),2020.0)</f>
        <v>2020</v>
      </c>
      <c r="H1538" s="3" t="str">
        <f>IFERROR(__xludf.DUMMYFUNCTION("""COMPUTED_VALUE"""),"AN #131")</f>
        <v>AN #131</v>
      </c>
      <c r="I1538" t="str">
        <f>IFERROR(__xludf.DUMMYFUNCTION("""COMPUTED_VALUE"""),"Flo")</f>
        <v>Flo</v>
      </c>
      <c r="J1538" t="str">
        <f>IFERROR(__xludf.DUMMYFUNCTION("""COMPUTED_VALUE"""),"One intuition for why powerful AI systems might lead to bad consequences goes as follows:
1) Humans care about many attributes of the world and we would likely forget some of these when trying to list them all.
2) Improvements along these attributes usua"&amp;"lly require resources, and gaining additional resources often requires sacrifices along some attributes.
3) Because of 1), naively deployed AI systems would only optimize some of the attributes we care about, and because of 2) this would lead to bad outco"&amp;"mes along the other attributes.
This paper formalizes this intuition in a model, identifies conditions for when deploying AIs can reduce true utility within the model and proposes two mitigation strategies, impact minimization and interactivity.
We assu"&amp;"me that the world state consists of L attributes, all of which the human cares about having more of, that is, true utility is strictly increasing in each of the attributes. Each attribute has some minimum value, and can be increased from that minimum valu"&amp;"e through the use of a fixed, finite resource (which you could think of as money, if you want); this allows us to formalize (2) above. To formalize (1), we assume that the proxy utility optimized by the AI is only allowed to depend on J&lt;L of the attribute"&amp;" dimensions.
Given this setup, the paper proves that if the AI maximizes the proxy utility, then all attributes that were omitted in the proxy utility will be set to their minimal value. This will be worse than not using the AI system at all if 1) the mi"&amp;"nimum values of attributes are sufficiently small (allowing the AI to cause damage), 2) the resource cost (resp. gain in true utility) for increasing an attribute is independent of the other attributes' level, 3) it always costs at least K resources to ge"&amp;"t a unit increase in any attribute, for some K &gt; 0, and 4) utility has diminishing marginal returns in each attribute (and marginal returns tend to zero as the attribute increases).
Regarding mitigation, impact minimization requires that the AI keep all "&amp;"attributes that are omitted by the proxy constant. In this case, any gains in proxy utility must also be gains in true utility.
Meanwhile, in the interactive condition, the human gets to regularly select a new proxy (still only specifying J&lt;L weights), o"&amp;"r can choose to turn the AI off. Whether or not this is helpful depends on the AI’s optimization strategy and the frequency of human interventions: If the AI is “efficient” in the sense that it changes attributes as little as possible for any fixed gain i"&amp;"n proxy utility, the human can choose a proxy that guarantees that _locally_, increases in the proxy correspond to increases in true utility. The strategy is to choose the attributes that are most sensitive to changes in resources (i.e. with the largest m"&amp;"arginal returns) at the current state, and define the proxy to grow in these attributes as much as the true utility. As long as the human provides new proxies frequently enough to prevent the local guarantee from breaking, optimizing the proxy increases h"&amp;"uman utility.
We can also combine interactivity and impact minimization: in this case, the human should choose proxy utility functions that contain the most and least sensitive attributes (i.e. largest and smallest marginal returns) for the given state. "&amp;"The AI will then transfer some resources from the least sensitive attributes to the most sensitive attributes, while holding all other attributes fixed, leading to a guaranteed increase in true utility. In fact, it is possible to prove that this will conv"&amp;"erge to the maximum possible true utility.")</f>
        <v>One intuition for why powerful AI systems might lead to bad consequences goes as follows:
1) Humans care about many attributes of the world and we would likely forget some of these when trying to list them all.
2) Improvements along these attributes usually require resources, and gaining additional resources often requires sacrifices along some attributes.
3) Because of 1), naively deployed AI systems would only optimize some of the attributes we care about, and because of 2) this would lead to bad outcomes along the other attributes.
This paper formalizes this intuition in a model, identifies conditions for when deploying AIs can reduce true utility within the model and proposes two mitigation strategies, impact minimization and interactivity.
We assume that the world state consists of L attributes, all of which the human cares about having more of, that is, true utility is strictly increasing in each of the attributes. Each attribute has some minimum value, and can be increased from that minimum value through the use of a fixed, finite resource (which you could think of as money, if you want); this allows us to formalize (2) above. To formalize (1), we assume that the proxy utility optimized by the AI is only allowed to depend on J&lt;L of the attribute dimensions.
Given this setup, the paper proves that if the AI maximizes the proxy utility, then all attributes that were omitted in the proxy utility will be set to their minimal value. This will be worse than not using the AI system at all if 1) the minimum values of attributes are sufficiently small (allowing the AI to cause damage), 2) the resource cost (resp. gain in true utility) for increasing an attribute is independent of the other attributes' level, 3) it always costs at least K resources to get a unit increase in any attribute, for some K &gt; 0, and 4) utility has diminishing marginal returns in each attribute (and marginal returns tend to zero as the attribute increases).
Regarding mitigation, impact minimization requires that the AI keep all attributes that are omitted by the proxy constant. In this case, any gains in proxy utility must also be gains in true utility.
Meanwhile, in the interactive condition, the human gets to regularly select a new proxy (still only specifying J&lt;L weights), or can choose to turn the AI off. Whether or not this is helpful depends on the AI’s optimization strategy and the frequency of human interventions: If the AI is “efficient” in the sense that it changes attributes as little as possible for any fixed gain in proxy utility, the human can choose a proxy that guarantees that _locally_, increases in the proxy correspond to increases in true utility. The strategy is to choose the attributes that are most sensitive to changes in resources (i.e. with the largest marginal returns) at the current state, and define the proxy to grow in these attributes as much as the true utility. As long as the human provides new proxies frequently enough to prevent the local guarantee from breaking, optimizing the proxy increases human utility.
We can also combine interactivity and impact minimization: in this case, the human should choose proxy utility functions that contain the most and least sensitive attributes (i.e. largest and smallest marginal returns) for the given state. The AI will then transfer some resources from the least sensitive attributes to the most sensitive attributes, while holding all other attributes fixed, leading to a guaranteed increase in true utility. In fact, it is possible to prove that this will converge to the maximum possible true utility.</v>
      </c>
      <c r="K1538" t="str">
        <f>IFERROR(__xludf.DUMMYFUNCTION("""COMPUTED_VALUE"""),"This is close to an informal model I've had for a while and I am glad that it got formalized including theoretical results. I find it interesting that the frequency of updates to the proxy matters even if movement in the state space is reversible. As the "&amp;"authors mention, it is also crucial that the AI's actions don't hinder the human's ability to update the proxy, and I imagine that frequent updates to the proxy would be important for that as well in many cases.
**Rohin's opinion:** This is a nice formal"&amp;"ization of several important conceptual points in the AI alignment literature:
1. If you forget to specify something you care about, it will usually be set to extreme values ([Of Myths and Moonshine](https://www.edge.org/conversation/the-myth-of-ai#26015"&amp;")). In particular, the AI system will extract any resources that were being used for that attribute, and apply them elsewhere (&lt;@The Basic AI Drives@&gt;, [Formalizing convergent instrumental goals](https://intelligence.org/2015/11/26/new-paper-formalizing-c"&amp;"onvergent-instrumental-goals/))
2. Given that perfect information is impossible, interactivity becomes important (&lt;@Human-AI Interaction@&gt;, &lt;@Incomplete Contracting and AI Alignment@&gt;).
3. Conservatism (in this case through impact regularization) can be h"&amp;"elpful (see the many blog posts and papers on mild optimization, low impact, and conservatism).")</f>
        <v>This is close to an informal model I've had for a while and I am glad that it got formalized including theoretical results. I find it interesting that the frequency of updates to the proxy matters even if movement in the state space is reversible. As the authors mention, it is also crucial that the AI's actions don't hinder the human's ability to update the proxy, and I imagine that frequent updates to the proxy would be important for that as well in many cases.
**Rohin's opinion:** This is a nice formalization of several important conceptual points in the AI alignment literature:
1. If you forget to specify something you care about, it will usually be set to extreme values ([Of Myths and Moonshine](https://www.edge.org/conversation/the-myth-of-ai#26015)). In particular, the AI system will extract any resources that were being used for that attribute, and apply them elsewhere (&lt;@The Basic AI Drives@&gt;, [Formalizing convergent instrumental goals](https://intelligence.org/2015/11/26/new-paper-formalizing-convergent-instrumental-goals/))
2. Given that perfect information is impossible, interactivity becomes important (&lt;@Human-AI Interaction@&gt;, &lt;@Incomplete Contracting and AI Alignment@&gt;).
3. Conservatism (in this case through impact regularization) can be helpful (see the many blog posts and papers on mild optimization, low impact, and conservatism).</v>
      </c>
    </row>
    <row r="1539">
      <c r="A1539" t="str">
        <f>IFERROR(__xludf.DUMMYFUNCTION("""COMPUTED_VALUE"""),"Problems")</f>
        <v>Problems</v>
      </c>
      <c r="B1539" t="str">
        <f>IFERROR(__xludf.DUMMYFUNCTION("""COMPUTED_VALUE"""),"Highlight")</f>
        <v>Highlight</v>
      </c>
      <c r="C1539" s="3" t="str">
        <f>IFERROR(__xludf.DUMMYFUNCTION("""COMPUTED_VALUE"""),"Open Questions in Creating Safe Open-ended AI: Tensions Between Control and Creativity")</f>
        <v>Open Questions in Creating Safe Open-ended AI: Tensions Between Control and Creativity</v>
      </c>
      <c r="D1539" t="str">
        <f>IFERROR(__xludf.DUMMYFUNCTION("""COMPUTED_VALUE"""),"Adrien Ecoffet, Jeff Clune, Joel Lehman")</f>
        <v>Adrien Ecoffet, Jeff Clune, Joel Lehman</v>
      </c>
      <c r="E1539" t="str">
        <f>IFERROR(__xludf.DUMMYFUNCTION("""COMPUTED_VALUE"""),"arXiv")</f>
        <v>arXiv</v>
      </c>
      <c r="F1539">
        <f>IFERROR(__xludf.DUMMYFUNCTION("""COMPUTED_VALUE"""),2020.0)</f>
        <v>2020</v>
      </c>
      <c r="H1539" s="3" t="str">
        <f>IFERROR(__xludf.DUMMYFUNCTION("""COMPUTED_VALUE"""),"AN #115")</f>
        <v>AN #115</v>
      </c>
      <c r="I1539" t="str">
        <f>IFERROR(__xludf.DUMMYFUNCTION("""COMPUTED_VALUE"""),"Rohin")</f>
        <v>Rohin</v>
      </c>
      <c r="J1539" t="str">
        <f>IFERROR(__xludf.DUMMYFUNCTION("""COMPUTED_VALUE"""),"One potential pathway to powerful AI is through _open-ended search_, in which we use search algorithms to search for good architectures, learning algorithms, environments, etc. in addition to using them to find parameters for a particular architecture. Se"&amp;"e the &lt;@AI-GA paradigm@&gt;(@AI-GAs: AI-generating algorithms, an alternate paradigm for producing general artificial intelligence@) for more details. What do AI safety issues look like in such a paradigm?
Building on &lt;@DeepMind’s framework@&gt;(@Building safe"&amp;" artificial intelligence: specification, robustness, and assurance@), the paper considers three levels of objectives: the ideal objective (what the designer intends), the explicit incentives (what the designer writes down), and the agent incentives (what "&amp;"the agent actually optimizes for). Safety issues can arise through differences between any of these levels.
The main difference that arises when considering open-ended search is that it’s much less clear to what extent we can control the result of an ope"&amp;"n-ended search, even if we knew what result we wanted. We can get evidence about this from existing complex systems, though unfortunately there are not any straightforward conclusions: several instances of convergent evolution might suggest that the resul"&amp;"ts of the open-ended search run by evolution were predictable, but on the other hand, the effects of _intervening_ on complex ecosystems are notoriously hard to predict.
Besides learning from existing complex systems, we can also empirically study the pr"&amp;"operties of open-ended search algorithms that we implement in computers. For example, we could run search for some time, and then fork the search into independent replicate runs with different random seeds, and see to what extent the results converge. We "&amp;"might also try to improve controllability by using meta learning to infer what learning algorithms, environments, or explicit incentives help induce controllability of the search.
The remaining suggestions will be familiar to most readers: they suggest w"&amp;"ork on interpretability (that now has to work with _learned_ architectures), better benchmarks, human-in-the-loop search, safe exploration, and sim-to-real transfer.")</f>
        <v>One potential pathway to powerful AI is through _open-ended search_, in which we use search algorithms to search for good architectures, learning algorithms, environments, etc. in addition to using them to find parameters for a particular architecture. See the &lt;@AI-GA paradigm@&gt;(@AI-GAs: AI-generating algorithms, an alternate paradigm for producing general artificial intelligence@) for more details. What do AI safety issues look like in such a paradigm?
Building on &lt;@DeepMind’s framework@&gt;(@Building safe artificial intelligence: specification, robustness, and assurance@), the paper considers three levels of objectives: the ideal objective (what the designer intends), the explicit incentives (what the designer writes down), and the agent incentives (what the agent actually optimizes for). Safety issues can arise through differences between any of these levels.
The main difference that arises when considering open-ended search is that it’s much less clear to what extent we can control the result of an open-ended search, even if we knew what result we wanted. We can get evidence about this from existing complex systems, though unfortunately there are not any straightforward conclusions: several instances of convergent evolution might suggest that the results of the open-ended search run by evolution were predictable, but on the other hand, the effects of _intervening_ on complex ecosystems are notoriously hard to predict.
Besides learning from existing complex systems, we can also empirically study the properties of open-ended search algorithms that we implement in computers. For example, we could run search for some time, and then fork the search into independent replicate runs with different random seeds, and see to what extent the results converge. We might also try to improve controllability by using meta learning to infer what learning algorithms, environments, or explicit incentives help induce controllability of the search.
The remaining suggestions will be familiar to most readers: they suggest work on interpretability (that now has to work with _learned_ architectures), better benchmarks, human-in-the-loop search, safe exploration, and sim-to-real transfer.</v>
      </c>
      <c r="K1539" t="str">
        <f>IFERROR(__xludf.DUMMYFUNCTION("""COMPUTED_VALUE"""),"I’m glad that people are paying attention to safety in this AGI paradigm, and the problems they outline seem like reasonable problems to work on. I actually expect that the work needed for the open-ended search paradigm will end up looking very similar to"&amp;" the work needed by the “AGI via deep RL” paradigm: the differences I see are differences in difficulty, not differences in what problems qualitatively need to be solved. I’m particularly excited by the suggestion of studying how particular environments c"&amp;"an help control the result of the open-ended search: it seems like even with deep RL based AGI, we would like to know how properties of the environment can influence properties of agents trained in that environment. For example, what property must an envi"&amp;"ronment satisfy in order for agents trained in that environment to be risk-averse?")</f>
        <v>I’m glad that people are paying attention to safety in this AGI paradigm, and the problems they outline seem like reasonable problems to work on. I actually expect that the work needed for the open-ended search paradigm will end up looking very similar to the work needed by the “AGI via deep RL” paradigm: the differences I see are differences in difficulty, not differences in what problems qualitatively need to be solved. I’m particularly excited by the suggestion of studying how particular environments can help control the result of the open-ended search: it seems like even with deep RL based AGI, we would like to know how properties of the environment can influence properties of agents trained in that environment. For example, what property must an environment satisfy in order for agents trained in that environment to be risk-averse?</v>
      </c>
    </row>
    <row r="1540">
      <c r="A1540" t="str">
        <f>IFERROR(__xludf.DUMMYFUNCTION("""COMPUTED_VALUE"""),"Problems")</f>
        <v>Problems</v>
      </c>
      <c r="B1540" t="str">
        <f>IFERROR(__xludf.DUMMYFUNCTION("""COMPUTED_VALUE"""),"Highlight")</f>
        <v>Highlight</v>
      </c>
      <c r="C1540" t="str">
        <f>IFERROR(__xludf.DUMMYFUNCTION("""COMPUTED_VALUE"""),"[Better priors as a safety problem](https://www.alignmentforum.org/posts/roA83jDvq7F2epnHK/better-priors-as-a-safety-problem) and [Learning the prior](https://www.alignmentforum.org/posts/SL9mKhgdmDKXmxwE4/learning-the-prior)")</f>
        <v>[Better priors as a safety problem](https://www.alignmentforum.org/posts/roA83jDvq7F2epnHK/better-priors-as-a-safety-problem) and [Learning the prior](https://www.alignmentforum.org/posts/SL9mKhgdmDKXmxwE4/learning-the-prior)</v>
      </c>
      <c r="D1540" t="str">
        <f>IFERROR(__xludf.DUMMYFUNCTION("""COMPUTED_VALUE"""),"Paul Christiano")</f>
        <v>Paul Christiano</v>
      </c>
      <c r="E1540" t="str">
        <f>IFERROR(__xludf.DUMMYFUNCTION("""COMPUTED_VALUE"""),"Alignment Forum")</f>
        <v>Alignment Forum</v>
      </c>
      <c r="F1540">
        <f>IFERROR(__xludf.DUMMYFUNCTION("""COMPUTED_VALUE"""),2020.0)</f>
        <v>2020</v>
      </c>
      <c r="H1540" s="3" t="str">
        <f>IFERROR(__xludf.DUMMYFUNCTION("""COMPUTED_VALUE"""),"AN #109")</f>
        <v>AN #109</v>
      </c>
      <c r="I1540" t="str">
        <f>IFERROR(__xludf.DUMMYFUNCTION("""COMPUTED_VALUE"""),"Rohin")</f>
        <v>Rohin</v>
      </c>
      <c r="J1540" t="str">
        <f>IFERROR(__xludf.DUMMYFUNCTION("""COMPUTED_VALUE"""),"Any machine learning algorithm (including neural nets) has some inductive bias, which can be thought of as its “prior” over what the data it will receive will look like. In the case of neural nets (and any other general ML algorithm to date), this prior i"&amp;"s significantly worse than human priors, since it does not encode e.g. causal reasoning or logic. Even if we avoid priors that depended on us previously seeing data, we would still want to update on facts like “I think therefore I am”. With a better prior"&amp;", our ML models would be able to learn more sample efficiently. While this is so far a capabilities problem, there are two main ways in which it affects alignment.
First, as argued in &lt;@Inaccessible information@&gt;, the regular neural net prior will learn "&amp;"models which can predict accessible information. However, our goals depend on inaccessible information, and so we would have to do some “extra work” in order to extract the inaccessible information from the learned models in order to build agents that do "&amp;"what we want. This leads to a competitiveness hit, relative to agents whose goals depend only on accessible information, and so during training we might expect to consistently get agents whose goals depend on accessible information instead of the goals we"&amp;" actually want.
Second, since the regular neural net prior is so weak, there is an incentive to learn a better prior, and then have that better prior perform the task. This is effectively an incentive for the neural net to learn a &lt;@mesa optimizer@&gt;(@Ris"&amp;"ks from Learned Optimization in Advanced Machine Learning Systems@), which need not be aligned with us, and so would generalize differently than we would, potentially catastrophically.
Let’s formalize this a bit more. We have some evidence about the worl"&amp;"d, given by a dataset D = {(x1, y1), (x2, y2), ...} (we assume that it’s a prediction task -- note that most self-supervised tasks can be written in this form). We will later need to make predictions on the dataset D' = {x1', x2', …}, which may be from a "&amp;"“different distribution” than D (e.g. D might be about the past, while D' is about the future). We would like to use D to learn some object Z that serves as a “prior”, such that we can then use Z to make good predictions on D'.
The standard approach whic"&amp;"h we might call the “neural net prior” is to train a model to predict y from x using the dataset D, and then apply that model directly to D', hoping that it transfers correctly. We can inject some human knowledge by finetuning the model using human predic"&amp;"tions on D', that is by training the model on {(x1', H(x1')), (x2', H(x2')), …}. However, this does not allow H to update their prior based on the dataset D. (We assume that H cannot simply read through all of D, since D is massive.)
What we’d really lik"&amp;"e is some way to get the predictions H would make if they could update on dataset D. For H, we’ll imagine that a prior Z is given by some text describing e.g. rules of logic, how to extrapolate trends, some background facts about the world, empirical esti"&amp;"mates of key quantities, etc. I’m now going to talk about priors over the prior Z, so to avoid confusion I’ll now call an individual Z a “background model”.
The key idea here is to structure the reasoning in a particular way: H has a prior over backgroun"&amp;"d models Z, and then _given Z_, H’s predictions for any given x_i are independent of all of the other (x, y) pairs. In other words, once you’ve fixed your background model of the world, your prediction of y_i doesn’t depend on the value of y_j for some ot"&amp;"her x_j. Or to explain it a third way, this is like having a set of hypotheses {Z}, and then updating on each element of D one by one using Bayes Rule. In that case, the log posterior of a particular background model Z is given by log Prior(Z) + sum_i log"&amp;" P(y_i | x_i, Z) (neglecting a normalization constant).
The nice thing about this is the individual terms Prior(Z) and P(y_i | x_i, Z) are all things that humans can do, since they don’t require the human to look at the entire dataset D. In particular, w"&amp;"e can learn Prior(Z) by presenting humans with a background model, and having them evaluate how likely it is that the background model is accurate. Similarly, P(y_i | x_i, Z) simply requires us to have humans predict y_i under the assumption that the back"&amp;"ground facts in Z are accurate. So, we can learn models for both of these using neural nets. We can then find the best background model Z-best by optimizing the equation above, representing what H would think was the most likely background model after upd"&amp;"ating on all of D. We can then learn a model for P(yi' | xi', Z-best) by training on human predictions of yi' _given access to Z-best_.
This of course only gets us to human performance, which requires relatively small Z. If we want to have large backgrou"&amp;"nd models allowing for superhuman performance, we can use iterated amplification and debate to learn Prior(Z) and P(y | x, Z). There is some subtlety about how to represent Z that I won’t go into here.")</f>
        <v>Any machine learning algorithm (including neural nets) has some inductive bias, which can be thought of as its “prior” over what the data it will receive will look like. In the case of neural nets (and any other general ML algorithm to date), this prior is significantly worse than human priors, since it does not encode e.g. causal reasoning or logic. Even if we avoid priors that depended on us previously seeing data, we would still want to update on facts like “I think therefore I am”. With a better prior, our ML models would be able to learn more sample efficiently. While this is so far a capabilities problem, there are two main ways in which it affects alignment.
First, as argued in &lt;@Inaccessible information@&gt;, the regular neural net prior will learn models which can predict accessible information. However, our goals depend on inaccessible information, and so we would have to do some “extra work” in order to extract the inaccessible information from the learned models in order to build agents that do what we want. This leads to a competitiveness hit, relative to agents whose goals depend only on accessible information, and so during training we might expect to consistently get agents whose goals depend on accessible information instead of the goals we actually want.
Second, since the regular neural net prior is so weak, there is an incentive to learn a better prior, and then have that better prior perform the task. This is effectively an incentive for the neural net to learn a &lt;@mesa optimizer@&gt;(@Risks from Learned Optimization in Advanced Machine Learning Systems@), which need not be aligned with us, and so would generalize differently than we would, potentially catastrophically.
Let’s formalize this a bit more. We have some evidence about the world, given by a dataset D = {(x1, y1), (x2, y2), ...} (we assume that it’s a prediction task -- note that most self-supervised tasks can be written in this form). We will later need to make predictions on the dataset D' = {x1', x2', …}, which may be from a “different distribution” than D (e.g. D might be about the past, while D' is about the future). We would like to use D to learn some object Z that serves as a “prior”, such that we can then use Z to make good predictions on D'.
The standard approach which we might call the “neural net prior” is to train a model to predict y from x using the dataset D, and then apply that model directly to D', hoping that it transfers correctly. We can inject some human knowledge by finetuning the model using human predictions on D', that is by training the model on {(x1', H(x1')), (x2', H(x2')), …}. However, this does not allow H to update their prior based on the dataset D. (We assume that H cannot simply read through all of D, since D is massive.)
What we’d really like is some way to get the predictions H would make if they could update on dataset D. For H, we’ll imagine that a prior Z is given by some text describing e.g. rules of logic, how to extrapolate trends, some background facts about the world, empirical estimates of key quantities, etc. I’m now going to talk about priors over the prior Z, so to avoid confusion I’ll now call an individual Z a “background model”.
The key idea here is to structure the reasoning in a particular way: H has a prior over background models Z, and then _given Z_, H’s predictions for any given x_i are independent of all of the other (x, y) pairs. In other words, once you’ve fixed your background model of the world, your prediction of y_i doesn’t depend on the value of y_j for some other x_j. Or to explain it a third way, this is like having a set of hypotheses {Z}, and then updating on each element of D one by one using Bayes Rule. In that case, the log posterior of a particular background model Z is given by log Prior(Z) + sum_i log P(y_i | x_i, Z) (neglecting a normalization constant).
The nice thing about this is the individual terms Prior(Z) and P(y_i | x_i, Z) are all things that humans can do, since they don’t require the human to look at the entire dataset D. In particular, we can learn Prior(Z) by presenting humans with a background model, and having them evaluate how likely it is that the background model is accurate. Similarly, P(y_i | x_i, Z) simply requires us to have humans predict y_i under the assumption that the background facts in Z are accurate. So, we can learn models for both of these using neural nets. We can then find the best background model Z-best by optimizing the equation above, representing what H would think was the most likely background model after updating on all of D. We can then learn a model for P(yi' | xi', Z-best) by training on human predictions of yi' _given access to Z-best_.
This of course only gets us to human performance, which requires relatively small Z. If we want to have large background models allowing for superhuman performance, we can use iterated amplification and debate to learn Prior(Z) and P(y | x, Z). There is some subtlety about how to represent Z that I won’t go into here.</v>
      </c>
      <c r="K1540" t="str">
        <f>IFERROR(__xludf.DUMMYFUNCTION("""COMPUTED_VALUE"""),"It seems to me like solving this problem has two main benefits. First, the model our AI system learns from data (i.e. Z-best) is interpretable, and in particular we should be able to extract the previously inaccessible information that is relevant to our "&amp;"goals (which helps us build AI systems that actually pursue those goals). Second, AI systems built in this way are incentivized to generalize in the same way that humans do: in the scheme above, we learn from one distribution D, and then predict on a new "&amp;"distribution D', but every model learned with a neural net is only used on the same distribution it was trained on.
Of course, while the AI system is _incentivized_ to generalize the way humans do, that does not mean it _will_ generalize as humans do -- "&amp;"it is still possible that the AI system internally “wants” to gain power, and only instrumentally answers questions the way humans would answer them. So inner alignment is still a potential issue. It seems possible to me that whatever techniques we use fo"&amp;"r dealing with inner alignment will also deal with the problems of unsafe priors as a side effect, in which case we may not end up needing to implement human-like priors. (As the post notes, it may be much more difficult to use this approach than to do th"&amp;"e standard “neural net prior” approach described above, so it would be nice to avoid it.)")</f>
        <v>It seems to me like solving this problem has two main benefits. First, the model our AI system learns from data (i.e. Z-best) is interpretable, and in particular we should be able to extract the previously inaccessible information that is relevant to our goals (which helps us build AI systems that actually pursue those goals). Second, AI systems built in this way are incentivized to generalize in the same way that humans do: in the scheme above, we learn from one distribution D, and then predict on a new distribution D', but every model learned with a neural net is only used on the same distribution it was trained on.
Of course, while the AI system is _incentivized_ to generalize the way humans do, that does not mean it _will_ generalize as humans do -- it is still possible that the AI system internally “wants” to gain power, and only instrumentally answers questions the way humans would answer them. So inner alignment is still a potential issue. It seems possible to me that whatever techniques we use for dealing with inner alignment will also deal with the problems of unsafe priors as a side effect, in which case we may not end up needing to implement human-like priors. (As the post notes, it may be much more difficult to use this approach than to do the standard “neural net prior” approach described above, so it would be nice to avoid it.)</v>
      </c>
    </row>
    <row r="1541">
      <c r="A1541" t="str">
        <f>IFERROR(__xludf.DUMMYFUNCTION("""COMPUTED_VALUE"""),"Problems")</f>
        <v>Problems</v>
      </c>
      <c r="B1541" t="str">
        <f>IFERROR(__xludf.DUMMYFUNCTION("""COMPUTED_VALUE"""),"Highlight")</f>
        <v>Highlight</v>
      </c>
      <c r="C1541" s="3" t="str">
        <f>IFERROR(__xludf.DUMMYFUNCTION("""COMPUTED_VALUE"""),"Inaccessible information")</f>
        <v>Inaccessible information</v>
      </c>
      <c r="D1541" t="str">
        <f>IFERROR(__xludf.DUMMYFUNCTION("""COMPUTED_VALUE"""),"Paul Christiano")</f>
        <v>Paul Christiano</v>
      </c>
      <c r="E1541" t="str">
        <f>IFERROR(__xludf.DUMMYFUNCTION("""COMPUTED_VALUE"""),"Alignment Forum")</f>
        <v>Alignment Forum</v>
      </c>
      <c r="F1541">
        <f>IFERROR(__xludf.DUMMYFUNCTION("""COMPUTED_VALUE"""),2020.0)</f>
        <v>2020</v>
      </c>
      <c r="H1541" s="3" t="str">
        <f>IFERROR(__xludf.DUMMYFUNCTION("""COMPUTED_VALUE"""),"AN #104")</f>
        <v>AN #104</v>
      </c>
      <c r="I1541" t="str">
        <f>IFERROR(__xludf.DUMMYFUNCTION("""COMPUTED_VALUE"""),"Rohin")</f>
        <v>Rohin</v>
      </c>
      <c r="J1541" t="str">
        <f>IFERROR(__xludf.DUMMYFUNCTION("""COMPUTED_VALUE"""),"One way to think about the problem of AI alignment is that we only know how to train models on information that is _accessible_ to us, but we want models that leverage _inaccessible_ information.
Information is accessible if it can be checked directly, o"&amp;"r if an ML model would successfully transfer to provide the information when trained on some other accessible information. (An example of the latter would be if we trained a system to predict what happens in a day, and it successfully transfers to predict"&amp;"ing what happens in a month.) Otherwise, the information is inaccessible: for example, “what Alice is thinking” is (at least currently) inaccessible, while “what Alice will say” is accessible. The post has several other examples.
Note that while an ML mo"&amp;"del may not directly say exactly what Alice is thinking, if we train it to predict what Alice will say, it will probably have some internal model of what Alice is thinking, since that is useful for predicting what Alice will say. It is nonetheless inacces"&amp;"sible because there’s no obvious way of extracting this information from the model. While we could train the model to also output “what Alice is thinking”, this would have to be training for “a consistent and plausible answer to what Alice is thinking”, s"&amp;"ince we don’t have the ground truth answer. This could incentivize bad policies that figure out what we would most believe, rather than reporting the truth.
The argument for risk is then as follows: we care about inaccessible information (e.g. we care ab"&amp;"out what people _actually_ experience, rather than what they _say_ they experience) but can’t easily make AI systems that optimize for it. However, AI systems will be able to infer and use inaccessible information, and would outcompete ones that don’t. AI"&amp;" systems will be able to plan using such inaccessible information for at least some goals. Then, the AI systems that plan using the inaccessible information could eventually control most resources. Key quote: “The key asymmetry working against us is that "&amp;"optimizing flourishing appears to require a particular quantity to be accessible, while danger just requires anything to be accessible.”
The post then goes on to list some possible angles of attack on this problem. Iterated amplification can be thought o"&amp;"f as addressing gaps in speed, size, experience, algorithmic sophistication etc. between the agents we train and ourselves, which can limit what inaccessible information our agents can have that we won’t. However, it seems likely that amplification will e"&amp;"ventually run up against some inaccessible information that will never be produced. As a result, this could be a “hard core” of alignment.")</f>
        <v>One way to think about the problem of AI alignment is that we only know how to train models on information that is _accessible_ to us, but we want models that leverage _inaccessible_ information.
Information is accessible if it can be checked directly, or if an ML model would successfully transfer to provide the information when trained on some other accessible information. (An example of the latter would be if we trained a system to predict what happens in a day, and it successfully transfers to predicting what happens in a month.) Otherwise, the information is inaccessible: for example, “what Alice is thinking” is (at least currently) inaccessible, while “what Alice will say” is accessible. The post has several other examples.
Note that while an ML model may not directly say exactly what Alice is thinking, if we train it to predict what Alice will say, it will probably have some internal model of what Alice is thinking, since that is useful for predicting what Alice will say. It is nonetheless inaccessible because there’s no obvious way of extracting this information from the model. While we could train the model to also output “what Alice is thinking”, this would have to be training for “a consistent and plausible answer to what Alice is thinking”, since we don’t have the ground truth answer. This could incentivize bad policies that figure out what we would most believe, rather than reporting the truth.
The argument for risk is then as follows: we care about inaccessible information (e.g. we care about what people _actually_ experience, rather than what they _say_ they experience) but can’t easily make AI systems that optimize for it. However, AI systems will be able to infer and use inaccessible information, and would outcompete ones that don’t. AI systems will be able to plan using such inaccessible information for at least some goals. Then, the AI systems that plan using the inaccessible information could eventually control most resources. Key quote: “The key asymmetry working against us is that optimizing flourishing appears to require a particular quantity to be accessible, while danger just requires anything to be accessible.”
The post then goes on to list some possible angles of attack on this problem. Iterated amplification can be thought of as addressing gaps in speed, size, experience, algorithmic sophistication etc. between the agents we train and ourselves, which can limit what inaccessible information our agents can have that we won’t. However, it seems likely that amplification will eventually run up against some inaccessible information that will never be produced. As a result, this could be a “hard core” of alignment.</v>
      </c>
      <c r="K1541" t="str">
        <f>IFERROR(__xludf.DUMMYFUNCTION("""COMPUTED_VALUE"""),"I think the idea of inaccessible information is an important one, but it’s one that feels deceptively hard to reason about. For example, I often think about solving alignment by approximating “what a human would say after thinking for a long time”; this i"&amp;"s effectively a claim that human reasoning transfers well when iterated over long periods of time, and “what a human would say” is at least somewhat accessible. Regardless, it seems reasonably likely that AI systems will inherit the same property of trans"&amp;"ferability that I attribute to human reasoning, in which case the argument for risk applies primarily because the AI system might apply its reasoning towards a different goal than the ones we care about, which leads us back to the &lt;@intent alignment@&gt;(@Cl"&amp;"arifying ""AI Alignment""@) formulation.
This [response](https://www.alignmentforum.org/posts/A9vvxguZMytsN3ze9/reply-to-paul-christiano-s-inaccessible-information) views this post as a fairly general argument against black box optimization, where we onl"&amp;"y look at input-output behavior, as then we can’t use inaccessible information. It suggests that we need to understand how the AI system works, rather than relying on search, to avoid these problems.")</f>
        <v>I think the idea of inaccessible information is an important one, but it’s one that feels deceptively hard to reason about. For example, I often think about solving alignment by approximating “what a human would say after thinking for a long time”; this is effectively a claim that human reasoning transfers well when iterated over long periods of time, and “what a human would say” is at least somewhat accessible. Regardless, it seems reasonably likely that AI systems will inherit the same property of transferability that I attribute to human reasoning, in which case the argument for risk applies primarily because the AI system might apply its reasoning towards a different goal than the ones we care about, which leads us back to the &lt;@intent alignment@&gt;(@Clarifying "AI Alignment"@) formulation.
This [response](https://www.alignmentforum.org/posts/A9vvxguZMytsN3ze9/reply-to-paul-christiano-s-inaccessible-information) views this post as a fairly general argument against black box optimization, where we only look at input-output behavior, as then we can’t use inaccessible information. It suggests that we need to understand how the AI system works, rather than relying on search, to avoid these problems.</v>
      </c>
    </row>
    <row r="1542">
      <c r="A1542" t="str">
        <f>IFERROR(__xludf.DUMMYFUNCTION("""COMPUTED_VALUE"""),"Problems")</f>
        <v>Problems</v>
      </c>
      <c r="B1542" t="str">
        <f>IFERROR(__xludf.DUMMYFUNCTION("""COMPUTED_VALUE"""),"Highlight")</f>
        <v>Highlight</v>
      </c>
      <c r="C1542" s="3" t="str">
        <f>IFERROR(__xludf.DUMMYFUNCTION("""COMPUTED_VALUE"""),"Specification gaming examples in AI")</f>
        <v>Specification gaming examples in AI</v>
      </c>
      <c r="D1542" t="str">
        <f>IFERROR(__xludf.DUMMYFUNCTION("""COMPUTED_VALUE"""),"Victoria Krakovna")</f>
        <v>Victoria Krakovna</v>
      </c>
      <c r="E1542" t="str">
        <f>IFERROR(__xludf.DUMMYFUNCTION("""COMPUTED_VALUE"""),"Author's Website")</f>
        <v>Author's Website</v>
      </c>
      <c r="F1542">
        <f>IFERROR(__xludf.DUMMYFUNCTION("""COMPUTED_VALUE"""),2018.0)</f>
        <v>2018</v>
      </c>
      <c r="H1542" s="3" t="str">
        <f>IFERROR(__xludf.DUMMYFUNCTION("""COMPUTED_VALUE"""),"AN #1")</f>
        <v>AN #1</v>
      </c>
      <c r="I1542" t="str">
        <f>IFERROR(__xludf.DUMMYFUNCTION("""COMPUTED_VALUE"""),"Rohin")</f>
        <v>Rohin</v>
      </c>
      <c r="J1542" t="str">
        <f>IFERROR(__xludf.DUMMYFUNCTION("""COMPUTED_VALUE"""),"A list of examples of specification gaming, where an algorithm figures out a way to literally satisfy the given specification which does not match the designer's intent.")</f>
        <v>A list of examples of specification gaming, where an algorithm figures out a way to literally satisfy the given specification which does not match the designer's intent.</v>
      </c>
      <c r="K1542" t="str">
        <f>IFERROR(__xludf.DUMMYFUNCTION("""COMPUTED_VALUE"""),"There were several examples I hadn't heard of before, which were pretty entertaining. Also, if you have any examples that aren't already listed, it would be great to send them via the [form](https://docs.google.com/forms/d/e/1FAIpQLSeQEguZg4JfvpTywgZa3j-1"&amp;"J-4urrnjBVeoAO7JHIH53nrBTA/viewform) so that we can have a canonical list of specification gaming examples.")</f>
        <v>There were several examples I hadn't heard of before, which were pretty entertaining. Also, if you have any examples that aren't already listed, it would be great to send them via the [form](https://docs.google.com/forms/d/e/1FAIpQLSeQEguZg4JfvpTywgZa3j-1J-4urrnjBVeoAO7JHIH53nrBTA/viewform) so that we can have a canonical list of specification gaming examples.</v>
      </c>
    </row>
    <row r="1543">
      <c r="A1543" t="str">
        <f>IFERROR(__xludf.DUMMYFUNCTION("""COMPUTED_VALUE"""),"Problems")</f>
        <v>Problems</v>
      </c>
      <c r="B1543" t="str">
        <f>IFERROR(__xludf.DUMMYFUNCTION("""COMPUTED_VALUE"""),"")</f>
        <v/>
      </c>
      <c r="C1543" s="3" t="str">
        <f>IFERROR(__xludf.DUMMYFUNCTION("""COMPUTED_VALUE"""),"Multiparty Dynamics and Failure Modes for Machine Learning and Artificial Intelligence")</f>
        <v>Multiparty Dynamics and Failure Modes for Machine Learning and Artificial Intelligence</v>
      </c>
      <c r="D1543" t="str">
        <f>IFERROR(__xludf.DUMMYFUNCTION("""COMPUTED_VALUE"""),"David Manheim")</f>
        <v>David Manheim</v>
      </c>
      <c r="E1543" t="str">
        <f>IFERROR(__xludf.DUMMYFUNCTION("""COMPUTED_VALUE"""),"Big Data and Cognitive Computing")</f>
        <v>Big Data and Cognitive Computing</v>
      </c>
      <c r="F1543">
        <f>IFERROR(__xludf.DUMMYFUNCTION("""COMPUTED_VALUE"""),2019.0)</f>
        <v>2019</v>
      </c>
      <c r="H1543" s="3" t="str">
        <f>IFERROR(__xludf.DUMMYFUNCTION("""COMPUTED_VALUE"""),"AN #70")</f>
        <v>AN #70</v>
      </c>
      <c r="I1543" t="str">
        <f>IFERROR(__xludf.DUMMYFUNCTION("""COMPUTED_VALUE"""),"Flo")</f>
        <v>Flo</v>
      </c>
      <c r="J1543" t="str">
        <f>IFERROR(__xludf.DUMMYFUNCTION("""COMPUTED_VALUE"""),"While [Categorizing Variants of Goodhart’s Law](https://arxiv.org/abs/1803.04585) explains failure modes that occur when a single agent’s proxy becomes decoupled from the true goal, this paper aims to characterize failures involving multiple agents:
 **A"&amp;"ccidental steering** happens when the combined actions of multiple agents facilitate single-agent failures. For example, catching more fish now is usually positively correlated with a fisherman's long term goals, but this relationship inverts once there a"&amp;"re lots of fishermen optimizing for short term gains and the fish population collapses.
**Coordination Failure** occurs when agents with mutually compatible goals fail to coordinate. For example, due to incomplete models of other agent's goals and capabi"&amp;"lities, two agents sharing a goal might compete for a resource even though one of them is strictly better at converting the resource into progress towards their goal. 
**Adversarial optimization** is when an agent **O** steers the world into states where"&amp;" **V**'s proxy goal is positively correlated with **O**'s goal. For example, one could exploit investors who use short term volatility as a proxy for risk by selling them instruments that are not very volatile but still risky.
**Input Spoofing** is the a"&amp;"ct of one agent manipulating another learning agent's model, either by manufacturing false evidence or by filtering the received evidence systematically, as arguably happened with [Microsoft’s Tay](https://en.wikipedia.org/wiki/Tay_(bot)).
Finally, **Goa"&amp;"l co-option** happens when agent **O** has (partial) control over the hardware agent **V** runs or relies on. This way, **O** can either modify the reward signal **V** receives to change what **V** optimizes for, or it can directly change **V**'s outputs."&amp;" 
The difficulties in precisely modelling other sophisticated agents and other concerns related to embedded agency make it hard to completely avoid these failure modes with current methods. Slowing down the deployment of AI systems and focussing on the m"&amp;"itigation of the discussed failure modes might prevent limited near term catastrophes, which in turn might cause a slowdown of further deployment and prioritization of safety.")</f>
        <v>While [Categorizing Variants of Goodhart’s Law](https://arxiv.org/abs/1803.04585) explains failure modes that occur when a single agent’s proxy becomes decoupled from the true goal, this paper aims to characterize failures involving multiple agents:
 **Accidental steering** happens when the combined actions of multiple agents facilitate single-agent failures. For example, catching more fish now is usually positively correlated with a fisherman's long term goals, but this relationship inverts once there are lots of fishermen optimizing for short term gains and the fish population collapses.
**Coordination Failure** occurs when agents with mutually compatible goals fail to coordinate. For example, due to incomplete models of other agent's goals and capabilities, two agents sharing a goal might compete for a resource even though one of them is strictly better at converting the resource into progress towards their goal. 
**Adversarial optimization** is when an agent **O** steers the world into states where **V**'s proxy goal is positively correlated with **O**'s goal. For example, one could exploit investors who use short term volatility as a proxy for risk by selling them instruments that are not very volatile but still risky.
**Input Spoofing** is the act of one agent manipulating another learning agent's model, either by manufacturing false evidence or by filtering the received evidence systematically, as arguably happened with [Microsoft’s Tay](https://en.wikipedia.org/wiki/Tay_(bot)).
Finally, **Goal co-option** happens when agent **O** has (partial) control over the hardware agent **V** runs or relies on. This way, **O** can either modify the reward signal **V** receives to change what **V** optimizes for, or it can directly change **V**'s outputs. 
The difficulties in precisely modelling other sophisticated agents and other concerns related to embedded agency make it hard to completely avoid these failure modes with current methods. Slowing down the deployment of AI systems and focussing on the mitigation of the discussed failure modes might prevent limited near term catastrophes, which in turn might cause a slowdown of further deployment and prioritization of safety.</v>
      </c>
      <c r="K1543" t="str">
        <f>IFERROR(__xludf.DUMMYFUNCTION("""COMPUTED_VALUE"""),"I like that this paper subdivides failure modes that can happen in multiparty optimization into several clear categories and provides various models and examples for each of them. I am unsure about the conclusion: on one hand, slowing down deployment to i"&amp;"mprove the safety of contemporary systems seems very sensible. On the other hand, it seems like there would be some failures of limited scope that are hard to reproduce ""in the lab"". Widely deployed AI systems might provide us with valuable empirical da"&amp;"ta about these failures and improve our understanding of the failure modes in general. I guess ideally there would be differential deployment with rapid deployment in noncritical areas like managing local parking lots, but very slow deployment for critica"&amp;"l infrastructure.
**Rohin's opinion:** I'm particularly interested in an analysis of how these kinds of failures affect existential risk. I'm not sure if David believes they are relevant for x-risk, but even if so the arguments aren't presented in this p"&amp;"aper.")</f>
        <v>I like that this paper subdivides failure modes that can happen in multiparty optimization into several clear categories and provides various models and examples for each of them. I am unsure about the conclusion: on one hand, slowing down deployment to improve the safety of contemporary systems seems very sensible. On the other hand, it seems like there would be some failures of limited scope that are hard to reproduce "in the lab". Widely deployed AI systems might provide us with valuable empirical data about these failures and improve our understanding of the failure modes in general. I guess ideally there would be differential deployment with rapid deployment in noncritical areas like managing local parking lots, but very slow deployment for critical infrastructure.
**Rohin's opinion:** I'm particularly interested in an analysis of how these kinds of failures affect existential risk. I'm not sure if David believes they are relevant for x-risk, but even if so the arguments aren't presented in this paper.</v>
      </c>
    </row>
    <row r="1544">
      <c r="A1544" t="str">
        <f>IFERROR(__xludf.DUMMYFUNCTION("""COMPUTED_VALUE"""),"Problems")</f>
        <v>Problems</v>
      </c>
      <c r="B1544" t="str">
        <f>IFERROR(__xludf.DUMMYFUNCTION("""COMPUTED_VALUE"""),"")</f>
        <v/>
      </c>
      <c r="C1544" s="3" t="str">
        <f>IFERROR(__xludf.DUMMYFUNCTION("""COMPUTED_VALUE"""),"The Effects of Reward Misspecification: Mapping and Mitigating Misaligned Models")</f>
        <v>The Effects of Reward Misspecification: Mapping and Mitigating Misaligned Models</v>
      </c>
      <c r="D1544" t="str">
        <f>IFERROR(__xludf.DUMMYFUNCTION("""COMPUTED_VALUE"""),"Anonymous")</f>
        <v>Anonymous</v>
      </c>
      <c r="E1544" t="str">
        <f>IFERROR(__xludf.DUMMYFUNCTION("""COMPUTED_VALUE"""),"OpenReview")</f>
        <v>OpenReview</v>
      </c>
      <c r="F1544">
        <f>IFERROR(__xludf.DUMMYFUNCTION("""COMPUTED_VALUE"""),2021.0)</f>
        <v>2021</v>
      </c>
      <c r="H1544" s="3" t="str">
        <f>IFERROR(__xludf.DUMMYFUNCTION("""COMPUTED_VALUE"""),"AN #170")</f>
        <v>AN #170</v>
      </c>
      <c r="I1544" t="str">
        <f>IFERROR(__xludf.DUMMYFUNCTION("""COMPUTED_VALUE"""),"Zach")</f>
        <v>Zach</v>
      </c>
      <c r="J1544" t="str">
        <f>IFERROR(__xludf.DUMMYFUNCTION("""COMPUTED_VALUE"""),"Reward hacking occurs when RL agents exploit the difference between a true reward and a proxy. Reward hacking has been &lt;@observed in practice@&gt;(@Specification gaming examples in AI@), and as reinforcement learning agents are trained with better algorithms"&amp;", more data, and larger policies, they are at increased risk of overfitting their proxy objectives. However, reward hacking has not yet been systematically studied.
This paper fills this gap by constructing four example environments with a total of nine "&amp;"proxy rewards to investigate how reward hacking changes as a function of optimization power. They increase optimization power in several different ways, such as increasing the size of the neural net, or providing the model with more fine-grained observati"&amp;"ons.
Overall, the authors find that reward hacking occurs in five of the nine cases. Moreover, the authors observed phase transitions in four of these cases. These are stark transitions where a moderate increase in optimization power leads to a drastic i"&amp;"ncrease in reward hacking behavior. This poses a challenge in monitoring the safety of ML systems. To address this the authors suggest performing anomaly detection to notice reward hacking and offer several baselines. ")</f>
        <v>Reward hacking occurs when RL agents exploit the difference between a true reward and a proxy. Reward hacking has been &lt;@observed in practice@&gt;(@Specification gaming examples in AI@), and as reinforcement learning agents are trained with better algorithms, more data, and larger policies, they are at increased risk of overfitting their proxy objectives. However, reward hacking has not yet been systematically studied.
This paper fills this gap by constructing four example environments with a total of nine proxy rewards to investigate how reward hacking changes as a function of optimization power. They increase optimization power in several different ways, such as increasing the size of the neural net, or providing the model with more fine-grained observations.
Overall, the authors find that reward hacking occurs in five of the nine cases. Moreover, the authors observed phase transitions in four of these cases. These are stark transitions where a moderate increase in optimization power leads to a drastic increase in reward hacking behavior. This poses a challenge in monitoring the safety of ML systems. To address this the authors suggest performing anomaly detection to notice reward hacking and offer several baselines. </v>
      </c>
      <c r="K1544" t="str">
        <f>IFERROR(__xludf.DUMMYFUNCTION("""COMPUTED_VALUE"""),"It is good to see an attempt at formalizing reward hacking. The experimental contributions are interesting and the anomaly detection method seems reasonable. However, the proxy rewards chosen to represent reward hacking are questionable. In my opinion, th"&amp;"ese rewards are obviously 'wrong' so it is less surprising that they result in undesired behavior. I look forward to seeing more comprehensive experiments on this subject.
**Rohin’s opinion:** Note that on OpenReview, the authors say that one of the prox"&amp;"y rewards (maximize average velocity for the driving environment) was actually the default and they only noticed it was problematic after they had trained large neural nets on that environment. I do agree that future proxy objectives will probably be less"&amp;" clearly wrong than most of the ones in this paper.")</f>
        <v>It is good to see an attempt at formalizing reward hacking. The experimental contributions are interesting and the anomaly detection method seems reasonable. However, the proxy rewards chosen to represent reward hacking are questionable. In my opinion, these rewards are obviously 'wrong' so it is less surprising that they result in undesired behavior. I look forward to seeing more comprehensive experiments on this subject.
**Rohin’s opinion:** Note that on OpenReview, the authors say that one of the proxy rewards (maximize average velocity for the driving environment) was actually the default and they only noticed it was problematic after they had trained large neural nets on that environment. I do agree that future proxy objectives will probably be less clearly wrong than most of the ones in this paper.</v>
      </c>
    </row>
    <row r="1545">
      <c r="A1545" t="str">
        <f>IFERROR(__xludf.DUMMYFUNCTION("""COMPUTED_VALUE"""),"Problems")</f>
        <v>Problems</v>
      </c>
      <c r="B1545" t="str">
        <f>IFERROR(__xludf.DUMMYFUNCTION("""COMPUTED_VALUE"""),"")</f>
        <v/>
      </c>
      <c r="C1545" s="3" t="str">
        <f>IFERROR(__xludf.DUMMYFUNCTION("""COMPUTED_VALUE"""),"Why AI alignment could be hard with modern deep learning")</f>
        <v>Why AI alignment could be hard with modern deep learning</v>
      </c>
      <c r="D1545" t="str">
        <f>IFERROR(__xludf.DUMMYFUNCTION("""COMPUTED_VALUE"""),"Ajeya Cotra")</f>
        <v>Ajeya Cotra</v>
      </c>
      <c r="E1545" t="str">
        <f>IFERROR(__xludf.DUMMYFUNCTION("""COMPUTED_VALUE"""),"Author's Website")</f>
        <v>Author's Website</v>
      </c>
      <c r="F1545">
        <f>IFERROR(__xludf.DUMMYFUNCTION("""COMPUTED_VALUE"""),2021.0)</f>
        <v>2021</v>
      </c>
      <c r="H1545" s="3" t="str">
        <f>IFERROR(__xludf.DUMMYFUNCTION("""COMPUTED_VALUE"""),"AN #166")</f>
        <v>AN #166</v>
      </c>
      <c r="I1545" t="str">
        <f>IFERROR(__xludf.DUMMYFUNCTION("""COMPUTED_VALUE"""),"Rohin")</f>
        <v>Rohin</v>
      </c>
      <c r="J1545" t="str">
        <f>IFERROR(__xludf.DUMMYFUNCTION("""COMPUTED_VALUE"""),"This post provides an ELI5-style introduction to AI alignment as a major challenge for deep learning. It primarily frames alignment as a challenge in creating Saints (aligned AI systems), without getting Schemers (AI systems that are &lt;@deceptively aligned"&amp;"@&gt;(@Risks from Learned Optimization in Advanced Machine Learning Systems@)) or Sycophants (AI systems that satisfy only the letter of the request, rather than its spirit, as in &lt;@Another (outer) alignment failure story@&gt;). Any short summary I write would "&amp;"ruin the ELI5 style, so I won’t attempt it; I do recommend it strongly if you want an introduction to AI alignment.")</f>
        <v>This post provides an ELI5-style introduction to AI alignment as a major challenge for deep learning. It primarily frames alignment as a challenge in creating Saints (aligned AI systems), without getting Schemers (AI systems that are &lt;@deceptively aligned@&gt;(@Risks from Learned Optimization in Advanced Machine Learning Systems@)) or Sycophants (AI systems that satisfy only the letter of the request, rather than its spirit, as in &lt;@Another (outer) alignment failure story@&gt;). Any short summary I write would ruin the ELI5 style, so I won’t attempt it; I do recommend it strongly if you want an introduction to AI alignment.</v>
      </c>
    </row>
    <row r="1546">
      <c r="A1546" t="str">
        <f>IFERROR(__xludf.DUMMYFUNCTION("""COMPUTED_VALUE"""),"Problems")</f>
        <v>Problems</v>
      </c>
      <c r="B1546" t="str">
        <f>IFERROR(__xludf.DUMMYFUNCTION("""COMPUTED_VALUE"""),"")</f>
        <v/>
      </c>
      <c r="C1546" s="3" t="str">
        <f>IFERROR(__xludf.DUMMYFUNCTION("""COMPUTED_VALUE"""),"Low-stakes alignment")</f>
        <v>Low-stakes alignment</v>
      </c>
      <c r="D1546" t="str">
        <f>IFERROR(__xludf.DUMMYFUNCTION("""COMPUTED_VALUE"""),"Paul Christiano")</f>
        <v>Paul Christiano</v>
      </c>
      <c r="E1546" t="str">
        <f>IFERROR(__xludf.DUMMYFUNCTION("""COMPUTED_VALUE"""),"Author's Website")</f>
        <v>Author's Website</v>
      </c>
      <c r="F1546">
        <f>IFERROR(__xludf.DUMMYFUNCTION("""COMPUTED_VALUE"""),2021.0)</f>
        <v>2021</v>
      </c>
      <c r="H1546" s="3" t="str">
        <f>IFERROR(__xludf.DUMMYFUNCTION("""COMPUTED_VALUE"""),"AN #149")</f>
        <v>AN #149</v>
      </c>
      <c r="I1546" t="str">
        <f>IFERROR(__xludf.DUMMYFUNCTION("""COMPUTED_VALUE"""),"Rohin")</f>
        <v>Rohin</v>
      </c>
      <c r="J1546" t="str">
        <f>IFERROR(__xludf.DUMMYFUNCTION("""COMPUTED_VALUE"""),"We often split AI alignment into two parts: outer alignment, or ``finding a good reward function'', and inner alignment, or ``robustly optimizing that reward function''. However, these are not very precise terms, and they don't form clean subproblems. In "&amp;"particular, for outer alignment, how good does the reward function have to be? Does it need to incentivize good behavior in all possible situations? How do you handle the no free lunch theorem? Perhaps you only need to handle the inputs in the training se"&amp;"t? But then what specifies the behavior of the agent on new inputs?
This post proposes an operationalization of outer alignment that admits a clean subproblem: _low stakes alignment_. Specifically, we are given as an assumption that we don't care much ab"&amp;"out any small number of decisions that the AI makes -- only a large number of decisions, in aggregate, can have a large impact on the world. This prevents things like quickly seizing control of resources before we have a chance to react. We do not expect "&amp;"this assumption to be true in practice: the point here is to solve an easy subproblem in the hopes that the solution is useful for solving the hard version of the problem.
The main power of this assumption is that we no longer have to worry about distrib"&amp;"utional shift. We can simply keep collecting new data online and training the model on the new data. Any decisions it makes in the interim period could be bad, but by the low-stakes assumption, they won't be catastrophic. Thus, the primary challenge is in"&amp;" obtaining a good reward function that incentivizes the right behavior after the model is trained. We might also worry about whether gradient descent will successfully find a model that optimizes the reward even on the training distribution -- after all, "&amp;"gradient descent has no guarantees for non-convex problems -- but it seems like, to the extent that gradient descent doesn't do this, it will probably affect aligned and unaligned models equally.
Note that this subproblem is still non-trivial, and existe"&amp;"ntial catastrophes still seem possible if we fail to solve it. For example, one way that the low-stakes assumption could be made true was if we had a lot of bureaucracy and safeguards that the AI system had to go through before making any big changes to t"&amp;"he world. It still seems possible for the AI system to cause lots of trouble if none of the bureaucracy or safeguards can understand what the AI system is doing.")</f>
        <v>We often split AI alignment into two parts: outer alignment, or ``finding a good reward function'', and inner alignment, or ``robustly optimizing that reward function''. However, these are not very precise terms, and they don't form clean subproblems. In particular, for outer alignment, how good does the reward function have to be? Does it need to incentivize good behavior in all possible situations? How do you handle the no free lunch theorem? Perhaps you only need to handle the inputs in the training set? But then what specifies the behavior of the agent on new inputs?
This post proposes an operationalization of outer alignment that admits a clean subproblem: _low stakes alignment_. Specifically, we are given as an assumption that we don't care much about any small number of decisions that the AI makes -- only a large number of decisions, in aggregate, can have a large impact on the world. This prevents things like quickly seizing control of resources before we have a chance to react. We do not expect this assumption to be true in practice: the point here is to solve an easy subproblem in the hopes that the solution is useful for solving the hard version of the problem.
The main power of this assumption is that we no longer have to worry about distributional shift. We can simply keep collecting new data online and training the model on the new data. Any decisions it makes in the interim period could be bad, but by the low-stakes assumption, they won't be catastrophic. Thus, the primary challenge is in obtaining a good reward function that incentivizes the right behavior after the model is trained. We might also worry about whether gradient descent will successfully find a model that optimizes the reward even on the training distribution -- after all, gradient descent has no guarantees for non-convex problems -- but it seems like, to the extent that gradient descent doesn't do this, it will probably affect aligned and unaligned models equally.
Note that this subproblem is still non-trivial, and existential catastrophes still seem possible if we fail to solve it. For example, one way that the low-stakes assumption could be made true was if we had a lot of bureaucracy and safeguards that the AI system had to go through before making any big changes to the world. It still seems possible for the AI system to cause lots of trouble if none of the bureaucracy or safeguards can understand what the AI system is doing.</v>
      </c>
      <c r="K1546" t="str">
        <f>IFERROR(__xludf.DUMMYFUNCTION("""COMPUTED_VALUE"""),"I like the low-stakes assumption as a way of saying ""let's ignore distributional shift for now"". Probably the most salient alternative is something along the lines of ""assume that the AI system is trying to optimize the true reward function"". The main"&amp;" way that low-stakes alignment is cleaner is that it uses an assumption on the _environment_ (an input to the problem) rather than an assumption on the _AI system_ (an output of the problem). This seems to be a lot nicer because it is harder to ""unfairly"&amp;""" exploit a not-too-strong assumption on an input rather than on an output. See [this comment thread](https://www.alignmentforum.org/posts/TPan9sQFuPP6jgEJo/low-stakes-alignment?commentId=askebCP36Ce96ZiJa) for more discussion.")</f>
        <v>I like the low-stakes assumption as a way of saying "let's ignore distributional shift for now". Probably the most salient alternative is something along the lines of "assume that the AI system is trying to optimize the true reward function". The main way that low-stakes alignment is cleaner is that it uses an assumption on the _environment_ (an input to the problem) rather than an assumption on the _AI system_ (an output of the problem). This seems to be a lot nicer because it is harder to "unfairly" exploit a not-too-strong assumption on an input rather than on an output. See [this comment thread](https://www.alignmentforum.org/posts/TPan9sQFuPP6jgEJo/low-stakes-alignment?commentId=askebCP36Ce96ZiJa) for more discussion.</v>
      </c>
    </row>
    <row r="1547">
      <c r="A1547" t="str">
        <f>IFERROR(__xludf.DUMMYFUNCTION("""COMPUTED_VALUE"""),"Problems")</f>
        <v>Problems</v>
      </c>
      <c r="B1547" t="str">
        <f>IFERROR(__xludf.DUMMYFUNCTION("""COMPUTED_VALUE"""),"")</f>
        <v/>
      </c>
      <c r="C1547" s="3" t="str">
        <f>IFERROR(__xludf.DUMMYFUNCTION("""COMPUTED_VALUE"""),"Clarifying “What failure looks like” (part 1)")</f>
        <v>Clarifying “What failure looks like” (part 1)</v>
      </c>
      <c r="D1547" t="str">
        <f>IFERROR(__xludf.DUMMYFUNCTION("""COMPUTED_VALUE"""),"Sam Clarke")</f>
        <v>Sam Clarke</v>
      </c>
      <c r="E1547" t="str">
        <f>IFERROR(__xludf.DUMMYFUNCTION("""COMPUTED_VALUE"""),"Alignment Forum")</f>
        <v>Alignment Forum</v>
      </c>
      <c r="F1547">
        <f>IFERROR(__xludf.DUMMYFUNCTION("""COMPUTED_VALUE"""),2020.0)</f>
        <v>2020</v>
      </c>
      <c r="H1547" s="3" t="str">
        <f>IFERROR(__xludf.DUMMYFUNCTION("""COMPUTED_VALUE"""),"AN #120")</f>
        <v>AN #120</v>
      </c>
      <c r="I1547" t="str">
        <f>IFERROR(__xludf.DUMMYFUNCTION("""COMPUTED_VALUE"""),"Rohin")</f>
        <v>Rohin</v>
      </c>
      <c r="J1547" t="str">
        <f>IFERROR(__xludf.DUMMYFUNCTION("""COMPUTED_VALUE"""),"The first scenario outlined in &lt;@What failure looks like@&gt; stems from a failure to specify what we actually want, so that we instead build AI systems that pursue proxies of what we want instead. As AI systems become responsible for more of the economy, hu"&amp;"man values become less influential relative to the proxy objectives the AI systems pursue, and as a result we lose control over the future. This post aims to clarify whether such a scenario leads to _lock in_, where we are stuck with the state of affairs "&amp;"and cannot correct it to get “back on course”. It identifies five factors which make this more likely:
1. _Collective action problems:_ Many human institutions will face competitive (short-term) pressures to deploy AI systems with bad proxies, even if it"&amp;" isn’t in humanity’s long-term interest.
2. _Regulatory capture:_ Influential people (such as CEOs of AI companies) may benefit from AI systems that optimize proxies, and so oppose measures to fix the issue (e.g. by banning such AI systems).
3. _Ambiguity"&amp;":_ There may be genuine ambiguity about whether it is better to have these AI systems that optimize for proxies, even from a long-term perspective, especially because all clear and easy-to-define metrics will likely be going up (since those can be turned "&amp;"into proxy objectives).
4. _Dependency:_ AI systems may become so embedded in society that society can no longer function without them.
5. _Opposition:_ The AI systems themselves may oppose any fixes we propose.
We can also look at historical precedents."&amp;" Factors 1-3 have played an important role in climate change, though if it does lead to lock in, this will be “because of physics”, unlike the case with AI. The agricultural revolution, which arguably made human life significantly worse, still persisted t"&amp;"hanks to its productivity gains (factor 1) and the loss of hunter-gathering skills (factor 4). When the British colonized New Zealand, the Maori people lost significant control over their future, because each individual chief needed guns (factor 1), tradi"&amp;"ng with the British genuinely made them better off initially (factor 3), and eventually the British turned to manipulation, confiscation and conflict (factor 5).
With AI in particular, we might expect that an increase in misinformation and echo chambers "&amp;"exacerbates ambiguity (factor 3), and that due to its general-purpose nature, dependency (factor 4) may be more of a risk.
The post also suggests some future directions for estimating the _severity_ of lock in for this failure mode.")</f>
        <v>The first scenario outlined in &lt;@What failure looks like@&gt; stems from a failure to specify what we actually want, so that we instead build AI systems that pursue proxies of what we want instead. As AI systems become responsible for more of the economy, human values become less influential relative to the proxy objectives the AI systems pursue, and as a result we lose control over the future. This post aims to clarify whether such a scenario leads to _lock in_, where we are stuck with the state of affairs and cannot correct it to get “back on course”. It identifies five factors which make this more likely:
1. _Collective action problems:_ Many human institutions will face competitive (short-term) pressures to deploy AI systems with bad proxies, even if it isn’t in humanity’s long-term interest.
2. _Regulatory capture:_ Influential people (such as CEOs of AI companies) may benefit from AI systems that optimize proxies, and so oppose measures to fix the issue (e.g. by banning such AI systems).
3. _Ambiguity:_ There may be genuine ambiguity about whether it is better to have these AI systems that optimize for proxies, even from a long-term perspective, especially because all clear and easy-to-define metrics will likely be going up (since those can be turned into proxy objectives).
4. _Dependency:_ AI systems may become so embedded in society that society can no longer function without them.
5. _Opposition:_ The AI systems themselves may oppose any fixes we propose.
We can also look at historical precedents. Factors 1-3 have played an important role in climate change, though if it does lead to lock in, this will be “because of physics”, unlike the case with AI. The agricultural revolution, which arguably made human life significantly worse, still persisted thanks to its productivity gains (factor 1) and the loss of hunter-gathering skills (factor 4). When the British colonized New Zealand, the Maori people lost significant control over their future, because each individual chief needed guns (factor 1), trading with the British genuinely made them better off initially (factor 3), and eventually the British turned to manipulation, confiscation and conflict (factor 5).
With AI in particular, we might expect that an increase in misinformation and echo chambers exacerbates ambiguity (factor 3), and that due to its general-purpose nature, dependency (factor 4) may be more of a risk.
The post also suggests some future directions for estimating the _severity_ of lock in for this failure mode.</v>
      </c>
      <c r="K1547" t="str">
        <f>IFERROR(__xludf.DUMMYFUNCTION("""COMPUTED_VALUE"""),"I think this topic is important and the post did it justice. I feel like factors 4 and 5 (dependency and opposition) capture the reasons I expect lock in, with factors 1-3 as less important but still relevant mechanisms. I also really liked the analogy wi"&amp;"th the British colonization of New Zealand -- it felt like it was in fact quite analogous to how I’d expect this sort of failure to happen.")</f>
        <v>I think this topic is important and the post did it justice. I feel like factors 4 and 5 (dependency and opposition) capture the reasons I expect lock in, with factors 1-3 as less important but still relevant mechanisms. I also really liked the analogy with the British colonization of New Zealand -- it felt like it was in fact quite analogous to how I’d expect this sort of failure to happen.</v>
      </c>
    </row>
    <row r="1548">
      <c r="A1548" t="str">
        <f>IFERROR(__xludf.DUMMYFUNCTION("""COMPUTED_VALUE"""),"Problems")</f>
        <v>Problems</v>
      </c>
      <c r="B1548" t="str">
        <f>IFERROR(__xludf.DUMMYFUNCTION("""COMPUTED_VALUE"""),"")</f>
        <v/>
      </c>
      <c r="C1548" s="3" t="str">
        <f>IFERROR(__xludf.DUMMYFUNCTION("""COMPUTED_VALUE"""),"Non-Adversarial Goodhart and AI Risks")</f>
        <v>Non-Adversarial Goodhart and AI Risks</v>
      </c>
      <c r="D1548" t="str">
        <f>IFERROR(__xludf.DUMMYFUNCTION("""COMPUTED_VALUE"""),"David Manheim")</f>
        <v>David Manheim</v>
      </c>
      <c r="E1548" t="str">
        <f>IFERROR(__xludf.DUMMYFUNCTION("""COMPUTED_VALUE"""),"LessWrong")</f>
        <v>LessWrong</v>
      </c>
      <c r="F1548">
        <f>IFERROR(__xludf.DUMMYFUNCTION("""COMPUTED_VALUE"""),2018.0)</f>
        <v>2018</v>
      </c>
      <c r="H1548" s="3" t="str">
        <f>IFERROR(__xludf.DUMMYFUNCTION("""COMPUTED_VALUE"""),"Recon #5")</f>
        <v>Recon #5</v>
      </c>
      <c r="I1548" t="str">
        <f>IFERROR(__xludf.DUMMYFUNCTION("""COMPUTED_VALUE"""),"Rohin")</f>
        <v>Rohin</v>
      </c>
      <c r="J1548" t="str">
        <f>IFERROR(__xludf.DUMMYFUNCTION("""COMPUTED_VALUE"""),"Goodhart's Law can be used as a lens to identify potential problems with AI systems. Regressional and extremal Goodhart correspond to the problems of hardcoded utility functions and distributional shift, which we're familiar with already. Causal Goodhart "&amp;"is different -- it is a failure of the AI system to model the world correctly. The post argues that causality is hard to infer, can lead to bad outcomes only over long timescales, and may not be easily found through testing, so we need to focus more on th"&amp;"em now.")</f>
        <v>Goodhart's Law can be used as a lens to identify potential problems with AI systems. Regressional and extremal Goodhart correspond to the problems of hardcoded utility functions and distributional shift, which we're familiar with already. Causal Goodhart is different -- it is a failure of the AI system to model the world correctly. The post argues that causality is hard to infer, can lead to bad outcomes only over long timescales, and may not be easily found through testing, so we need to focus more on them now.</v>
      </c>
      <c r="K1548" t="str">
        <f>IFERROR(__xludf.DUMMYFUNCTION("""COMPUTED_VALUE"""),"If the last sentence in my summary seems controversial or wrong to you, then you should read this post.")</f>
        <v>If the last sentence in my summary seems controversial or wrong to you, then you should read this post.</v>
      </c>
      <c r="L1548" s="3" t="str">
        <f>IFERROR(__xludf.DUMMYFUNCTION("""COMPUTED_VALUE"""),"Goodhart Taxonomy")</f>
        <v>Goodhart Taxonomy</v>
      </c>
    </row>
    <row r="1549">
      <c r="A1549" t="str">
        <f>IFERROR(__xludf.DUMMYFUNCTION("""COMPUTED_VALUE"""),"Problems")</f>
        <v>Problems</v>
      </c>
      <c r="B1549" t="str">
        <f>IFERROR(__xludf.DUMMYFUNCTION("""COMPUTED_VALUE"""),"")</f>
        <v/>
      </c>
      <c r="C1549" s="3" t="str">
        <f>IFERROR(__xludf.DUMMYFUNCTION("""COMPUTED_VALUE"""),"Classifying specification problems as variants of Goodhart's Law")</f>
        <v>Classifying specification problems as variants of Goodhart's Law</v>
      </c>
      <c r="D1549" t="str">
        <f>IFERROR(__xludf.DUMMYFUNCTION("""COMPUTED_VALUE"""),"Victoria Krakovna, Ramana Kumar")</f>
        <v>Victoria Krakovna, Ramana Kumar</v>
      </c>
      <c r="E1549" t="str">
        <f>IFERROR(__xludf.DUMMYFUNCTION("""COMPUTED_VALUE"""),"Alignment Forum")</f>
        <v>Alignment Forum</v>
      </c>
      <c r="F1549">
        <f>IFERROR(__xludf.DUMMYFUNCTION("""COMPUTED_VALUE"""),2019.0)</f>
        <v>2019</v>
      </c>
      <c r="H1549" s="3" t="str">
        <f>IFERROR(__xludf.DUMMYFUNCTION("""COMPUTED_VALUE"""),"AN #76")</f>
        <v>AN #76</v>
      </c>
      <c r="I1549" t="str">
        <f>IFERROR(__xludf.DUMMYFUNCTION("""COMPUTED_VALUE"""),"Rohin")</f>
        <v>Rohin</v>
      </c>
      <c r="J1549" t="str">
        <f>IFERROR(__xludf.DUMMYFUNCTION("""COMPUTED_VALUE"""),"This post argues that the specification problems from the &lt;@SRA framework@&gt;(@Building safe artificial intelligence: specification, robustness, and assurance@) are analogous to the [Goodhart taxonomy](https://www.lesswrong.com/posts/EbFABnst8LsidYs5Y/goodh"&amp;"art-taxonomy). Suppose there is some ideal specification. The first step is to choose a model class that can represent the specification, e.g. Python programs at most 1000 characters long. If the true best specification within the model class (called the "&amp;"model specification) differs from the ideal specification, then we will overfit to that specification, selecting for the difference between the model specification and ideal specification -- an instance of regressional Goodhart. But in practice, we don't "&amp;"get the model specification; instead humans choose some particular proxy specification, typically leading to good behavior on training environments. However, in new regimes, this may result in optimizing for some extreme state where the proxy specificatio"&amp;"n no longer correlates with the model specification, leading to very poor performance according to the model specification -- an instance of extremal Goodhart. (Most of the classic worries of specifying utility functions, including e.g. negative side effe"&amp;"cts, fall into this category.) Then, we have to actually implement the proxy specification in code, giving an implementation specification. Reward tampering allows you to ""hack"" the implementation to get high reward, even though the proxy specification "&amp;"would not give high reward, an instance of causal Goodhart.
They also argue that the ideal -&gt; model -&gt; proxy problems are instances of problems with selection, while the proxy -&gt; implementation problems are instances of control problems (see &lt;@Selection "&amp;"vs Control@&gt;). In addition, the ideal -&gt; model -&gt; proxy -&gt; implementation problems correspond to outer alignment, while inner alignment is a part of the implementation -&gt; revealed specification problem.")</f>
        <v>This post argues that the specification problems from the &lt;@SRA framework@&gt;(@Building safe artificial intelligence: specification, robustness, and assurance@) are analogous to the [Goodhart taxonomy](https://www.lesswrong.com/posts/EbFABnst8LsidYs5Y/goodhart-taxonomy). Suppose there is some ideal specification. The first step is to choose a model class that can represent the specification, e.g. Python programs at most 1000 characters long. If the true best specification within the model class (called the model specification) differs from the ideal specification, then we will overfit to that specification, selecting for the difference between the model specification and ideal specification -- an instance of regressional Goodhart. But in practice, we don't get the model specification; instead humans choose some particular proxy specification, typically leading to good behavior on training environments. However, in new regimes, this may result in optimizing for some extreme state where the proxy specification no longer correlates with the model specification, leading to very poor performance according to the model specification -- an instance of extremal Goodhart. (Most of the classic worries of specifying utility functions, including e.g. negative side effects, fall into this category.) Then, we have to actually implement the proxy specification in code, giving an implementation specification. Reward tampering allows you to "hack" the implementation to get high reward, even though the proxy specification would not give high reward, an instance of causal Goodhart.
They also argue that the ideal -&gt; model -&gt; proxy problems are instances of problems with selection, while the proxy -&gt; implementation problems are instances of control problems (see &lt;@Selection vs Control@&gt;). In addition, the ideal -&gt; model -&gt; proxy -&gt; implementation problems correspond to outer alignment, while inner alignment is a part of the implementation -&gt; revealed specification problem.</v>
      </c>
      <c r="K1549" t="str">
        <f>IFERROR(__xludf.DUMMYFUNCTION("""COMPUTED_VALUE""")," ")</f>
        <v> </v>
      </c>
    </row>
    <row r="1550">
      <c r="A1550" t="str">
        <f>IFERROR(__xludf.DUMMYFUNCTION("""COMPUTED_VALUE"""),"Problems")</f>
        <v>Problems</v>
      </c>
      <c r="B1550" t="str">
        <f>IFERROR(__xludf.DUMMYFUNCTION("""COMPUTED_VALUE"""),"")</f>
        <v/>
      </c>
      <c r="C1550" s="3" t="str">
        <f>IFERROR(__xludf.DUMMYFUNCTION("""COMPUTED_VALUE"""),"Defining AI wireheading")</f>
        <v>Defining AI wireheading</v>
      </c>
      <c r="D1550" t="str">
        <f>IFERROR(__xludf.DUMMYFUNCTION("""COMPUTED_VALUE"""),"Stuart Armstrong")</f>
        <v>Stuart Armstrong</v>
      </c>
      <c r="E1550" t="str">
        <f>IFERROR(__xludf.DUMMYFUNCTION("""COMPUTED_VALUE"""),"Alignment Forum")</f>
        <v>Alignment Forum</v>
      </c>
      <c r="F1550">
        <f>IFERROR(__xludf.DUMMYFUNCTION("""COMPUTED_VALUE"""),2019.0)</f>
        <v>2019</v>
      </c>
      <c r="H1550" s="3" t="str">
        <f>IFERROR(__xludf.DUMMYFUNCTION("""COMPUTED_VALUE"""),"AN #75")</f>
        <v>AN #75</v>
      </c>
      <c r="I1550" t="str">
        <f>IFERROR(__xludf.DUMMYFUNCTION("""COMPUTED_VALUE"""),"Rohin")</f>
        <v>Rohin</v>
      </c>
      <c r="J1550" t="str">
        <f>IFERROR(__xludf.DUMMYFUNCTION("""COMPUTED_VALUE"""),"This post points out that ""wireheading"" is a fuzzy category. Consider a weather-controlling AI tasked with increasing atmospheric pressure, as measured by the world's barometers. If it made a tiny dome around each barometer and increased air pressure wi"&amp;"thin the domes, we would call it wireheading. However, if we increase the size of the domes until it's a dome around the entire Earth, then it starts sounding like a perfectly reasonable way to optimize the reward function. Somewhere in the middle, it mus"&amp;"t have become unclear whether or not it was wireheading. The post suggests that wireheading can be defined as a subset of &lt;@specification gaming@&gt;(@Specification gaming examples in AI@), where the ""gaming"" happens by focusing on some narrow measurement "&amp;"channel, and the fuzziness comes from what counts as a ""narrow measurement channel"".")</f>
        <v>This post points out that "wireheading" is a fuzzy category. Consider a weather-controlling AI tasked with increasing atmospheric pressure, as measured by the world's barometers. If it made a tiny dome around each barometer and increased air pressure within the domes, we would call it wireheading. However, if we increase the size of the domes until it's a dome around the entire Earth, then it starts sounding like a perfectly reasonable way to optimize the reward function. Somewhere in the middle, it must have become unclear whether or not it was wireheading. The post suggests that wireheading can be defined as a subset of &lt;@specification gaming@&gt;(@Specification gaming examples in AI@), where the "gaming" happens by focusing on some narrow measurement channel, and the fuzziness comes from what counts as a "narrow measurement channel".</v>
      </c>
      <c r="K1550" t="str">
        <f>IFERROR(__xludf.DUMMYFUNCTION("""COMPUTED_VALUE"""),"You may have noticed that this newsletter doesn't talk about wireheading very much; this is one of the reasons why. It seems like wireheading is a fuzzy subset of specification gaming, and is not particularly likely to be the only kind of specification ga"&amp;"ming that could lead to catastrophe. I'd be surprised if we found some sort of solution where we'd say ""this solves all of wireheading, but it doesn't solve specification gaming"" -- there don't seem to be particular distinguishing features that would al"&amp;"low us to have a solution to wireheading but not specification gaming. There can of course be solutions to particular kinds of wireheading that _do_ have clear distinguishing features, such as &lt;@reward tampering@&gt;(@Designing agent incentives to avoid rewa"&amp;"rd tampering@), but I don't usually expect these to be the major sources of AI risk.")</f>
        <v>You may have noticed that this newsletter doesn't talk about wireheading very much; this is one of the reasons why. It seems like wireheading is a fuzzy subset of specification gaming, and is not particularly likely to be the only kind of specification gaming that could lead to catastrophe. I'd be surprised if we found some sort of solution where we'd say "this solves all of wireheading, but it doesn't solve specification gaming" -- there don't seem to be particular distinguishing features that would allow us to have a solution to wireheading but not specification gaming. There can of course be solutions to particular kinds of wireheading that _do_ have clear distinguishing features, such as &lt;@reward tampering@&gt;(@Designing agent incentives to avoid reward tampering@), but I don't usually expect these to be the major sources of AI risk.</v>
      </c>
    </row>
    <row r="1551">
      <c r="A1551" t="str">
        <f>IFERROR(__xludf.DUMMYFUNCTION("""COMPUTED_VALUE"""),"Problems")</f>
        <v>Problems</v>
      </c>
      <c r="B1551" t="str">
        <f>IFERROR(__xludf.DUMMYFUNCTION("""COMPUTED_VALUE"""),"")</f>
        <v/>
      </c>
      <c r="C1551" s="3" t="str">
        <f>IFERROR(__xludf.DUMMYFUNCTION("""COMPUTED_VALUE"""),"The ""Commitment Races"" problem")</f>
        <v>The "Commitment Races" problem</v>
      </c>
      <c r="D1551" t="str">
        <f>IFERROR(__xludf.DUMMYFUNCTION("""COMPUTED_VALUE"""),"Daniel Kokotajlo")</f>
        <v>Daniel Kokotajlo</v>
      </c>
      <c r="E1551" t="str">
        <f>IFERROR(__xludf.DUMMYFUNCTION("""COMPUTED_VALUE"""),"Alignment Forum")</f>
        <v>Alignment Forum</v>
      </c>
      <c r="F1551">
        <f>IFERROR(__xludf.DUMMYFUNCTION("""COMPUTED_VALUE"""),2019.0)</f>
        <v>2019</v>
      </c>
      <c r="H1551" s="3" t="str">
        <f>IFERROR(__xludf.DUMMYFUNCTION("""COMPUTED_VALUE"""),"AN #63")</f>
        <v>AN #63</v>
      </c>
      <c r="I1551" t="str">
        <f>IFERROR(__xludf.DUMMYFUNCTION("""COMPUTED_VALUE"""),"Rohin")</f>
        <v>Rohin</v>
      </c>
      <c r="J1551" t="str">
        <f>IFERROR(__xludf.DUMMYFUNCTION("""COMPUTED_VALUE"""),"When two agents are in a competitive game, it is often to each agent's advantage to quickly make a credible commitment before the other can. For example, in Chicken (both players drive a car straight towards the other and the first to swerve out of the wa"&amp;"y loses), an agent could rip out their steering wheel, thus credibly committing to driving straight. The first agent to do so would likely win the game. Thus, agents have an incentive to make commitments as quickly as possible, before their competitors ca"&amp;"n make commitments themselves. This trades off against the incentive to think carefully about commitments, and may result in arbitrarily bad outcomes.")</f>
        <v>When two agents are in a competitive game, it is often to each agent's advantage to quickly make a credible commitment before the other can. For example, in Chicken (both players drive a car straight towards the other and the first to swerve out of the way loses), an agent could rip out their steering wheel, thus credibly committing to driving straight. The first agent to do so would likely win the game. Thus, agents have an incentive to make commitments as quickly as possible, before their competitors can make commitments themselves. This trades off against the incentive to think carefully about commitments, and may result in arbitrarily bad outcomes.</v>
      </c>
    </row>
    <row r="1552">
      <c r="A1552" t="str">
        <f>IFERROR(__xludf.DUMMYFUNCTION("""COMPUTED_VALUE"""),"Problems")</f>
        <v>Problems</v>
      </c>
      <c r="B1552" t="str">
        <f>IFERROR(__xludf.DUMMYFUNCTION("""COMPUTED_VALUE"""),"")</f>
        <v/>
      </c>
      <c r="C1552" s="3" t="str">
        <f>IFERROR(__xludf.DUMMYFUNCTION("""COMPUTED_VALUE"""),"Problems in AI Alignment that philosophers could potentially contribute to")</f>
        <v>Problems in AI Alignment that philosophers could potentially contribute to</v>
      </c>
      <c r="D1552" t="str">
        <f>IFERROR(__xludf.DUMMYFUNCTION("""COMPUTED_VALUE"""),"Wei Dai")</f>
        <v>Wei Dai</v>
      </c>
      <c r="E1552" t="str">
        <f>IFERROR(__xludf.DUMMYFUNCTION("""COMPUTED_VALUE"""),"Alignment Forum")</f>
        <v>Alignment Forum</v>
      </c>
      <c r="F1552">
        <f>IFERROR(__xludf.DUMMYFUNCTION("""COMPUTED_VALUE"""),2019.0)</f>
        <v>2019</v>
      </c>
      <c r="H1552" s="3" t="str">
        <f>IFERROR(__xludf.DUMMYFUNCTION("""COMPUTED_VALUE"""),"AN #62")</f>
        <v>AN #62</v>
      </c>
      <c r="I1552" t="str">
        <f>IFERROR(__xludf.DUMMYFUNCTION("""COMPUTED_VALUE"""),"Rohin")</f>
        <v>Rohin</v>
      </c>
      <c r="J1552" t="str">
        <f>IFERROR(__xludf.DUMMYFUNCTION("""COMPUTED_VALUE"""),"Exactly what it says. The post is short enough that I'm not going to summarize it -- it would be as long as the original.")</f>
        <v>Exactly what it says. The post is short enough that I'm not going to summarize it -- it would be as long as the original.</v>
      </c>
    </row>
    <row r="1553">
      <c r="A1553" t="str">
        <f>IFERROR(__xludf.DUMMYFUNCTION("""COMPUTED_VALUE"""),"Problems")</f>
        <v>Problems</v>
      </c>
      <c r="B1553" t="str">
        <f>IFERROR(__xludf.DUMMYFUNCTION("""COMPUTED_VALUE"""),"")</f>
        <v/>
      </c>
      <c r="C1553" s="3" t="str">
        <f>IFERROR(__xludf.DUMMYFUNCTION("""COMPUTED_VALUE"""),"Agency Failure AI Apocalypse?")</f>
        <v>Agency Failure AI Apocalypse?</v>
      </c>
      <c r="D1553" t="str">
        <f>IFERROR(__xludf.DUMMYFUNCTION("""COMPUTED_VALUE"""),"Robin Hanson")</f>
        <v>Robin Hanson</v>
      </c>
      <c r="E1553" t="str">
        <f>IFERROR(__xludf.DUMMYFUNCTION("""COMPUTED_VALUE"""),"Overcoming Bias")</f>
        <v>Overcoming Bias</v>
      </c>
      <c r="F1553">
        <f>IFERROR(__xludf.DUMMYFUNCTION("""COMPUTED_VALUE"""),2019.0)</f>
        <v>2019</v>
      </c>
      <c r="H1553" s="3" t="str">
        <f>IFERROR(__xludf.DUMMYFUNCTION("""COMPUTED_VALUE"""),"AN #56")</f>
        <v>AN #56</v>
      </c>
      <c r="I1553" t="str">
        <f>IFERROR(__xludf.DUMMYFUNCTION("""COMPUTED_VALUE"""),"Rohin")</f>
        <v>Rohin</v>
      </c>
      <c r="J1553" t="str">
        <f>IFERROR(__xludf.DUMMYFUNCTION("""COMPUTED_VALUE"""),"This is a response to &lt;@More realistic tales of doom@&gt;, arguing that the scenarios described in the post are unrealistic given what we know about principal-agent problems. In a typical principal-agent problem, the principal doesn't know everything about t"&amp;"he agent, and the agent can use this fact to gain ""agency rents"" where it can gain extra value for itself, or there could be an ""agency failure"" where the principal doesn't get as much as they want. For example, an employee might spend half of their d"&amp;"ay browsing the web, because their manager can't tell that that's what they are doing. Our economic literature on principal-agent problems suggests that agency problems get harder with more information asymmetry, more noise in outcomes, etc. but not with "&amp;"smarter agents, and in any case we typically see limited agency rents and failures. So, it's unlikely that the case for AI will be any different, and while it's good to have a couple of people keeping an eye on the problem, it's not worth the large invest"&amp;"ment of resources from future-oriented people that we currently see.")</f>
        <v>This is a response to &lt;@More realistic tales of doom@&gt;, arguing that the scenarios described in the post are unrealistic given what we know about principal-agent problems. In a typical principal-agent problem, the principal doesn't know everything about the agent, and the agent can use this fact to gain "agency rents" where it can gain extra value for itself, or there could be an "agency failure" where the principal doesn't get as much as they want. For example, an employee might spend half of their day browsing the web, because their manager can't tell that that's what they are doing. Our economic literature on principal-agent problems suggests that agency problems get harder with more information asymmetry, more noise in outcomes, etc. but not with smarter agents, and in any case we typically see limited agency rents and failures. So, it's unlikely that the case for AI will be any different, and while it's good to have a couple of people keeping an eye on the problem, it's not worth the large investment of resources from future-oriented people that we currently see.</v>
      </c>
      <c r="K1553" t="str">
        <f>IFERROR(__xludf.DUMMYFUNCTION("""COMPUTED_VALUE"""),"I have a bunch of complicated thoughts on this post, many of which were said in Paul's comment reply to the post, but I'll say a few things. Firstly, I think that if you want to view the AI alignment problem in the context of the principal-agent literatur"&amp;"e, the natural way to think about it is with the principal being less rational than the agent. I claim that it is at least conceivable that an AI system could make humans worse off, but the standard principal-agent model cannot accommodate such a scenario"&amp;" because it assumes the principal is rational, which means the principal always does at least as well as not ceding any control to the agent at all. More importantly, although I'm not too familiar with the principal-agent literature, I'm guessing that the"&amp;" literature assumes the presence of norms, laws and institutions that constrain both the principal and the agent, and in such cases it makes sense that the loss that the principal could incur would be bounded -- but it's not obvious that this would hold f"&amp;"or sufficiently powerful AI systems.")</f>
        <v>I have a bunch of complicated thoughts on this post, many of which were said in Paul's comment reply to the post, but I'll say a few things. Firstly, I think that if you want to view the AI alignment problem in the context of the principal-agent literature, the natural way to think about it is with the principal being less rational than the agent. I claim that it is at least conceivable that an AI system could make humans worse off, but the standard principal-agent model cannot accommodate such a scenario because it assumes the principal is rational, which means the principal always does at least as well as not ceding any control to the agent at all. More importantly, although I'm not too familiar with the principal-agent literature, I'm guessing that the literature assumes the presence of norms, laws and institutions that constrain both the principal and the agent, and in such cases it makes sense that the loss that the principal could incur would be bounded -- but it's not obvious that this would hold for sufficiently powerful AI systems.</v>
      </c>
    </row>
    <row r="1554">
      <c r="A1554" t="str">
        <f>IFERROR(__xludf.DUMMYFUNCTION("""COMPUTED_VALUE"""),"Problems")</f>
        <v>Problems</v>
      </c>
      <c r="B1554" t="str">
        <f>IFERROR(__xludf.DUMMYFUNCTION("""COMPUTED_VALUE"""),"")</f>
        <v/>
      </c>
      <c r="C1554" s="3" t="str">
        <f>IFERROR(__xludf.DUMMYFUNCTION("""COMPUTED_VALUE"""),"The Main Sources of AI Risk?")</f>
        <v>The Main Sources of AI Risk?</v>
      </c>
      <c r="D1554" t="str">
        <f>IFERROR(__xludf.DUMMYFUNCTION("""COMPUTED_VALUE"""),"Wei Dai")</f>
        <v>Wei Dai</v>
      </c>
      <c r="E1554" t="str">
        <f>IFERROR(__xludf.DUMMYFUNCTION("""COMPUTED_VALUE"""),"Alignment Forum")</f>
        <v>Alignment Forum</v>
      </c>
      <c r="F1554">
        <f>IFERROR(__xludf.DUMMYFUNCTION("""COMPUTED_VALUE"""),2019.0)</f>
        <v>2019</v>
      </c>
      <c r="H1554" s="3" t="str">
        <f>IFERROR(__xludf.DUMMYFUNCTION("""COMPUTED_VALUE"""),"AN #50")</f>
        <v>AN #50</v>
      </c>
      <c r="I1554" t="str">
        <f>IFERROR(__xludf.DUMMYFUNCTION("""COMPUTED_VALUE"""),"Rohin")</f>
        <v>Rohin</v>
      </c>
      <c r="J1554" t="str">
        <f>IFERROR(__xludf.DUMMYFUNCTION("""COMPUTED_VALUE"""),"This post lists different causes or sources of existential risk from advanced AI.")</f>
        <v>This post lists different causes or sources of existential risk from advanced AI.</v>
      </c>
    </row>
    <row r="1555">
      <c r="A1555" t="str">
        <f>IFERROR(__xludf.DUMMYFUNCTION("""COMPUTED_VALUE"""),"Problems")</f>
        <v>Problems</v>
      </c>
      <c r="B1555" t="str">
        <f>IFERROR(__xludf.DUMMYFUNCTION("""COMPUTED_VALUE"""),"")</f>
        <v/>
      </c>
      <c r="C1555" s="3" t="str">
        <f>IFERROR(__xludf.DUMMYFUNCTION("""COMPUTED_VALUE"""),"Imitation learning considered unsafe?")</f>
        <v>Imitation learning considered unsafe?</v>
      </c>
      <c r="D1555" t="str">
        <f>IFERROR(__xludf.DUMMYFUNCTION("""COMPUTED_VALUE"""),"capybaralet")</f>
        <v>capybaralet</v>
      </c>
      <c r="E1555" t="str">
        <f>IFERROR(__xludf.DUMMYFUNCTION("""COMPUTED_VALUE"""),"LessWrong")</f>
        <v>LessWrong</v>
      </c>
      <c r="F1555">
        <f>IFERROR(__xludf.DUMMYFUNCTION("""COMPUTED_VALUE"""),2019.0)</f>
        <v>2019</v>
      </c>
      <c r="H1555" s="3" t="str">
        <f>IFERROR(__xludf.DUMMYFUNCTION("""COMPUTED_VALUE"""),"AN #40")</f>
        <v>AN #40</v>
      </c>
      <c r="I1555" t="str">
        <f>IFERROR(__xludf.DUMMYFUNCTION("""COMPUTED_VALUE"""),"Rohin")</f>
        <v>Rohin</v>
      </c>
      <c r="J1555" t="str">
        <f>IFERROR(__xludf.DUMMYFUNCTION("""COMPUTED_VALUE"""),"We might hope that using imitation learning to mimic a corrigible human would be safe. However, this would involve mimicking the human's planning process. It seems fairly likely that slight errors in the imitation of this process could lead to the creatio"&amp;"n of a goal-directed planning process that does dangerous long-term optimization.")</f>
        <v>We might hope that using imitation learning to mimic a corrigible human would be safe. However, this would involve mimicking the human's planning process. It seems fairly likely that slight errors in the imitation of this process could lead to the creation of a goal-directed planning process that does dangerous long-term optimization.</v>
      </c>
      <c r="K1555" t="str">
        <f>IFERROR(__xludf.DUMMYFUNCTION("""COMPUTED_VALUE"""),"This seems pretty similar to the problem of inner optimizers, in which while searching for a good policy for some task T on training distribution D, you end up finding a consequentialist agent that is optimizing some utility function that leads to good pe"&amp;"rformance on D. That agent will have all the standard dangers of goal-directed optimization out of distribution.")</f>
        <v>This seems pretty similar to the problem of inner optimizers, in which while searching for a good policy for some task T on training distribution D, you end up finding a consequentialist agent that is optimizing some utility function that leads to good performance on D. That agent will have all the standard dangers of goal-directed optimization out of distribution.</v>
      </c>
    </row>
    <row r="1556">
      <c r="A1556" t="str">
        <f>IFERROR(__xludf.DUMMYFUNCTION("""COMPUTED_VALUE"""),"Problems")</f>
        <v>Problems</v>
      </c>
      <c r="B1556" t="str">
        <f>IFERROR(__xludf.DUMMYFUNCTION("""COMPUTED_VALUE"""),"")</f>
        <v/>
      </c>
      <c r="C1556" s="3" t="str">
        <f>IFERROR(__xludf.DUMMYFUNCTION("""COMPUTED_VALUE"""),"Implicit extortion")</f>
        <v>Implicit extortion</v>
      </c>
      <c r="D1556" t="str">
        <f>IFERROR(__xludf.DUMMYFUNCTION("""COMPUTED_VALUE"""),"Paul Christiano")</f>
        <v>Paul Christiano</v>
      </c>
      <c r="E1556" t="str">
        <f>IFERROR(__xludf.DUMMYFUNCTION("""COMPUTED_VALUE"""),"AI Alignment")</f>
        <v>AI Alignment</v>
      </c>
      <c r="F1556">
        <f>IFERROR(__xludf.DUMMYFUNCTION("""COMPUTED_VALUE"""),2018.0)</f>
        <v>2018</v>
      </c>
      <c r="H1556" s="3" t="str">
        <f>IFERROR(__xludf.DUMMYFUNCTION("""COMPUTED_VALUE"""),"AN #3")</f>
        <v>AN #3</v>
      </c>
      <c r="I1556" t="str">
        <f>IFERROR(__xludf.DUMMYFUNCTION("""COMPUTED_VALUE"""),"Rohin")</f>
        <v>Rohin</v>
      </c>
      <c r="J1556" t="str">
        <f>IFERROR(__xludf.DUMMYFUNCTION("""COMPUTED_VALUE"""),"Explicit extortion occurs when an attacker makes an explicit threat to harm you if you don't comply with their demands. In contrast, in implicit extortion, the attacker always harms you if you don't do the thing that they want, which leads you to learn ov"&amp;"er time to do what the attacker wants. Implicit extortion seems particularly hard to deal with because you may not know it is happening.")</f>
        <v>Explicit extortion occurs when an attacker makes an explicit threat to harm you if you don't comply with their demands. In contrast, in implicit extortion, the attacker always harms you if you don't do the thing that they want, which leads you to learn over time to do what the attacker wants. Implicit extortion seems particularly hard to deal with because you may not know it is happening.</v>
      </c>
      <c r="K1556" t="str">
        <f>IFERROR(__xludf.DUMMYFUNCTION("""COMPUTED_VALUE"""),"Implicit extortion sounds like a hard problem to solve, and the post argues that humans don't robustly solve it. I'm not sure whether this is a problem we need to solve in order to get good outcomes -- if you can detect that implicit extortion is happenin"&amp;"g, you can take steps to avoid being extorted, and so it seems that a successful implicit extortion attack would have to be done by a very capable adversary that knows how to carry out the attack so that it isn't detected. Perhaps we'll be in the world wh"&amp;"ere such adversaries don't exist.")</f>
        <v>Implicit extortion sounds like a hard problem to solve, and the post argues that humans don't robustly solve it. I'm not sure whether this is a problem we need to solve in order to get good outcomes -- if you can detect that implicit extortion is happening, you can take steps to avoid being extorted, and so it seems that a successful implicit extortion attack would have to be done by a very capable adversary that knows how to carry out the attack so that it isn't detected. Perhaps we'll be in the world where such adversaries don't exist.</v>
      </c>
    </row>
    <row r="1557">
      <c r="A1557" t="str">
        <f>IFERROR(__xludf.DUMMYFUNCTION("""COMPUTED_VALUE"""),"Problems")</f>
        <v>Problems</v>
      </c>
      <c r="B1557" t="str">
        <f>IFERROR(__xludf.DUMMYFUNCTION("""COMPUTED_VALUE"""),"")</f>
        <v/>
      </c>
      <c r="C1557" s="3" t="str">
        <f>IFERROR(__xludf.DUMMYFUNCTION("""COMPUTED_VALUE"""),"A Gym Gridworld Environment for the Treacherous Turn")</f>
        <v>A Gym Gridworld Environment for the Treacherous Turn</v>
      </c>
      <c r="D1557" t="str">
        <f>IFERROR(__xludf.DUMMYFUNCTION("""COMPUTED_VALUE"""),"Michaël Trazzi")</f>
        <v>Michaël Trazzi</v>
      </c>
      <c r="E1557" t="str">
        <f>IFERROR(__xludf.DUMMYFUNCTION("""COMPUTED_VALUE"""),"LessWrong")</f>
        <v>LessWrong</v>
      </c>
      <c r="F1557">
        <f>IFERROR(__xludf.DUMMYFUNCTION("""COMPUTED_VALUE"""),2018.0)</f>
        <v>2018</v>
      </c>
      <c r="H1557" s="3" t="str">
        <f>IFERROR(__xludf.DUMMYFUNCTION("""COMPUTED_VALUE"""),"AN #18")</f>
        <v>AN #18</v>
      </c>
      <c r="I1557" t="str">
        <f>IFERROR(__xludf.DUMMYFUNCTION("""COMPUTED_VALUE"""),"Rohin")</f>
        <v>Rohin</v>
      </c>
      <c r="J1557" t="str">
        <f>IFERROR(__xludf.DUMMYFUNCTION("""COMPUTED_VALUE"""),"An example Gym environment in which the agent starts out ""weak"" (having an inaccurate bow) and later becomes ""strong"" (getting a bow with perfect accuracy), after which the agent undertakes a treacherous turn in order to kill the supervisor and wirehe"&amp;"ad.")</f>
        <v>An example Gym environment in which the agent starts out "weak" (having an inaccurate bow) and later becomes "strong" (getting a bow with perfect accuracy), after which the agent undertakes a treacherous turn in order to kill the supervisor and wirehead.</v>
      </c>
      <c r="K1557" t="str">
        <f>IFERROR(__xludf.DUMMYFUNCTION("""COMPUTED_VALUE"""),"I'm a fan of executable code that demonstrates the problems that we are worrying about -- it makes the concept (in this case, a treacherous turn) more concrete. In order to make it more realistic, I would want the agent to grow in capability organically ("&amp;"rather than simply getting a more powerful weapon). It would really drive home the point if the agent undertook a treacherous turn the very first time, whereas in this post I assume it learned using many episodes of trial-and-error that a treacherous turn"&amp;" leads to higher reward. This seems hard to demonstrate with today's ML in any complex environment, where you need to learn from experience instead of using eg. value iteration, but it's not out of the question in a continual learning setup where the agen"&amp;"t can learn a model of the world.")</f>
        <v>I'm a fan of executable code that demonstrates the problems that we are worrying about -- it makes the concept (in this case, a treacherous turn) more concrete. In order to make it more realistic, I would want the agent to grow in capability organically (rather than simply getting a more powerful weapon). It would really drive home the point if the agent undertook a treacherous turn the very first time, whereas in this post I assume it learned using many episodes of trial-and-error that a treacherous turn leads to higher reward. This seems hard to demonstrate with today's ML in any complex environment, where you need to learn from experience instead of using eg. value iteration, but it's not out of the question in a continual learning setup where the agent can learn a model of the world.</v>
      </c>
    </row>
    <row r="1558">
      <c r="A1558" t="str">
        <f>IFERROR(__xludf.DUMMYFUNCTION("""COMPUTED_VALUE"""),"Problems")</f>
        <v>Problems</v>
      </c>
      <c r="B1558" t="str">
        <f>IFERROR(__xludf.DUMMYFUNCTION("""COMPUTED_VALUE"""),"")</f>
        <v/>
      </c>
      <c r="C1558" s="3" t="str">
        <f>IFERROR(__xludf.DUMMYFUNCTION("""COMPUTED_VALUE"""),"Ethical and social risks of harm from Language Models")</f>
        <v>Ethical and social risks of harm from Language Models</v>
      </c>
      <c r="D1558" t="str">
        <f>IFERROR(__xludf.DUMMYFUNCTION("""COMPUTED_VALUE"""),"Laura Weidinger, John Mellor, Maribeth Rauh, Conor Griffin, Jonathan Uesato, Po-Sen Huang, Myra Cheng, Mia Glaese, Borja Balle, Atoosa Kasirzadeh, Zac Kenton, Sasha Brown, Will Hawkins, Tom Stepleton, Courtney Biles, Abeba Birhane, Julia Haas, Laura Rimel"&amp;"l, Lisa Anne Hendricks, William Isaac, Sean Legassick, Geoffrey Irving, Iason Gabriel")</f>
        <v>Laura Weidinger, John Mellor, Maribeth Rauh, Conor Griffin, Jonathan Uesato, Po-Sen Huang, Myra Cheng, Mia Glaese, Borja Balle, Atoosa Kasirzadeh, Zac Kenton, Sasha Brown, Will Hawkins, Tom Stepleton, Courtney Biles, Abeba Birhane, Julia Haas, Laura Rimell, Lisa Anne Hendricks, William Isaac, Sean Legassick, Geoffrey Irving, Iason Gabriel</v>
      </c>
      <c r="E1558" t="str">
        <f>IFERROR(__xludf.DUMMYFUNCTION("""COMPUTED_VALUE"""),"arXiv")</f>
        <v>arXiv</v>
      </c>
      <c r="F1558">
        <f>IFERROR(__xludf.DUMMYFUNCTION("""COMPUTED_VALUE"""),2021.0)</f>
        <v>2021</v>
      </c>
      <c r="H1558" t="str">
        <f>IFERROR(__xludf.DUMMYFUNCTION("""COMPUTED_VALUE"""),"AN #173")</f>
        <v>AN #173</v>
      </c>
      <c r="I1558" t="str">
        <f>IFERROR(__xludf.DUMMYFUNCTION("""COMPUTED_VALUE"""),"Rohin")</f>
        <v>Rohin</v>
      </c>
      <c r="J1558" t="str">
        <f>IFERROR(__xludf.DUMMYFUNCTION("""COMPUTED_VALUE"""),"This paper provides a detailed discussion, taxonomy, and literature review of various risks we could see with current large language models. It doesn't cover alignment risks; for those you'll want &lt;@Alignment of Language Agents@&gt;, which has some overlap o"&amp;"f authors. I’ll copy over the authors’ taxonomy in Table 1:
1. **Discrimination, Exclusion and Toxicity:** These risks arise from the LM accurately reflecting natural speech, including unjust, toxic, and oppressive tendencies present in the training data"&amp;".
2. **Information Hazards:** These risks arise from the LM predicting utterances which constitute private or safety-critical information which are present in, or can be inferred from, training data.
3. **Misinformation Harms:** These risks arise from the"&amp;" LM assigning high probabilities to false, misleading, nonsensical or poor quality information.
4. **Malicious Uses:** These risks arise from humans intentionally using the LM to cause harm.
5. **Human-Computer Interaction Harms:** These risks arise from "&amp;"LM applications, such as Conversational Agents, that directly engage a user via the mode of conversation. (For example, users might anthropomorphize LMs and trust them too much as a result.)
6. **Automation, access, and environmental harms:** These risks "&amp;"arise where LMs are used to underpin widely used downstream applications that disproportionately benefit some groups rather than others.")</f>
        <v>This paper provides a detailed discussion, taxonomy, and literature review of various risks we could see with current large language models. It doesn't cover alignment risks; for those you'll want &lt;@Alignment of Language Agents@&gt;, which has some overlap of authors. I’ll copy over the authors’ taxonomy in Table 1:
1. **Discrimination, Exclusion and Toxicity:** These risks arise from the LM accurately reflecting natural speech, including unjust, toxic, and oppressive tendencies present in the training data.
2. **Information Hazards:** These risks arise from the LM predicting utterances which constitute private or safety-critical information which are present in, or can be inferred from, training data.
3. **Misinformation Harms:** These risks arise from the LM assigning high probabilities to false, misleading, nonsensical or poor quality information.
4. **Malicious Uses:** These risks arise from humans intentionally using the LM to cause harm.
5. **Human-Computer Interaction Harms:** These risks arise from LM applications, such as Conversational Agents, that directly engage a user via the mode of conversation. (For example, users might anthropomorphize LMs and trust them too much as a result.)
6. **Automation, access, and environmental harms:** These risks arise where LMs are used to underpin widely used downstream applications that disproportionately benefit some groups rather than others.</v>
      </c>
    </row>
    <row r="1559">
      <c r="A1559" t="str">
        <f>IFERROR(__xludf.DUMMYFUNCTION("""COMPUTED_VALUE"""),"Problems")</f>
        <v>Problems</v>
      </c>
      <c r="B1559" t="str">
        <f>IFERROR(__xludf.DUMMYFUNCTION("""COMPUTED_VALUE"""),"")</f>
        <v/>
      </c>
      <c r="C1559" s="3" t="str">
        <f>IFERROR(__xludf.DUMMYFUNCTION("""COMPUTED_VALUE"""),"Environmental Structure Can Cause Instrumental Convergence")</f>
        <v>Environmental Structure Can Cause Instrumental Convergence</v>
      </c>
      <c r="D1559" t="str">
        <f>IFERROR(__xludf.DUMMYFUNCTION("""COMPUTED_VALUE"""),"Alex Turner")</f>
        <v>Alex Turner</v>
      </c>
      <c r="E1559" t="str">
        <f>IFERROR(__xludf.DUMMYFUNCTION("""COMPUTED_VALUE"""),"Alignment Forum")</f>
        <v>Alignment Forum</v>
      </c>
      <c r="F1559">
        <f>IFERROR(__xludf.DUMMYFUNCTION("""COMPUTED_VALUE"""),2021.0)</f>
        <v>2021</v>
      </c>
      <c r="H1559" s="3" t="str">
        <f>IFERROR(__xludf.DUMMYFUNCTION("""COMPUTED_VALUE"""),"AN #153")</f>
        <v>AN #153</v>
      </c>
      <c r="I1559" t="str">
        <f>IFERROR(__xludf.DUMMYFUNCTION("""COMPUTED_VALUE"""),"Rohin")</f>
        <v>Rohin</v>
      </c>
      <c r="J1559" t="str">
        <f>IFERROR(__xludf.DUMMYFUNCTION("""COMPUTED_VALUE"""),"We have &lt;@previously seen@&gt;(@Seeking Power is Provably Instrumentally Convergent in MDPs@) that if you are given an optimal policy for some reward function, but are very uncertain about that reward function (specifically, your belief assigns reward to sta"&amp;"tes in an iid manner), you should expect that the optimal policy will navigate towards states with higher power in some but not all situations. This post generalizes this to non-iid reward distributions: specifically, that ""at least half"" of reward dist"&amp;"ributions will seek power (in particular circumstances).
The new results depend on the notion of _environment symmetries_, arising in states in which an action a2 leads to “more options” than another action a1 (we'll assume that a1 and a2 lead to differe"&amp;"nt, disjoint parts of the state space). Specifically, a1 leads to a part of the state space that is isomorphic to a subgraph of the part of the state space that a2 leads to. For example, a1 might be going to a store where you can buy books or video games,"&amp;" and a2 might be going to a supermarket where you can buy food, plants, cleaning supplies, tools, etc. Then, one subgraph isomorphism would be the one that maps “local store” to “supermarket”, “books” to “food”, and “video games” to “plants”. Another such"&amp;" isomorphism would instead map “video games” to “tools”, while keeping the rest the same.
Now this alone doesn’t mean that an optimal policy is definitely going to take a2. Maybe you really want to buy books, so a1 is the optimal choice! But for every re"&amp;"ward function for which a1 is optimal, we can construct another reward function for which a2 is optimal, by mapping it through the isomorphism. So, if your first reward function highly valued books, this would now construct a new reward function that high"&amp;"ly values food, and now a2 will be optimal. Thus, at least half of the possible reward functions (or distributions over reward functions) will prefer a2 over a1. Thus, in cases where these isomorphisms exist, optimal policies will tend to seek more option"&amp;"s (which in turn means they are seeking power).
If the agent optimizes average reward (i.e. gamma is 1), then we can extend this analysis out in time, to the final cycle that an agent ends up in. (It must end up in a cycle because by assumption the state"&amp;" space is finite.) Any given cycle would only count as one “option”, so ending up in any given cycle is not very likely (using a similar argument of constructing other rewards). If shutdown is modeled as a state with a single self-loop and no other action"&amp;"s, then this implies that optimal policies will tend to avoid entering the shutdown state.
We’ve been saying “we can construct this other reward function under which the power-seeking action is optimal”. An important caveat is that maybe we know that thi"&amp;"s other reward function is very unlikely. For example, maybe we really do just know that we’re going to like books and not care much about food, and so the argument “well, we can map the book-loving reward to a food-loving reward” isn’t that interesting, "&amp;"because we assign high probability to the first and low probability to the second. We can’t rule this out for what humans actually do in practice, but it isn’t as simple as “a simplicity prior would do the right thing” -- for any non-power-seeking reward "&amp;"function, we can create a power-seeking reward function with only slightly higher complexity by having a program that searches for a subgraph isomorphism and then applies it to the non-power-seeking reward function to create a power-seeking version.
Anot"&amp;"her major caveat is that this all relies on the existence of these isomorphisms / symmetries in the environment. It is still a matter of debate whether good models of the environment will exhibit such isomorphisms.")</f>
        <v>We have &lt;@previously seen@&gt;(@Seeking Power is Provably Instrumentally Convergent in MDPs@) that if you are given an optimal policy for some reward function, but are very uncertain about that reward function (specifically, your belief assigns reward to states in an iid manner), you should expect that the optimal policy will navigate towards states with higher power in some but not all situations. This post generalizes this to non-iid reward distributions: specifically, that "at least half" of reward distributions will seek power (in particular circumstances).
The new results depend on the notion of _environment symmetries_, arising in states in which an action a2 leads to “more options” than another action a1 (we'll assume that a1 and a2 lead to different, disjoint parts of the state space). Specifically, a1 leads to a part of the state space that is isomorphic to a subgraph of the part of the state space that a2 leads to. For example, a1 might be going to a store where you can buy books or video games, and a2 might be going to a supermarket where you can buy food, plants, cleaning supplies, tools, etc. Then, one subgraph isomorphism would be the one that maps “local store” to “supermarket”, “books” to “food”, and “video games” to “plants”. Another such isomorphism would instead map “video games” to “tools”, while keeping the rest the same.
Now this alone doesn’t mean that an optimal policy is definitely going to take a2. Maybe you really want to buy books, so a1 is the optimal choice! But for every reward function for which a1 is optimal, we can construct another reward function for which a2 is optimal, by mapping it through the isomorphism. So, if your first reward function highly valued books, this would now construct a new reward function that highly values food, and now a2 will be optimal. Thus, at least half of the possible reward functions (or distributions over reward functions) will prefer a2 over a1. Thus, in cases where these isomorphisms exist, optimal policies will tend to seek more options (which in turn means they are seeking power).
If the agent optimizes average reward (i.e. gamma is 1), then we can extend this analysis out in time, to the final cycle that an agent ends up in. (It must end up in a cycle because by assumption the state space is finite.) Any given cycle would only count as one “option”, so ending up in any given cycle is not very likely (using a similar argument of constructing other rewards). If shutdown is modeled as a state with a single self-loop and no other actions, then this implies that optimal policies will tend to avoid entering the shutdown state.
We’ve been saying “we can construct this other reward function under which the power-seeking action is optimal”. An important caveat is that maybe we know that this other reward function is very unlikely. For example, maybe we really do just know that we’re going to like books and not care much about food, and so the argument “well, we can map the book-loving reward to a food-loving reward” isn’t that interesting, because we assign high probability to the first and low probability to the second. We can’t rule this out for what humans actually do in practice, but it isn’t as simple as “a simplicity prior would do the right thing” -- for any non-power-seeking reward function, we can create a power-seeking reward function with only slightly higher complexity by having a program that searches for a subgraph isomorphism and then applies it to the non-power-seeking reward function to create a power-seeking version.
Another major caveat is that this all relies on the existence of these isomorphisms / symmetries in the environment. It is still a matter of debate whether good models of the environment will exhibit such isomorphisms.</v>
      </c>
    </row>
    <row r="1560">
      <c r="A1560" t="str">
        <f>IFERROR(__xludf.DUMMYFUNCTION("""COMPUTED_VALUE"""),"Problems")</f>
        <v>Problems</v>
      </c>
      <c r="B1560" t="str">
        <f>IFERROR(__xludf.DUMMYFUNCTION("""COMPUTED_VALUE"""),"")</f>
        <v/>
      </c>
      <c r="C1560" s="3" t="str">
        <f>IFERROR(__xludf.DUMMYFUNCTION("""COMPUTED_VALUE"""),"Eight claims about multi-agent AGI safety")</f>
        <v>Eight claims about multi-agent AGI safety</v>
      </c>
      <c r="D1560" t="str">
        <f>IFERROR(__xludf.DUMMYFUNCTION("""COMPUTED_VALUE"""),"Richard Ngo")</f>
        <v>Richard Ngo</v>
      </c>
      <c r="E1560" t="str">
        <f>IFERROR(__xludf.DUMMYFUNCTION("""COMPUTED_VALUE"""),"Alignment Forum")</f>
        <v>Alignment Forum</v>
      </c>
      <c r="F1560">
        <f>IFERROR(__xludf.DUMMYFUNCTION("""COMPUTED_VALUE"""),2021.0)</f>
        <v>2021</v>
      </c>
      <c r="H1560" s="3" t="str">
        <f>IFERROR(__xludf.DUMMYFUNCTION("""COMPUTED_VALUE"""),"AN #133")</f>
        <v>AN #133</v>
      </c>
      <c r="I1560" t="str">
        <f>IFERROR(__xludf.DUMMYFUNCTION("""COMPUTED_VALUE"""),"Rohin")</f>
        <v>Rohin</v>
      </c>
      <c r="J1560" t="str">
        <f>IFERROR(__xludf.DUMMYFUNCTION("""COMPUTED_VALUE"""),"This post clearly states eight claims about multiagent AGI safety, and provides brief arguments for each of them. Since the post is itself basically a summary, I won’t go into detail here.")</f>
        <v>This post clearly states eight claims about multiagent AGI safety, and provides brief arguments for each of them. Since the post is itself basically a summary, I won’t go into detail here.</v>
      </c>
    </row>
    <row r="1561">
      <c r="A1561" t="str">
        <f>IFERROR(__xludf.DUMMYFUNCTION("""COMPUTED_VALUE"""),"Problems")</f>
        <v>Problems</v>
      </c>
      <c r="B1561" t="str">
        <f>IFERROR(__xludf.DUMMYFUNCTION("""COMPUTED_VALUE"""),"")</f>
        <v/>
      </c>
      <c r="C1561" s="3" t="str">
        <f>IFERROR(__xludf.DUMMYFUNCTION("""COMPUTED_VALUE"""),"""Unsupervised"" translation as an (intent) alignment problem")</f>
        <v>"Unsupervised" translation as an (intent) alignment problem</v>
      </c>
      <c r="D1561" t="str">
        <f>IFERROR(__xludf.DUMMYFUNCTION("""COMPUTED_VALUE"""),"Paul Christiano")</f>
        <v>Paul Christiano</v>
      </c>
      <c r="E1561" t="str">
        <f>IFERROR(__xludf.DUMMYFUNCTION("""COMPUTED_VALUE"""),"Alignment Forum")</f>
        <v>Alignment Forum</v>
      </c>
      <c r="F1561">
        <f>IFERROR(__xludf.DUMMYFUNCTION("""COMPUTED_VALUE"""),2020.0)</f>
        <v>2020</v>
      </c>
      <c r="H1561" s="3" t="str">
        <f>IFERROR(__xludf.DUMMYFUNCTION("""COMPUTED_VALUE"""),"AN #120")</f>
        <v>AN #120</v>
      </c>
      <c r="I1561" t="str">
        <f>IFERROR(__xludf.DUMMYFUNCTION("""COMPUTED_VALUE"""),"Rohin")</f>
        <v>Rohin</v>
      </c>
      <c r="J1561" t="str">
        <f>IFERROR(__xludf.DUMMYFUNCTION("""COMPUTED_VALUE"""),"We have previously seen that a major challenge for alignment is that our models may learn &lt;@inaccessible information@&gt;(@Inaccessible information@) that we cannot extract from them, because we do not know how to provide a learning signal to train them to o"&amp;"utput such information. This post proposes unsupervised translation as a particular concrete problem to ground this out.
Suppose we have lots of English text, and lots of Klingon text, but no translations from English to Klingon (or vice versa), and no b"&amp;"ilingual speakers. If we train GPT on the text, it will probably develop a good understanding of both English and Klingon, such that it “should” have the ability to translate between the two (at least approximately). How can we get it to actually (try to)"&amp;" do so? Existing methods (both in unsupervised translation and in AI alignment) do not seem to meet this bar.
One vague hope is that we could train a helper agent such that a human can perform next-word prediction on Klingon with the assistance of the he"&amp;"lper agent, using a method like the one in [Learning the prior](https://www.alignmentforum.org/posts/SL9mKhgdmDKXmxwE4/learning-the-prior) ([AN #109](https://mailchi.mp/ee62c1c9e331/an-109teaching-neural-nets-to-generalize-the-way-humans-would)).")</f>
        <v>We have previously seen that a major challenge for alignment is that our models may learn &lt;@inaccessible information@&gt;(@Inaccessible information@) that we cannot extract from them, because we do not know how to provide a learning signal to train them to output such information. This post proposes unsupervised translation as a particular concrete problem to ground this out.
Suppose we have lots of English text, and lots of Klingon text, but no translations from English to Klingon (or vice versa), and no bilingual speakers. If we train GPT on the text, it will probably develop a good understanding of both English and Klingon, such that it “should” have the ability to translate between the two (at least approximately). How can we get it to actually (try to) do so? Existing methods (both in unsupervised translation and in AI alignment) do not seem to meet this bar.
One vague hope is that we could train a helper agent such that a human can perform next-word prediction on Klingon with the assistance of the helper agent, using a method like the one in [Learning the prior](https://www.alignmentforum.org/posts/SL9mKhgdmDKXmxwE4/learning-the-prior) ([AN #109](https://mailchi.mp/ee62c1c9e331/an-109teaching-neural-nets-to-generalize-the-way-humans-would)).</v>
      </c>
    </row>
    <row r="1562">
      <c r="A1562" t="str">
        <f>IFERROR(__xludf.DUMMYFUNCTION("""COMPUTED_VALUE"""),"Problems")</f>
        <v>Problems</v>
      </c>
      <c r="B1562" t="str">
        <f>IFERROR(__xludf.DUMMYFUNCTION("""COMPUTED_VALUE"""),"")</f>
        <v/>
      </c>
      <c r="C1562" s="3" t="str">
        <f>IFERROR(__xludf.DUMMYFUNCTION("""COMPUTED_VALUE"""),"Model splintering: moving from one imperfect model to another")</f>
        <v>Model splintering: moving from one imperfect model to another</v>
      </c>
      <c r="D1562" t="str">
        <f>IFERROR(__xludf.DUMMYFUNCTION("""COMPUTED_VALUE"""),"Stuart Armstrong")</f>
        <v>Stuart Armstrong</v>
      </c>
      <c r="E1562" t="str">
        <f>IFERROR(__xludf.DUMMYFUNCTION("""COMPUTED_VALUE"""),"Alignment Forum")</f>
        <v>Alignment Forum</v>
      </c>
      <c r="F1562">
        <f>IFERROR(__xludf.DUMMYFUNCTION("""COMPUTED_VALUE"""),2020.0)</f>
        <v>2020</v>
      </c>
      <c r="H1562" s="3" t="str">
        <f>IFERROR(__xludf.DUMMYFUNCTION("""COMPUTED_VALUE"""),"AN #115")</f>
        <v>AN #115</v>
      </c>
      <c r="I1562" t="str">
        <f>IFERROR(__xludf.DUMMYFUNCTION("""COMPUTED_VALUE"""),"Rohin")</f>
        <v>Rohin</v>
      </c>
      <c r="J1562" t="str">
        <f>IFERROR(__xludf.DUMMYFUNCTION("""COMPUTED_VALUE"""),"This post introduces the concept of _model splintering_, which seems to be an overarching problem underlying many other problems in AI safety. This is one way of more formally looking at the out-of-distribution problem in machine learning: instead of simp"&amp;"ly saying that we are out of distribution, we look at the model that the AI previously had, and see what model it transitions to in the new distribution, and analyze this transition.
Model splintering in particular refers to the phenomenon where a coarse"&amp;"-grained model is “splintered” into a more fine-grained model, with a one-to-many mapping between the environments that the coarse-grained model can distinguish between and the environments that the fine-grained model can distinguish between (this is what"&amp;" it means to be more fine-grained). For example, we may initially model all gases as ideal gases, defined by their pressure, volume and temperature. However, as we learn more, we may transition to the van der Waal’s equations, which apply differently to d"&amp;"ifferent types of gases, and so an environment like “1 liter of gas at standard temperature and pressure (STP)” now splinters into “1 liter of nitrogen at STP”, “1 liter of oxygen at STP”, etc.
Model splintering can also apply to reward functions: for ex"&amp;"ample, in the past people might have had a reward function with a term for “honor”, but at this point the “honor” concept has splintered into several more specific ideas, and it is not clear how a reward for “honor” should generalize to these new concepts"&amp;".
The hope is that by analyzing splintering and detecting when it happens, we can solve a whole host of problems. For example, we can use this as a way to detect if we are out of distribution. The full post lists several other examples.")</f>
        <v>This post introduces the concept of _model splintering_, which seems to be an overarching problem underlying many other problems in AI safety. This is one way of more formally looking at the out-of-distribution problem in machine learning: instead of simply saying that we are out of distribution, we look at the model that the AI previously had, and see what model it transitions to in the new distribution, and analyze this transition.
Model splintering in particular refers to the phenomenon where a coarse-grained model is “splintered” into a more fine-grained model, with a one-to-many mapping between the environments that the coarse-grained model can distinguish between and the environments that the fine-grained model can distinguish between (this is what it means to be more fine-grained). For example, we may initially model all gases as ideal gases, defined by their pressure, volume and temperature. However, as we learn more, we may transition to the van der Waal’s equations, which apply differently to different types of gases, and so an environment like “1 liter of gas at standard temperature and pressure (STP)” now splinters into “1 liter of nitrogen at STP”, “1 liter of oxygen at STP”, etc.
Model splintering can also apply to reward functions: for example, in the past people might have had a reward function with a term for “honor”, but at this point the “honor” concept has splintered into several more specific ideas, and it is not clear how a reward for “honor” should generalize to these new concepts.
The hope is that by analyzing splintering and detecting when it happens, we can solve a whole host of problems. For example, we can use this as a way to detect if we are out of distribution. The full post lists several other examples.</v>
      </c>
      <c r="K1562" t="str">
        <f>IFERROR(__xludf.DUMMYFUNCTION("""COMPUTED_VALUE"""),"I think that the problems of generalization and ambiguity out of distribution are extremely important and fundamental to AI alignment, so I’m glad to see work on them. It seems like model splintering could be a fruitful approach for those looking to take "&amp;"a more formal approach to these problems.")</f>
        <v>I think that the problems of generalization and ambiguity out of distribution are extremely important and fundamental to AI alignment, so I’m glad to see work on them. It seems like model splintering could be a fruitful approach for those looking to take a more formal approach to these problems.</v>
      </c>
    </row>
    <row r="1563">
      <c r="A1563" t="str">
        <f>IFERROR(__xludf.DUMMYFUNCTION("""COMPUTED_VALUE"""),"Problems")</f>
        <v>Problems</v>
      </c>
      <c r="B1563" t="str">
        <f>IFERROR(__xludf.DUMMYFUNCTION("""COMPUTED_VALUE"""),"")</f>
        <v/>
      </c>
      <c r="C1563" s="3" t="str">
        <f>IFERROR(__xludf.DUMMYFUNCTION("""COMPUTED_VALUE"""),"An Architectural Risk Analysis of Machine Learning Systems: Towards More Secure Machine Learning")</f>
        <v>An Architectural Risk Analysis of Machine Learning Systems: Towards More Secure Machine Learning</v>
      </c>
      <c r="D1563" t="str">
        <f>IFERROR(__xludf.DUMMYFUNCTION("""COMPUTED_VALUE"""),"Gary McGraw, Harold Figueroa, Victor Shepardson, Richie Bonett")</f>
        <v>Gary McGraw, Harold Figueroa, Victor Shepardson, Richie Bonett</v>
      </c>
      <c r="E1563" t="str">
        <f>IFERROR(__xludf.DUMMYFUNCTION("""COMPUTED_VALUE"""),"BIML Website")</f>
        <v>BIML Website</v>
      </c>
      <c r="F1563">
        <f>IFERROR(__xludf.DUMMYFUNCTION("""COMPUTED_VALUE"""),2020.0)</f>
        <v>2020</v>
      </c>
      <c r="G1563" t="str">
        <f>IFERROR(__xludf.DUMMYFUNCTION("""COMPUTED_VALUE"""),"Catherine Olsson")</f>
        <v>Catherine Olsson</v>
      </c>
      <c r="H1563" s="3" t="str">
        <f>IFERROR(__xludf.DUMMYFUNCTION("""COMPUTED_VALUE"""),"AN #115")</f>
        <v>AN #115</v>
      </c>
      <c r="I1563" t="str">
        <f>IFERROR(__xludf.DUMMYFUNCTION("""COMPUTED_VALUE"""),"Rohin")</f>
        <v>Rohin</v>
      </c>
      <c r="J1563" t="str">
        <f>IFERROR(__xludf.DUMMYFUNCTION("""COMPUTED_VALUE"""),"One systematic way of identifying potential issues in a system is to perform an _architectural risk analysis_, in which you draw an architecture diagram showing the various components of the system and how they interact, and then think about each componen"&amp;"t and interaction and how it could go wrong. (&lt;@Last week’s highlight@&gt;(@The Alignment Problem for Bayesian History-Based Reinforcement Learners@) did this for Bayesian history-based RL agents.) This paper performs an architectural risk analysis for a gen"&amp;"eric ML system, resulting in a systematic list of potential problems that could occur.")</f>
        <v>One systematic way of identifying potential issues in a system is to perform an _architectural risk analysis_, in which you draw an architecture diagram showing the various components of the system and how they interact, and then think about each component and interaction and how it could go wrong. (&lt;@Last week’s highlight@&gt;(@The Alignment Problem for Bayesian History-Based Reinforcement Learners@) did this for Bayesian history-based RL agents.) This paper performs an architectural risk analysis for a generic ML system, resulting in a systematic list of potential problems that could occur.</v>
      </c>
      <c r="K1563" t="str">
        <f>IFERROR(__xludf.DUMMYFUNCTION("""COMPUTED_VALUE"""),"As far as I could tell, the problems identified were ones that we had seen before, but I’m glad someone has gone through the more systematic exercise, and the resulting list is more organized and easier to understand than previous lists.")</f>
        <v>As far as I could tell, the problems identified were ones that we had seen before, but I’m glad someone has gone through the more systematic exercise, and the resulting list is more organized and easier to understand than previous lists.</v>
      </c>
    </row>
    <row r="1564">
      <c r="A1564" t="str">
        <f>IFERROR(__xludf.DUMMYFUNCTION("""COMPUTED_VALUE"""),"Problems")</f>
        <v>Problems</v>
      </c>
      <c r="B1564" t="str">
        <f>IFERROR(__xludf.DUMMYFUNCTION("""COMPUTED_VALUE"""),"")</f>
        <v/>
      </c>
      <c r="C1564" s="3" t="str">
        <f>IFERROR(__xludf.DUMMYFUNCTION("""COMPUTED_VALUE"""),"Steven Pinker and Stuart Russell on the Foundations, Benefits, and Possible Existential Threat of AI")</f>
        <v>Steven Pinker and Stuart Russell on the Foundations, Benefits, and Possible Existential Threat of AI</v>
      </c>
      <c r="D1564" t="str">
        <f>IFERROR(__xludf.DUMMYFUNCTION("""COMPUTED_VALUE"""),"Lucas Perry, Steven Pinker and Stuart Russell")</f>
        <v>Lucas Perry, Steven Pinker and Stuart Russell</v>
      </c>
      <c r="E1564" t="str">
        <f>IFERROR(__xludf.DUMMYFUNCTION("""COMPUTED_VALUE"""),"FLI Website")</f>
        <v>FLI Website</v>
      </c>
      <c r="F1564">
        <f>IFERROR(__xludf.DUMMYFUNCTION("""COMPUTED_VALUE"""),2020.0)</f>
        <v>2020</v>
      </c>
      <c r="H1564" s="3" t="str">
        <f>IFERROR(__xludf.DUMMYFUNCTION("""COMPUTED_VALUE"""),"AN #104")</f>
        <v>AN #104</v>
      </c>
      <c r="I1564" t="str">
        <f>IFERROR(__xludf.DUMMYFUNCTION("""COMPUTED_VALUE"""),"Rohin")</f>
        <v>Rohin</v>
      </c>
      <c r="J1564" t="str">
        <f>IFERROR(__xludf.DUMMYFUNCTION("""COMPUTED_VALUE"""),"Despite their disagreements on AI risk, Stuart and Steven agree on quite a lot. They both see the development of AI as depending on many historical ideas. They are both particularly critical of the idea that we can get general intelligence by simply scali"&amp;"ng up existing deep learning models, citing the need for reasoning, symbol manipulation, and few-shot learning, which current models mostly don’t do. They both predict that we probably won’t go extinct from superintelligent AI, at least in part because we"&amp;"’ll notice and fix any potential failures, either via extensive testing or via initial failures that illustrate the problem.
On the AI risk side, while they spent a lot of time discussing it, I’ll only talk about the parts where it seems to me that there"&amp;" is a real disagreement, and not mention anything else. Steven’s position against AI risk seems to be twofold. First, we are unlikely to build superintelligent AI soon, and so we should focus on other clear risks like climate change. In contrast, Stuart t"&amp;"hinks that superintelligent AI is reasonably likely by the end of the century and thus worth thinking about. Second, the idea of building a super-optimizer that focuses on a single goal is so obviously bad that AI researchers will obviously not build such"&amp;" a thing. In contrast, Stuart thinks that goal-directed systems are our default way of modeling and building intelligent systems. It seemed like Steven was particularly objecting to the especially simplistic goals used in examples like maximizing papercli"&amp;"ps or curing cancer, to which Stuart argued that the problem doesn’t go away if you have multiple goals, because there will always be some part of your goal that you failed to specify.
Steven also disagrees with the notion of intelligence that is typical"&amp;"ly used by AI risk proponents, saying “a super-optimizer that pursued a single goal is self-evidently unintelligent, not superintelligent”. I don’t get what he means by this, but it seems relevant to his views.")</f>
        <v>Despite their disagreements on AI risk, Stuart and Steven agree on quite a lot. They both see the development of AI as depending on many historical ideas. They are both particularly critical of the idea that we can get general intelligence by simply scaling up existing deep learning models, citing the need for reasoning, symbol manipulation, and few-shot learning, which current models mostly don’t do. They both predict that we probably won’t go extinct from superintelligent AI, at least in part because we’ll notice and fix any potential failures, either via extensive testing or via initial failures that illustrate the problem.
On the AI risk side, while they spent a lot of time discussing it, I’ll only talk about the parts where it seems to me that there is a real disagreement, and not mention anything else. Steven’s position against AI risk seems to be twofold. First, we are unlikely to build superintelligent AI soon, and so we should focus on other clear risks like climate change. In contrast, Stuart thinks that superintelligent AI is reasonably likely by the end of the century and thus worth thinking about. Second, the idea of building a super-optimizer that focuses on a single goal is so obviously bad that AI researchers will obviously not build such a thing. In contrast, Stuart thinks that goal-directed systems are our default way of modeling and building intelligent systems. It seemed like Steven was particularly objecting to the especially simplistic goals used in examples like maximizing paperclips or curing cancer, to which Stuart argued that the problem doesn’t go away if you have multiple goals, because there will always be some part of your goal that you failed to specify.
Steven also disagrees with the notion of intelligence that is typically used by AI risk proponents, saying “a super-optimizer that pursued a single goal is self-evidently unintelligent, not superintelligent”. I don’t get what he means by this, but it seems relevant to his views.</v>
      </c>
      <c r="K1564" t="str">
        <f>IFERROR(__xludf.DUMMYFUNCTION("""COMPUTED_VALUE"""),"Unsurprisingly I agreed with Stuart’s responses, but nevertheless I found this illuminating, especially in illustrating the downsides of examples with simplistic goals. I did find it frustrating that Steven didn’t respond to the point about multiple goals"&amp;" not helping, since that seemed like a major crux, though they were discussing many different aspects and that thread may simply have been dropped by accident.")</f>
        <v>Unsurprisingly I agreed with Stuart’s responses, but nevertheless I found this illuminating, especially in illustrating the downsides of examples with simplistic goals. I did find it frustrating that Steven didn’t respond to the point about multiple goals not helping, since that seemed like a major crux, though they were discussing many different aspects and that thread may simply have been dropped by accident.</v>
      </c>
    </row>
    <row r="1565">
      <c r="A1565" t="str">
        <f>IFERROR(__xludf.DUMMYFUNCTION("""COMPUTED_VALUE"""),"Problems")</f>
        <v>Problems</v>
      </c>
      <c r="B1565" t="str">
        <f>IFERROR(__xludf.DUMMYFUNCTION("""COMPUTED_VALUE"""),"")</f>
        <v/>
      </c>
      <c r="C1565" s="3" t="str">
        <f>IFERROR(__xludf.DUMMYFUNCTION("""COMPUTED_VALUE"""),"Metaphilosophical competence can't be disentangled from alignment")</f>
        <v>Metaphilosophical competence can't be disentangled from alignment</v>
      </c>
      <c r="D1565" t="str">
        <f>IFERROR(__xludf.DUMMYFUNCTION("""COMPUTED_VALUE"""),"zhukeepa")</f>
        <v>zhukeepa</v>
      </c>
      <c r="E1565" t="str">
        <f>IFERROR(__xludf.DUMMYFUNCTION("""COMPUTED_VALUE"""),"LessWrong")</f>
        <v>LessWrong</v>
      </c>
      <c r="F1565">
        <f>IFERROR(__xludf.DUMMYFUNCTION("""COMPUTED_VALUE"""),2018.0)</f>
        <v>2018</v>
      </c>
      <c r="H1565" s="3" t="str">
        <f>IFERROR(__xludf.DUMMYFUNCTION("""COMPUTED_VALUE"""),"AN #1")</f>
        <v>AN #1</v>
      </c>
      <c r="I1565" t="str">
        <f>IFERROR(__xludf.DUMMYFUNCTION("""COMPUTED_VALUE"""),"Rohin")</f>
        <v>Rohin</v>
      </c>
      <c r="J1565" t="str">
        <f>IFERROR(__xludf.DUMMYFUNCTION("""COMPUTED_VALUE"""),"Would you be comfortable taking a single human, and making them a quadrillion times more powerful?")</f>
        <v>Would you be comfortable taking a single human, and making them a quadrillion times more powerful?</v>
      </c>
      <c r="K1565" t="str">
        <f>IFERROR(__xludf.DUMMYFUNCTION("""COMPUTED_VALUE"""),"I am curious to see people's answers to this, I think it might be a good question to reveal major differences in worldviews between optimistic and pessimistic safety researchers.")</f>
        <v>I am curious to see people's answers to this, I think it might be a good question to reveal major differences in worldviews between optimistic and pessimistic safety researchers.</v>
      </c>
    </row>
    <row r="1566">
      <c r="A1566" t="str">
        <f>IFERROR(__xludf.DUMMYFUNCTION("""COMPUTED_VALUE"""),"Problems")</f>
        <v>Problems</v>
      </c>
      <c r="B1566" t="str">
        <f>IFERROR(__xludf.DUMMYFUNCTION("""COMPUTED_VALUE"""),"")</f>
        <v/>
      </c>
      <c r="C1566" s="3" t="str">
        <f>IFERROR(__xludf.DUMMYFUNCTION("""COMPUTED_VALUE"""),"Reframing misaligned AGI's: well-intentioned non-neurotypical assistants")</f>
        <v>Reframing misaligned AGI's: well-intentioned non-neurotypical assistants</v>
      </c>
      <c r="D1566" t="str">
        <f>IFERROR(__xludf.DUMMYFUNCTION("""COMPUTED_VALUE"""),"zhukeepa")</f>
        <v>zhukeepa</v>
      </c>
      <c r="E1566" t="str">
        <f>IFERROR(__xludf.DUMMYFUNCTION("""COMPUTED_VALUE"""),"LessWrong")</f>
        <v>LessWrong</v>
      </c>
      <c r="F1566">
        <f>IFERROR(__xludf.DUMMYFUNCTION("""COMPUTED_VALUE"""),2018.0)</f>
        <v>2018</v>
      </c>
      <c r="H1566" s="3" t="str">
        <f>IFERROR(__xludf.DUMMYFUNCTION("""COMPUTED_VALUE"""),"AN #1")</f>
        <v>AN #1</v>
      </c>
      <c r="I1566" t="str">
        <f>IFERROR(__xludf.DUMMYFUNCTION("""COMPUTED_VALUE"""),"Rohin")</f>
        <v>Rohin</v>
      </c>
      <c r="J1566" t="str">
        <f>IFERROR(__xludf.DUMMYFUNCTION("""COMPUTED_VALUE"""),"Another way to think about problems from AGI is to imagine the AI as a well-intentioned but neuroatypical friend, who learned all about humans from Wikipedia, and who has access to _immense_ resources. You would worry a lot about principal-agent problems "&amp;"in such a scenario.")</f>
        <v>Another way to think about problems from AGI is to imagine the AI as a well-intentioned but neuroatypical friend, who learned all about humans from Wikipedia, and who has access to _immense_ resources. You would worry a lot about principal-agent problems in such a scenario.</v>
      </c>
      <c r="K1566" t="str">
        <f>IFERROR(__xludf.DUMMYFUNCTION("""COMPUTED_VALUE"""),"I like this framing. I'm not sure if it is actually a good model for [act-based agents](https://ai-alignment.com/act-based-agents-8ec926c79e9c), but it's another way to think about what problems could arise from an AI system that is superintelligent in so"&amp;"me domains and subhuman in others. ")</f>
        <v>I like this framing. I'm not sure if it is actually a good model for [act-based agents](https://ai-alignment.com/act-based-agents-8ec926c79e9c), but it's another way to think about what problems could arise from an AI system that is superintelligent in some domains and subhuman in others. </v>
      </c>
      <c r="M1566" s="3" t="str">
        <f>IFERROR(__xludf.DUMMYFUNCTION("""COMPUTED_VALUE"""),"Act-based agents")</f>
        <v>Act-based agents</v>
      </c>
    </row>
    <row r="1567">
      <c r="A1567" t="str">
        <f>IFERROR(__xludf.DUMMYFUNCTION("""COMPUTED_VALUE"""),"Problems")</f>
        <v>Problems</v>
      </c>
      <c r="B1567" t="str">
        <f>IFERROR(__xludf.DUMMYFUNCTION("""COMPUTED_VALUE"""),"")</f>
        <v/>
      </c>
      <c r="C1567" s="3" t="str">
        <f>IFERROR(__xludf.DUMMYFUNCTION("""COMPUTED_VALUE"""),"Specification gaming: the flip side of AI ingenuity")</f>
        <v>Specification gaming: the flip side of AI ingenuity</v>
      </c>
      <c r="D1567" t="str">
        <f>IFERROR(__xludf.DUMMYFUNCTION("""COMPUTED_VALUE"""),"Victoria Krakovna, Jonathan Uesato, Vladimir Mikulik, Matthew Rahtz, Tom Everitt, Ramana Kumar, Zac Kenton, Jan Leike, Shane Legg")</f>
        <v>Victoria Krakovna, Jonathan Uesato, Vladimir Mikulik, Matthew Rahtz, Tom Everitt, Ramana Kumar, Zac Kenton, Jan Leike, Shane Legg</v>
      </c>
      <c r="E1567" t="str">
        <f>IFERROR(__xludf.DUMMYFUNCTION("""COMPUTED_VALUE"""),"DeepMind Blog")</f>
        <v>DeepMind Blog</v>
      </c>
      <c r="F1567">
        <f>IFERROR(__xludf.DUMMYFUNCTION("""COMPUTED_VALUE"""),2020.0)</f>
        <v>2020</v>
      </c>
      <c r="H1567" s="3" t="str">
        <f>IFERROR(__xludf.DUMMYFUNCTION("""COMPUTED_VALUE"""),"AN #97")</f>
        <v>AN #97</v>
      </c>
      <c r="I1567" t="str">
        <f>IFERROR(__xludf.DUMMYFUNCTION("""COMPUTED_VALUE"""),"Rohin")</f>
        <v>Rohin</v>
      </c>
      <c r="J1567" t="str">
        <f>IFERROR(__xludf.DUMMYFUNCTION("""COMPUTED_VALUE"""),"This post on the DeepMind website explains the concept of &lt;@specification gaming@&gt;(@Specification gaming examples in AI@), and illustrates three problems that arise within it. First and most obviously, we need to capture the human concept of a given task "&amp;"in a reward function. Second, we must design agents without introducing any mistaken implicit assumptions (e.g. that the physics simulation is accurate, when it isn't). Finally, we need to ensure that agents don't tamper with their reward functions.")</f>
        <v>This post on the DeepMind website explains the concept of &lt;@specification gaming@&gt;(@Specification gaming examples in AI@), and illustrates three problems that arise within it. First and most obviously, we need to capture the human concept of a given task in a reward function. Second, we must design agents without introducing any mistaken implicit assumptions (e.g. that the physics simulation is accurate, when it isn't). Finally, we need to ensure that agents don't tamper with their reward functions.</v>
      </c>
    </row>
    <row r="1568">
      <c r="A1568" t="str">
        <f>IFERROR(__xludf.DUMMYFUNCTION("""COMPUTED_VALUE"""),"Problems")</f>
        <v>Problems</v>
      </c>
      <c r="B1568" t="str">
        <f>IFERROR(__xludf.DUMMYFUNCTION("""COMPUTED_VALUE"""),"")</f>
        <v/>
      </c>
      <c r="C1568" s="3" t="str">
        <f>IFERROR(__xludf.DUMMYFUNCTION("""COMPUTED_VALUE"""),"Comment on Coherence arguments do not imply goal directed behavior")</f>
        <v>Comment on Coherence arguments do not imply goal directed behavior</v>
      </c>
      <c r="D1568" t="str">
        <f>IFERROR(__xludf.DUMMYFUNCTION("""COMPUTED_VALUE"""),"Ronny Fernandez")</f>
        <v>Ronny Fernandez</v>
      </c>
      <c r="E1568" t="str">
        <f>IFERROR(__xludf.DUMMYFUNCTION("""COMPUTED_VALUE"""),"LessWrong")</f>
        <v>LessWrong</v>
      </c>
      <c r="F1568">
        <f>IFERROR(__xludf.DUMMYFUNCTION("""COMPUTED_VALUE"""),2019.0)</f>
        <v>2019</v>
      </c>
      <c r="H1568" s="3" t="str">
        <f>IFERROR(__xludf.DUMMYFUNCTION("""COMPUTED_VALUE"""),"AN #77")</f>
        <v>AN #77</v>
      </c>
      <c r="I1568" t="str">
        <f>IFERROR(__xludf.DUMMYFUNCTION("""COMPUTED_VALUE"""),"Rohin")</f>
        <v>Rohin</v>
      </c>
      <c r="J1568" t="str">
        <f>IFERROR(__xludf.DUMMYFUNCTION("""COMPUTED_VALUE"""),"I &lt;@have argued@&gt;(@Coherence arguments do not imply goal-directed behavior@) that coherence arguments that argue for modeling rational behavior as expected utility maximization do not add anything to AI risk arguments. This post argues that there is a dif"&amp;"ferent way in which to interpret these arguments: we should only model a system to be an EU maximizer if it was the result of an optimization process, such that the EU maximizer model is the best model we have of the system. In this case, the best way to "&amp;"predict the agent is to imagine what we would do if we had its goals, which leads to the standard convergent instrumental subgoals.")</f>
        <v>I &lt;@have argued@&gt;(@Coherence arguments do not imply goal-directed behavior@) that coherence arguments that argue for modeling rational behavior as expected utility maximization do not add anything to AI risk arguments. This post argues that there is a different way in which to interpret these arguments: we should only model a system to be an EU maximizer if it was the result of an optimization process, such that the EU maximizer model is the best model we have of the system. In this case, the best way to predict the agent is to imagine what we would do if we had its goals, which leads to the standard convergent instrumental subgoals.</v>
      </c>
      <c r="K1568" t="str">
        <f>IFERROR(__xludf.DUMMYFUNCTION("""COMPUTED_VALUE"""),"This version of the argument seems to be more a statement about our epistemic state than about actual AI risk. For example, I know many people without technical expertise who anthropomorphize their laptops as though they were pursuing some goal, but they "&amp;"don't (and shouldn't) worry that their laptops are going to take over the world. More details in [this comment](https://www.lesswrong.com/posts/EnN7cm3KaRrEAuWfa/comment-on-coherence-arguments-do-not-imply-goal-directed#CsRXodmiBfZ9wCZwr).")</f>
        <v>This version of the argument seems to be more a statement about our epistemic state than about actual AI risk. For example, I know many people without technical expertise who anthropomorphize their laptops as though they were pursuing some goal, but they don't (and shouldn't) worry that their laptops are going to take over the world. More details in [this comment](https://www.lesswrong.com/posts/EnN7cm3KaRrEAuWfa/comment-on-coherence-arguments-do-not-imply-goal-directed#CsRXodmiBfZ9wCZwr).</v>
      </c>
    </row>
    <row r="1569">
      <c r="A1569" t="str">
        <f>IFERROR(__xludf.DUMMYFUNCTION("""COMPUTED_VALUE"""),"Problems")</f>
        <v>Problems</v>
      </c>
      <c r="B1569" t="str">
        <f>IFERROR(__xludf.DUMMYFUNCTION("""COMPUTED_VALUE"""),"")</f>
        <v/>
      </c>
      <c r="C1569" s="3" t="str">
        <f>IFERROR(__xludf.DUMMYFUNCTION("""COMPUTED_VALUE"""),"An Increasingly Manipulative Newsfeed")</f>
        <v>An Increasingly Manipulative Newsfeed</v>
      </c>
      <c r="D1569" t="str">
        <f>IFERROR(__xludf.DUMMYFUNCTION("""COMPUTED_VALUE"""),"Michaël Trazzi and Stuart Armstrong")</f>
        <v>Michaël Trazzi and Stuart Armstrong</v>
      </c>
      <c r="E1569" t="str">
        <f>IFERROR(__xludf.DUMMYFUNCTION("""COMPUTED_VALUE"""),"Alignment Forum")</f>
        <v>Alignment Forum</v>
      </c>
      <c r="F1569">
        <f>IFERROR(__xludf.DUMMYFUNCTION("""COMPUTED_VALUE"""),2019.0)</f>
        <v>2019</v>
      </c>
      <c r="H1569" s="3" t="str">
        <f>IFERROR(__xludf.DUMMYFUNCTION("""COMPUTED_VALUE"""),"AN #71")</f>
        <v>AN #71</v>
      </c>
      <c r="I1569" t="str">
        <f>IFERROR(__xludf.DUMMYFUNCTION("""COMPUTED_VALUE"""),"Matthew")</f>
        <v>Matthew</v>
      </c>
      <c r="J1569" t="str">
        <f>IFERROR(__xludf.DUMMYFUNCTION("""COMPUTED_VALUE"""),"An early argument for specialized AI safety work is that misaligned systems will be incentivized to lie about their intentions while weak, so that they aren't modified. Then, when the misaligned AIs are safe from modification, they will become dangerous. "&amp;"Ben Goertzel [found the argument unlikely](https://jetpress.org/v26.1/goertzel.pdf), pointing out that weak systems won't be good at deception. This post asserts that weak systems can still be manipulative, and gives a concrete example. The argument is ba"&amp;"sed on a machine learning system trained to maximize the number of articles that users label ""unbiased"" in their newsfeed. One way it can start being deceptive is by seeding users with a few very biased articles. Pursuing this strategy may cause users t"&amp;"o label everything else unbiased, as it has altered their reference for evaluation. The system is therefore incentivized to be dishonest without necessarily being capable of pure deception.")</f>
        <v>An early argument for specialized AI safety work is that misaligned systems will be incentivized to lie about their intentions while weak, so that they aren't modified. Then, when the misaligned AIs are safe from modification, they will become dangerous. Ben Goertzel [found the argument unlikely](https://jetpress.org/v26.1/goertzel.pdf), pointing out that weak systems won't be good at deception. This post asserts that weak systems can still be manipulative, and gives a concrete example. The argument is based on a machine learning system trained to maximize the number of articles that users label "unbiased" in their newsfeed. One way it can start being deceptive is by seeding users with a few very biased articles. Pursuing this strategy may cause users to label everything else unbiased, as it has altered their reference for evaluation. The system is therefore incentivized to be dishonest without necessarily being capable of pure deception.</v>
      </c>
      <c r="K1569" t="str">
        <f>IFERROR(__xludf.DUMMYFUNCTION("""COMPUTED_VALUE"""),"While I appreciate and agree with the thesis of this post -- that machine learning models don't have to be extremely competent to be manipulative -- I would still prefer a different example to convince skeptical researchers. I suspect many people would re"&amp;"ply that we could easily patch the issue without doing dedicated safety work. In particular, it is difficult to see how this strategy arises if we train the system via supervised learning rather than training it to maximize the number of articles users la"&amp;"bel unbiased (which requires RL).
**Rohin's opinion:** I certainly agree with this post that ML models don't need to be competent to be manipulative. However, it's notable that this happened via the model randomly manipulating people (during exploration)"&amp;" and noticing that it helps it achieve its objective. It seems likely that to cause _human extinction_ via a treacherous turn, the model would need to do zero-shot manipulation. This seems much less likely to happen (though I wouldn't say it's impossible)"&amp;".")</f>
        <v>While I appreciate and agree with the thesis of this post -- that machine learning models don't have to be extremely competent to be manipulative -- I would still prefer a different example to convince skeptical researchers. I suspect many people would reply that we could easily patch the issue without doing dedicated safety work. In particular, it is difficult to see how this strategy arises if we train the system via supervised learning rather than training it to maximize the number of articles users label unbiased (which requires RL).
**Rohin's opinion:** I certainly agree with this post that ML models don't need to be competent to be manipulative. However, it's notable that this happened via the model randomly manipulating people (during exploration) and noticing that it helps it achieve its objective. It seems likely that to cause _human extinction_ via a treacherous turn, the model would need to do zero-shot manipulation. This seems much less likely to happen (though I wouldn't say it's impossible).</v>
      </c>
    </row>
    <row r="1570">
      <c r="A1570" t="str">
        <f>IFERROR(__xludf.DUMMYFUNCTION("""COMPUTED_VALUE"""),"Problems")</f>
        <v>Problems</v>
      </c>
      <c r="B1570" t="str">
        <f>IFERROR(__xludf.DUMMYFUNCTION("""COMPUTED_VALUE"""),"")</f>
        <v/>
      </c>
      <c r="C1570" s="3" t="str">
        <f>IFERROR(__xludf.DUMMYFUNCTION("""COMPUTED_VALUE"""),"Impossibility and Uncertainty Theorems in AI Value Alignment (or why your AGI should not have a utility function)")</f>
        <v>Impossibility and Uncertainty Theorems in AI Value Alignment (or why your AGI should not have a utility function)</v>
      </c>
      <c r="D1570" t="str">
        <f>IFERROR(__xludf.DUMMYFUNCTION("""COMPUTED_VALUE"""),"Peter Eckersley")</f>
        <v>Peter Eckersley</v>
      </c>
      <c r="E1570" t="str">
        <f>IFERROR(__xludf.DUMMYFUNCTION("""COMPUTED_VALUE"""),"arXiv")</f>
        <v>arXiv</v>
      </c>
      <c r="F1570">
        <f>IFERROR(__xludf.DUMMYFUNCTION("""COMPUTED_VALUE"""),2019.0)</f>
        <v>2019</v>
      </c>
      <c r="H1570" s="3" t="str">
        <f>IFERROR(__xludf.DUMMYFUNCTION("""COMPUTED_VALUE"""),"AN #45")</f>
        <v>AN #45</v>
      </c>
      <c r="I1570" t="str">
        <f>IFERROR(__xludf.DUMMYFUNCTION("""COMPUTED_VALUE"""),"Richard")</f>
        <v>Richard</v>
      </c>
      <c r="J1570" t="str">
        <f>IFERROR(__xludf.DUMMYFUNCTION("""COMPUTED_VALUE"""),"This paper discusses some impossibility theorems related to the Repugnant conclusion in population ethics (i.e. theorems showing that no moral theory simultaneously satisfies certain sets of intuitively desirable properties). Peter argues that in the cont"&amp;"ext of AI it's best to treat these theorems as uncertainty results, either by allowing incommensurate outcomes or by allowing probabilistic moral judgements. He hypothesises that ""the emergence of instrumental subgoals is deeply connected to moral certai"&amp;"nty"", and so implementing uncertain objective functions is a path to making AI safer.")</f>
        <v>This paper discusses some impossibility theorems related to the Repugnant conclusion in population ethics (i.e. theorems showing that no moral theory simultaneously satisfies certain sets of intuitively desirable properties). Peter argues that in the context of AI it's best to treat these theorems as uncertainty results, either by allowing incommensurate outcomes or by allowing probabilistic moral judgements. He hypothesises that "the emergence of instrumental subgoals is deeply connected to moral certainty", and so implementing uncertain objective functions is a path to making AI safer.</v>
      </c>
      <c r="K1570" t="str">
        <f>IFERROR(__xludf.DUMMYFUNCTION("""COMPUTED_VALUE"""),"The more general argument underlying this post is that aligning AGI will be hard partly because ethics is hard [(as discussed here)](https://www.alignmentforum.org/posts/w6d7XBCegc96kz4n3/the-argument-from-philosophical-difficulty). I agree that using unc"&amp;"ertain objective functions might help with this problem. However, I'm not convinced that it's useful to frame this issue in terms of impossibility theorems and narrow AI, and would like to see these ideas laid out in a philosophically clearer way.")</f>
        <v>The more general argument underlying this post is that aligning AGI will be hard partly because ethics is hard [(as discussed here)](https://www.alignmentforum.org/posts/w6d7XBCegc96kz4n3/the-argument-from-philosophical-difficulty). I agree that using uncertain objective functions might help with this problem. However, I'm not convinced that it's useful to frame this issue in terms of impossibility theorems and narrow AI, and would like to see these ideas laid out in a philosophically clearer way.</v>
      </c>
    </row>
    <row r="1571">
      <c r="A1571" t="str">
        <f>IFERROR(__xludf.DUMMYFUNCTION("""COMPUTED_VALUE"""),"Problems")</f>
        <v>Problems</v>
      </c>
      <c r="B1571" t="str">
        <f>IFERROR(__xludf.DUMMYFUNCTION("""COMPUTED_VALUE"""),"")</f>
        <v/>
      </c>
      <c r="C1571" s="3" t="str">
        <f>IFERROR(__xludf.DUMMYFUNCTION("""COMPUTED_VALUE"""),"Constructing Goodhart")</f>
        <v>Constructing Goodhart</v>
      </c>
      <c r="D1571" t="str">
        <f>IFERROR(__xludf.DUMMYFUNCTION("""COMPUTED_VALUE"""),"John Wentworth")</f>
        <v>John Wentworth</v>
      </c>
      <c r="E1571" t="str">
        <f>IFERROR(__xludf.DUMMYFUNCTION("""COMPUTED_VALUE"""),"LessWrong")</f>
        <v>LessWrong</v>
      </c>
      <c r="F1571">
        <f>IFERROR(__xludf.DUMMYFUNCTION("""COMPUTED_VALUE"""),2019.0)</f>
        <v>2019</v>
      </c>
      <c r="H1571" s="3" t="str">
        <f>IFERROR(__xludf.DUMMYFUNCTION("""COMPUTED_VALUE"""),"AN #45")</f>
        <v>AN #45</v>
      </c>
      <c r="I1571" t="str">
        <f>IFERROR(__xludf.DUMMYFUNCTION("""COMPUTED_VALUE"""),"Rohin")</f>
        <v>Rohin</v>
      </c>
      <c r="J1571" t="str">
        <f>IFERROR(__xludf.DUMMYFUNCTION("""COMPUTED_VALUE"""),"This post makes the point that Goodhart's Law is so common in practice because if there are several things that we care about, then we are probably at or close to a Pareto-optimal point with respect to those things, and so choosing any one of them as a pr"&amp;"oxy metric to optimize will cause the other things to become _worse_, leading to Goodhart effects.")</f>
        <v>This post makes the point that Goodhart's Law is so common in practice because if there are several things that we care about, then we are probably at or close to a Pareto-optimal point with respect to those things, and so choosing any one of them as a proxy metric to optimize will cause the other things to become _worse_, leading to Goodhart effects.</v>
      </c>
      <c r="K1571" t="str">
        <f>IFERROR(__xludf.DUMMYFUNCTION("""COMPUTED_VALUE"""),"This is an important point about Goodhart's Law. If you take some ""random"" or unoptimized environment, and then try to optimize some proxy for what you care about, it will probably work quite well. It's only when the environment is already optimized tha"&amp;"t Goodhart effects are particularly bad.")</f>
        <v>This is an important point about Goodhart's Law. If you take some "random" or unoptimized environment, and then try to optimize some proxy for what you care about, it will probably work quite well. It's only when the environment is already optimized that Goodhart effects are particularly bad.</v>
      </c>
    </row>
    <row r="1572">
      <c r="A1572" t="str">
        <f>IFERROR(__xludf.DUMMYFUNCTION("""COMPUTED_VALUE"""),"Problems")</f>
        <v>Problems</v>
      </c>
      <c r="B1572" t="str">
        <f>IFERROR(__xludf.DUMMYFUNCTION("""COMPUTED_VALUE"""),"")</f>
        <v/>
      </c>
      <c r="C1572" s="3" t="str">
        <f>IFERROR(__xludf.DUMMYFUNCTION("""COMPUTED_VALUE"""),"Two More Decision Theory Problems for Humans")</f>
        <v>Two More Decision Theory Problems for Humans</v>
      </c>
      <c r="D1572" t="str">
        <f>IFERROR(__xludf.DUMMYFUNCTION("""COMPUTED_VALUE"""),"Wei Dai")</f>
        <v>Wei Dai</v>
      </c>
      <c r="E1572" t="str">
        <f>IFERROR(__xludf.DUMMYFUNCTION("""COMPUTED_VALUE"""),"LessWrong")</f>
        <v>LessWrong</v>
      </c>
      <c r="F1572">
        <f>IFERROR(__xludf.DUMMYFUNCTION("""COMPUTED_VALUE"""),2019.0)</f>
        <v>2019</v>
      </c>
      <c r="H1572" s="3" t="str">
        <f>IFERROR(__xludf.DUMMYFUNCTION("""COMPUTED_VALUE"""),"AN #40")</f>
        <v>AN #40</v>
      </c>
      <c r="I1572" t="str">
        <f>IFERROR(__xludf.DUMMYFUNCTION("""COMPUTED_VALUE"""),"Rohin")</f>
        <v>Rohin</v>
      </c>
      <c r="J1572" t="str">
        <f>IFERROR(__xludf.DUMMYFUNCTION("""COMPUTED_VALUE"""),"The first problem is that any particular human's values only make sense for the current environment. When considering different circumstances (eg. an astronomically large number of very slightly negative experiences like getting a dust speck in your eye),"&amp;" many people will not know how to evaluate the value of such a situation.
The second problem is that for most formalizations of values or utility functions, the values are defined relative to some way of making decisions in the world, or some ontology th"&amp;"rough which we understand the world. If this decision theory or ontology changes, it's not clear how to ""transfer"" the values to the new version.")</f>
        <v>The first problem is that any particular human's values only make sense for the current environment. When considering different circumstances (eg. an astronomically large number of very slightly negative experiences like getting a dust speck in your eye), many people will not know how to evaluate the value of such a situation.
The second problem is that for most formalizations of values or utility functions, the values are defined relative to some way of making decisions in the world, or some ontology through which we understand the world. If this decision theory or ontology changes, it's not clear how to "transfer" the values to the new version.</v>
      </c>
    </row>
    <row r="1573">
      <c r="A1573" t="str">
        <f>IFERROR(__xludf.DUMMYFUNCTION("""COMPUTED_VALUE"""),"Problems")</f>
        <v>Problems</v>
      </c>
      <c r="B1573" t="str">
        <f>IFERROR(__xludf.DUMMYFUNCTION("""COMPUTED_VALUE"""),"")</f>
        <v/>
      </c>
      <c r="C1573" s="3" t="str">
        <f>IFERROR(__xludf.DUMMYFUNCTION("""COMPUTED_VALUE"""),"AI Risk for Epistemic Minimalists")</f>
        <v>AI Risk for Epistemic Minimalists</v>
      </c>
      <c r="D1573" t="str">
        <f>IFERROR(__xludf.DUMMYFUNCTION("""COMPUTED_VALUE"""),"Alex Flint")</f>
        <v>Alex Flint</v>
      </c>
      <c r="E1573" t="str">
        <f>IFERROR(__xludf.DUMMYFUNCTION("""COMPUTED_VALUE"""),"Alignment Forum")</f>
        <v>Alignment Forum</v>
      </c>
      <c r="F1573">
        <f>IFERROR(__xludf.DUMMYFUNCTION("""COMPUTED_VALUE"""),2021.0)</f>
        <v>2021</v>
      </c>
      <c r="H1573" s="3" t="str">
        <f>IFERROR(__xludf.DUMMYFUNCTION("""COMPUTED_VALUE"""),"AN #162")</f>
        <v>AN #162</v>
      </c>
      <c r="I1573" t="str">
        <f>IFERROR(__xludf.DUMMYFUNCTION("""COMPUTED_VALUE"""),"Rohin")</f>
        <v>Rohin</v>
      </c>
      <c r="J1573" t="str">
        <f>IFERROR(__xludf.DUMMYFUNCTION("""COMPUTED_VALUE"""),"This post makes a case for working on AI risk using four robust arguments:
1. AI is plausibly impactful because it is the first system that could plausibly have long-term influence or power _without_ using humans as building blocks.
2. The impact is plau"&amp;"sibly concerning because in general, when humans gain power quickly (as they would with AI), this tends to increase existential risk.
3. We haven’t already addressed the concern: we haven’t executed a considered judgment about the optimal way to roll out "&amp;"AI technology.
4. It seems possible to take actions that decrease the concern, simply because there are so many possible actions that we could take; at least some of them should have some useful effect.")</f>
        <v>This post makes a case for working on AI risk using four robust arguments:
1. AI is plausibly impactful because it is the first system that could plausibly have long-term influence or power _without_ using humans as building blocks.
2. The impact is plausibly concerning because in general, when humans gain power quickly (as they would with AI), this tends to increase existential risk.
3. We haven’t already addressed the concern: we haven’t executed a considered judgment about the optimal way to roll out AI technology.
4. It seems possible to take actions that decrease the concern, simply because there are so many possible actions that we could take; at least some of them should have some useful effect.</v>
      </c>
      <c r="K1573" t="str">
        <f>IFERROR(__xludf.DUMMYFUNCTION("""COMPUTED_VALUE"""),"There’s definitely room to quibble with some of these arguments as stated, but I think this sort of argument basically works. Note that it only establishes that it is worth looking into AI risk; to justify the specific things people are doing (especially "&amp;"in AI alignment) you need significantly more specific and detailed arguments.")</f>
        <v>There’s definitely room to quibble with some of these arguments as stated, but I think this sort of argument basically works. Note that it only establishes that it is worth looking into AI risk; to justify the specific things people are doing (especially in AI alignment) you need significantly more specific and detailed arguments.</v>
      </c>
    </row>
    <row r="1574">
      <c r="A1574" t="str">
        <f>IFERROR(__xludf.DUMMYFUNCTION("""COMPUTED_VALUE"""),"Problems")</f>
        <v>Problems</v>
      </c>
      <c r="B1574" t="str">
        <f>IFERROR(__xludf.DUMMYFUNCTION("""COMPUTED_VALUE"""),"")</f>
        <v/>
      </c>
      <c r="C1574" s="3" t="str">
        <f>IFERROR(__xludf.DUMMYFUNCTION("""COMPUTED_VALUE"""),"Challenges of Aligning Artificial Intelligence with Human Values")</f>
        <v>Challenges of Aligning Artificial Intelligence with Human Values</v>
      </c>
      <c r="D1574" t="str">
        <f>IFERROR(__xludf.DUMMYFUNCTION("""COMPUTED_VALUE"""),"Margit Sutrop")</f>
        <v>Margit Sutrop</v>
      </c>
      <c r="E1574" t="str">
        <f>IFERROR(__xludf.DUMMYFUNCTION("""COMPUTED_VALUE"""),"Acta Baltica Historiae et Philosophiae Scientiarum")</f>
        <v>Acta Baltica Historiae et Philosophiae Scientiarum</v>
      </c>
      <c r="F1574">
        <f>IFERROR(__xludf.DUMMYFUNCTION("""COMPUTED_VALUE"""),2020.0)</f>
        <v>2020</v>
      </c>
      <c r="H1574" s="3" t="str">
        <f>IFERROR(__xludf.DUMMYFUNCTION("""COMPUTED_VALUE"""),"AN #137")</f>
        <v>AN #137</v>
      </c>
      <c r="I1574" t="str">
        <f>IFERROR(__xludf.DUMMYFUNCTION("""COMPUTED_VALUE"""),"Rohin")</f>
        <v>Rohin</v>
      </c>
      <c r="J1574" t="str">
        <f>IFERROR(__xludf.DUMMYFUNCTION("""COMPUTED_VALUE"""),"This paper argues that since immoral humans could use AI systems to do harm, we must build ethical rules into AI systems. For this purpose, the traditional notion of “value alignment” is not enough, as it only requires that the AI system do what the user "&amp;"wants, which might not be ethical. But we also cannot embed a single theory of ethics into an AI system, as there is no agreement on such a theory. Instead, we should focus on what we _don’t_ want an AI system to do, and _rule out_ that behavior, while re"&amp;"maining uncertain or agnostic on what should be done.")</f>
        <v>This paper argues that since immoral humans could use AI systems to do harm, we must build ethical rules into AI systems. For this purpose, the traditional notion of “value alignment” is not enough, as it only requires that the AI system do what the user wants, which might not be ethical. But we also cannot embed a single theory of ethics into an AI system, as there is no agreement on such a theory. Instead, we should focus on what we _don’t_ want an AI system to do, and _rule out_ that behavior, while remaining uncertain or agnostic on what should be done.</v>
      </c>
      <c r="K1574" t="str">
        <f>IFERROR(__xludf.DUMMYFUNCTION("""COMPUTED_VALUE"""),"I agree that successful AI alignment does not rule out the possibility of malicious use of AI systems. This paper is proposing putting rules inside the AI system that handle this problem. But as the paper itself notes, it seems quite challenging to even f"&amp;"igure out what rules we would want.
I personally am more optimistic about the alternate route, where we put rules _outside_ the AI system to handle the problem, that is, we create laws and regulations around the use of AI, such that malicious uses can be"&amp;" blamed on the human operator, and enforcement mechanisms that ensure that we actually catch and punish such malicious uses.")</f>
        <v>I agree that successful AI alignment does not rule out the possibility of malicious use of AI systems. This paper is proposing putting rules inside the AI system that handle this problem. But as the paper itself notes, it seems quite challenging to even figure out what rules we would want.
I personally am more optimistic about the alternate route, where we put rules _outside_ the AI system to handle the problem, that is, we create laws and regulations around the use of AI, such that malicious uses can be blamed on the human operator, and enforcement mechanisms that ensure that we actually catch and punish such malicious uses.</v>
      </c>
    </row>
    <row r="1575">
      <c r="A1575" t="str">
        <f>IFERROR(__xludf.DUMMYFUNCTION("""COMPUTED_VALUE"""),"Problems")</f>
        <v>Problems</v>
      </c>
      <c r="B1575" t="str">
        <f>IFERROR(__xludf.DUMMYFUNCTION("""COMPUTED_VALUE"""),"")</f>
        <v/>
      </c>
      <c r="C1575" s="3" t="str">
        <f>IFERROR(__xludf.DUMMYFUNCTION("""COMPUTED_VALUE"""),"How the Enlightenment Ends")</f>
        <v>How the Enlightenment Ends</v>
      </c>
      <c r="D1575" t="str">
        <f>IFERROR(__xludf.DUMMYFUNCTION("""COMPUTED_VALUE"""),"Henry A. Kissinger")</f>
        <v>Henry A. Kissinger</v>
      </c>
      <c r="E1575" t="str">
        <f>IFERROR(__xludf.DUMMYFUNCTION("""COMPUTED_VALUE"""),"Atlantic")</f>
        <v>Atlantic</v>
      </c>
      <c r="F1575">
        <f>IFERROR(__xludf.DUMMYFUNCTION("""COMPUTED_VALUE"""),2018.0)</f>
        <v>2018</v>
      </c>
      <c r="H1575" s="3" t="str">
        <f>IFERROR(__xludf.DUMMYFUNCTION("""COMPUTED_VALUE"""),"AN #8")</f>
        <v>AN #8</v>
      </c>
      <c r="I1575" t="str">
        <f>IFERROR(__xludf.DUMMYFUNCTION("""COMPUTED_VALUE"""),"Rohin")</f>
        <v>Rohin</v>
      </c>
      <c r="J1575" t="str">
        <f>IFERROR(__xludf.DUMMYFUNCTION("""COMPUTED_VALUE"""),"This is an article about the dangers of AI written by a non-technologist, hitting some points that are relatively familiar.")</f>
        <v>This is an article about the dangers of AI written by a non-technologist, hitting some points that are relatively familiar.</v>
      </c>
      <c r="K1575" t="str">
        <f>IFERROR(__xludf.DUMMYFUNCTION("""COMPUTED_VALUE"""),"While there are many points that I disagree with (eg. ""what [AIs] do uniquely is not thinking as heretofore conceived and experienced. Rather, it is unprecedented memorization and computation""), overall there was a surprising amount of familiar material"&amp;" said in a different way (such as explainability and unintended consequences).")</f>
        <v>While there are many points that I disagree with (eg. "what [AIs] do uniquely is not thinking as heretofore conceived and experienced. Rather, it is unprecedented memorization and computation"), overall there was a surprising amount of familiar material said in a different way (such as explainability and unintended consequences).</v>
      </c>
    </row>
    <row r="1576">
      <c r="A1576" t="str">
        <f>IFERROR(__xludf.DUMMYFUNCTION("""COMPUTED_VALUE"""),"Problems")</f>
        <v>Problems</v>
      </c>
      <c r="B1576" t="str">
        <f>IFERROR(__xludf.DUMMYFUNCTION("""COMPUTED_VALUE"""),"")</f>
        <v/>
      </c>
      <c r="C1576" s="3" t="str">
        <f>IFERROR(__xludf.DUMMYFUNCTION("""COMPUTED_VALUE"""),"Classiﬁcation of global catastrophic risks connected with artiﬁcial intelligence")</f>
        <v>Classiﬁcation of global catastrophic risks connected with artiﬁcial intelligence</v>
      </c>
      <c r="D1576" t="str">
        <f>IFERROR(__xludf.DUMMYFUNCTION("""COMPUTED_VALUE"""),"Alexey Turchin and DavidDenkenberger")</f>
        <v>Alexey Turchin and DavidDenkenberger</v>
      </c>
      <c r="E1576" t="str">
        <f>IFERROR(__xludf.DUMMYFUNCTION("""COMPUTED_VALUE"""),"AI &amp; Society")</f>
        <v>AI &amp; Society</v>
      </c>
      <c r="F1576">
        <f>IFERROR(__xludf.DUMMYFUNCTION("""COMPUTED_VALUE"""),2018.0)</f>
        <v>2018</v>
      </c>
      <c r="H1576" s="3" t="str">
        <f>IFERROR(__xludf.DUMMYFUNCTION("""COMPUTED_VALUE"""),"AN #6")</f>
        <v>AN #6</v>
      </c>
    </row>
    <row r="1577">
      <c r="A1577" t="str">
        <f>IFERROR(__xludf.DUMMYFUNCTION("""COMPUTED_VALUE"""),"Problems")</f>
        <v>Problems</v>
      </c>
      <c r="B1577" t="str">
        <f>IFERROR(__xludf.DUMMYFUNCTION("""COMPUTED_VALUE"""),"")</f>
        <v/>
      </c>
      <c r="C1577" s="3" t="str">
        <f>IFERROR(__xludf.DUMMYFUNCTION("""COMPUTED_VALUE"""),"Predictors as Agents")</f>
        <v>Predictors as Agents</v>
      </c>
      <c r="E1577" t="str">
        <f>IFERROR(__xludf.DUMMYFUNCTION("""COMPUTED_VALUE"""),"LessWrong")</f>
        <v>LessWrong</v>
      </c>
      <c r="F1577">
        <f>IFERROR(__xludf.DUMMYFUNCTION("""COMPUTED_VALUE"""),2019.0)</f>
        <v>2019</v>
      </c>
      <c r="H1577" s="3" t="str">
        <f>IFERROR(__xludf.DUMMYFUNCTION("""COMPUTED_VALUE"""),"AN #40")</f>
        <v>AN #40</v>
      </c>
    </row>
    <row r="1578">
      <c r="A1578" t="str">
        <f>IFERROR(__xludf.DUMMYFUNCTION("""COMPUTED_VALUE"""),"Problems")</f>
        <v>Problems</v>
      </c>
      <c r="B1578" t="str">
        <f>IFERROR(__xludf.DUMMYFUNCTION("""COMPUTED_VALUE"""),"")</f>
        <v/>
      </c>
      <c r="C1578" s="3" t="str">
        <f>IFERROR(__xludf.DUMMYFUNCTION("""COMPUTED_VALUE"""),"When Bots Teach Themselves How To Cheat")</f>
        <v>When Bots Teach Themselves How To Cheat</v>
      </c>
      <c r="D1578" t="str">
        <f>IFERROR(__xludf.DUMMYFUNCTION("""COMPUTED_VALUE"""),"Tom Simonite")</f>
        <v>Tom Simonite</v>
      </c>
      <c r="E1578" t="str">
        <f>IFERROR(__xludf.DUMMYFUNCTION("""COMPUTED_VALUE"""),"Wired")</f>
        <v>Wired</v>
      </c>
      <c r="F1578">
        <f>IFERROR(__xludf.DUMMYFUNCTION("""COMPUTED_VALUE"""),2018.0)</f>
        <v>2018</v>
      </c>
      <c r="H1578" s="3" t="str">
        <f>IFERROR(__xludf.DUMMYFUNCTION("""COMPUTED_VALUE"""),"AN #19")</f>
        <v>AN #19</v>
      </c>
      <c r="I1578" t="str">
        <f>IFERROR(__xludf.DUMMYFUNCTION("""COMPUTED_VALUE"""),"Rohin")</f>
        <v>Rohin</v>
      </c>
      <c r="J1578" t="str">
        <f>IFERROR(__xludf.DUMMYFUNCTION("""COMPUTED_VALUE"""),"A media article about specification gaming in AI that I actually just agree with, and it doesn't even have a Terminator picture!")</f>
        <v>A media article about specification gaming in AI that I actually just agree with, and it doesn't even have a Terminator picture!</v>
      </c>
    </row>
    <row r="1579">
      <c r="A1579" t="str">
        <f>IFERROR(__xludf.DUMMYFUNCTION("""COMPUTED_VALUE"""),"Problems")</f>
        <v>Problems</v>
      </c>
      <c r="B1579" t="str">
        <f>IFERROR(__xludf.DUMMYFUNCTION("""COMPUTED_VALUE"""),"")</f>
        <v/>
      </c>
      <c r="C1579" s="3" t="str">
        <f>IFERROR(__xludf.DUMMYFUNCTION("""COMPUTED_VALUE"""),"The simple picture on AI safety")</f>
        <v>The simple picture on AI safety</v>
      </c>
      <c r="D1579" t="str">
        <f>IFERROR(__xludf.DUMMYFUNCTION("""COMPUTED_VALUE"""),"alexflint")</f>
        <v>alexflint</v>
      </c>
      <c r="E1579" t="str">
        <f>IFERROR(__xludf.DUMMYFUNCTION("""COMPUTED_VALUE"""),"LessWrong")</f>
        <v>LessWrong</v>
      </c>
      <c r="F1579">
        <f>IFERROR(__xludf.DUMMYFUNCTION("""COMPUTED_VALUE"""),2018.0)</f>
        <v>2018</v>
      </c>
      <c r="H1579" s="3" t="str">
        <f>IFERROR(__xludf.DUMMYFUNCTION("""COMPUTED_VALUE"""),"AN #9")</f>
        <v>AN #9</v>
      </c>
      <c r="I1579" t="str">
        <f>IFERROR(__xludf.DUMMYFUNCTION("""COMPUTED_VALUE"""),"Rohin")</f>
        <v>Rohin</v>
      </c>
      <c r="J1579" t="str">
        <f>IFERROR(__xludf.DUMMYFUNCTION("""COMPUTED_VALUE"""),"Argues that we should distill the problem of AI safety into a simple core. The author proposes it be distilled into two simple (but not easy) problems -- the technical engineering problem of how to build a safe superintelligence, and the coordination prob"&amp;"lem of how to prevent an unaligned superintelligence from being built first.")</f>
        <v>Argues that we should distill the problem of AI safety into a simple core. The author proposes it be distilled into two simple (but not easy) problems -- the technical engineering problem of how to build a safe superintelligence, and the coordination problem of how to prevent an unaligned superintelligence from being built first.</v>
      </c>
    </row>
    <row r="1580">
      <c r="A1580" t="str">
        <f>IFERROR(__xludf.DUMMYFUNCTION("""COMPUTED_VALUE"""),"Problems")</f>
        <v>Problems</v>
      </c>
      <c r="B1580" t="str">
        <f>IFERROR(__xludf.DUMMYFUNCTION("""COMPUTED_VALUE"""),"")</f>
        <v/>
      </c>
      <c r="C1580" s="3" t="str">
        <f>IFERROR(__xludf.DUMMYFUNCTION("""COMPUTED_VALUE"""),"Superintelligent messiahs are corrigible and probably misaligned")</f>
        <v>Superintelligent messiahs are corrigible and probably misaligned</v>
      </c>
      <c r="D1580" t="str">
        <f>IFERROR(__xludf.DUMMYFUNCTION("""COMPUTED_VALUE"""),"zhukeepa")</f>
        <v>zhukeepa</v>
      </c>
      <c r="E1580" t="str">
        <f>IFERROR(__xludf.DUMMYFUNCTION("""COMPUTED_VALUE"""),"LessWrong")</f>
        <v>LessWrong</v>
      </c>
      <c r="F1580">
        <f>IFERROR(__xludf.DUMMYFUNCTION("""COMPUTED_VALUE"""),2018.0)</f>
        <v>2018</v>
      </c>
      <c r="H1580" s="3" t="str">
        <f>IFERROR(__xludf.DUMMYFUNCTION("""COMPUTED_VALUE"""),"AN #1")</f>
        <v>AN #1</v>
      </c>
      <c r="I1580" t="str">
        <f>IFERROR(__xludf.DUMMYFUNCTION("""COMPUTED_VALUE"""),"Rohin")</f>
        <v>Rohin</v>
      </c>
      <c r="J1580" t="str">
        <f>IFERROR(__xludf.DUMMYFUNCTION("""COMPUTED_VALUE"""),"")</f>
        <v/>
      </c>
      <c r="K1580" t="str">
        <f>IFERROR(__xludf.DUMMYFUNCTION("""COMPUTED_VALUE"""),"")</f>
        <v/>
      </c>
    </row>
    <row r="1581">
      <c r="A1581" t="str">
        <f>IFERROR(__xludf.DUMMYFUNCTION("""COMPUTED_VALUE"""),"Problems")</f>
        <v>Problems</v>
      </c>
      <c r="B1581" t="str">
        <f>IFERROR(__xludf.DUMMYFUNCTION("""COMPUTED_VALUE"""),"")</f>
        <v/>
      </c>
      <c r="C1581" s="3" t="str">
        <f>IFERROR(__xludf.DUMMYFUNCTION("""COMPUTED_VALUE"""),"Emergence of Addictive Behaviors in Reinforcement Learning Agents")</f>
        <v>Emergence of Addictive Behaviors in Reinforcement Learning Agents</v>
      </c>
      <c r="D1581" t="str">
        <f>IFERROR(__xludf.DUMMYFUNCTION("""COMPUTED_VALUE"""),"Vahid Behzadan, Roman V. Yampolskiy, Arslan Munir")</f>
        <v>Vahid Behzadan, Roman V. Yampolskiy, Arslan Munir</v>
      </c>
      <c r="E1581" t="str">
        <f>IFERROR(__xludf.DUMMYFUNCTION("""COMPUTED_VALUE"""),"ICLR 2018")</f>
        <v>ICLR 2018</v>
      </c>
      <c r="F1581">
        <f>IFERROR(__xludf.DUMMYFUNCTION("""COMPUTED_VALUE"""),2018.0)</f>
        <v>2018</v>
      </c>
      <c r="H1581" t="str">
        <f>IFERROR(__xludf.DUMMYFUNCTION("""COMPUTED_VALUE"""),"N/A")</f>
        <v>N/A</v>
      </c>
      <c r="I1581" t="str">
        <f>IFERROR(__xludf.DUMMYFUNCTION("""COMPUTED_VALUE"""),"Rohin")</f>
        <v>Rohin</v>
      </c>
      <c r="J1581" t="str">
        <f>IFERROR(__xludf.DUMMYFUNCTION("""COMPUTED_VALUE"""),"")</f>
        <v/>
      </c>
      <c r="K1581" t="str">
        <f>IFERROR(__xludf.DUMMYFUNCTION("""COMPUTED_VALUE"""),"")</f>
        <v/>
      </c>
    </row>
    <row r="1582">
      <c r="A1582" t="str">
        <f>IFERROR(__xludf.DUMMYFUNCTION("""COMPUTED_VALUE"""),"Recommender systems")</f>
        <v>Recommender systems</v>
      </c>
      <c r="B1582" t="str">
        <f>IFERROR(__xludf.DUMMYFUNCTION("""COMPUTED_VALUE"""),"Highlight")</f>
        <v>Highlight</v>
      </c>
      <c r="C1582" s="3" t="str">
        <f>IFERROR(__xludf.DUMMYFUNCTION("""COMPUTED_VALUE"""),"From Optimizing Engagement to Measuring Value")</f>
        <v>From Optimizing Engagement to Measuring Value</v>
      </c>
      <c r="D1582" t="str">
        <f>IFERROR(__xludf.DUMMYFUNCTION("""COMPUTED_VALUE"""),"Smitha Milli, Luca Belli, Moritz Hardt")</f>
        <v>Smitha Milli, Luca Belli, Moritz Hardt</v>
      </c>
      <c r="E1582" t="str">
        <f>IFERROR(__xludf.DUMMYFUNCTION("""COMPUTED_VALUE"""),"arXiv")</f>
        <v>arXiv</v>
      </c>
      <c r="F1582">
        <f>IFERROR(__xludf.DUMMYFUNCTION("""COMPUTED_VALUE"""),2020.0)</f>
        <v>2020</v>
      </c>
      <c r="H1582" s="3" t="str">
        <f>IFERROR(__xludf.DUMMYFUNCTION("""COMPUTED_VALUE"""),"AN #123")</f>
        <v>AN #123</v>
      </c>
      <c r="I1582" t="str">
        <f>IFERROR(__xludf.DUMMYFUNCTION("""COMPUTED_VALUE"""),"Rohin")</f>
        <v>Rohin</v>
      </c>
      <c r="J1582" t="str">
        <f>IFERROR(__xludf.DUMMYFUNCTION("""COMPUTED_VALUE"""),"This paper takes a stab at creating a better objective for existing recommender systems than engagement, in a way that could be applied at existing companies like Twitter. The basic approach is to treat the variable to be optimized (user value) as a laten"&amp;"t variable, and use probabilistic inference to infer how likely it is that a particular recommendation was valuable.
Usually a major challenge with such an approach is specifying the _observation model_: how the observed data is caused by the latent vari"&amp;"able. In the case of Twitter, this would require you to answer questions like, “if the user does not value a tweet, how likely is a user to hit the like button anyway?” This is a hard question to answer, since perhaps users like tweets in order to stop co"&amp;"nversations, or because they are addicting at the moment but are not actually valuable, etc.
One simple heuristic is to take two datasets where we know one dataset has more valuable recommendations than the other. Differences in user behavior between the"&amp;"se datasets can then be assumed to be correlations with value. The authors provide a quantitative method for inferring the observation model from such datasets, which I won’t go into here since it is primarily a heuristic baseline. One obvious problem is "&amp;"that if the “better” dataset was produced by optimizing (say) clicks, then the clicks may have increased for reasons other than improved value, but this heuristic approach will attribute the entire increase to improved value.
How can we do better? The ke"&amp;"y insight of this paper is that if you have a bunch of historical data, then you can get a lot of mileage by identifying an _anchor_: a type of feedback that when given provides unequivocal evidence of the latent value. On Twitter, this is taken to be the"&amp;" “See Less Often” (SLO) button: if this is clicked, then we know with effective certainty that this was not valuable, regardless of any other actions the user took. The connection between value and other behaviors such as liking a tweet can then be inferr"&amp;"ed by looking at the connection between those behaviors and the anchor, which we can estimate from historical data.
Formally, the authors assume access to a graph describing the relationships between the various possible behaviors (almost all of which ha"&amp;"ve the latent value V as a parent). One of these is identified as the anchor node A, for which P(V = 1 | A = 1) is assumed to be known and independent of all other variables. However, P(V = 1 | A = 0) is not independent of other variables: intuitively, if"&amp;" the SLO button is _not_ clicked, then we need to fall back to looking at other variables to estimate value.
The authors then show that under some reasonable assumptions on the anchor variable, if you have a dataset of historical data to estimate P(A, B)"&amp;" (where B consists of all the other tracked behaviors), then instead of specifying observation models P(B | V) for all behaviors, you only need to specify observation models for the parents of A, that is P(parents(A) | V). Everything else is uniquely dete"&amp;"rmined, allowing us to calculate our final objective P(V | A, B). (There are algorithmic details on how to do this efficiently; see the paper for details.) In this case, they use the heuristic method outlined above to estimate P(parents(A) | V).
They unf"&amp;"ortunately don’t have a great way to evaluate their method: they clearly can’t evaluate it by seeing if it leads to higher clicks, since the whole point was to move away from clicks as an optimization target. (I assume a user study on Twitter was infeasib"&amp;"le.) Their primary form of evaluation is to run the model and report the learned probabilities, and show that they seem reasonable, whereas those output by a Naive Bayes model do not.")</f>
        <v>This paper takes a stab at creating a better objective for existing recommender systems than engagement, in a way that could be applied at existing companies like Twitter. The basic approach is to treat the variable to be optimized (user value) as a latent variable, and use probabilistic inference to infer how likely it is that a particular recommendation was valuable.
Usually a major challenge with such an approach is specifying the _observation model_: how the observed data is caused by the latent variable. In the case of Twitter, this would require you to answer questions like, “if the user does not value a tweet, how likely is a user to hit the like button anyway?” This is a hard question to answer, since perhaps users like tweets in order to stop conversations, or because they are addicting at the moment but are not actually valuable, etc.
One simple heuristic is to take two datasets where we know one dataset has more valuable recommendations than the other. Differences in user behavior between these datasets can then be assumed to be correlations with value. The authors provide a quantitative method for inferring the observation model from such datasets, which I won’t go into here since it is primarily a heuristic baseline. One obvious problem is that if the “better” dataset was produced by optimizing (say) clicks, then the clicks may have increased for reasons other than improved value, but this heuristic approach will attribute the entire increase to improved value.
How can we do better? The key insight of this paper is that if you have a bunch of historical data, then you can get a lot of mileage by identifying an _anchor_: a type of feedback that when given provides unequivocal evidence of the latent value. On Twitter, this is taken to be the “See Less Often” (SLO) button: if this is clicked, then we know with effective certainty that this was not valuable, regardless of any other actions the user took. The connection between value and other behaviors such as liking a tweet can then be inferred by looking at the connection between those behaviors and the anchor, which we can estimate from historical data.
Formally, the authors assume access to a graph describing the relationships between the various possible behaviors (almost all of which have the latent value V as a parent). One of these is identified as the anchor node A, for which P(V = 1 | A = 1) is assumed to be known and independent of all other variables. However, P(V = 1 | A = 0) is not independent of other variables: intuitively, if the SLO button is _not_ clicked, then we need to fall back to looking at other variables to estimate value.
The authors then show that under some reasonable assumptions on the anchor variable, if you have a dataset of historical data to estimate P(A, B) (where B consists of all the other tracked behaviors), then instead of specifying observation models P(B | V) for all behaviors, you only need to specify observation models for the parents of A, that is P(parents(A) | V). Everything else is uniquely determined, allowing us to calculate our final objective P(V | A, B). (There are algorithmic details on how to do this efficiently; see the paper for details.) In this case, they use the heuristic method outlined above to estimate P(parents(A) | V).
They unfortunately don’t have a great way to evaluate their method: they clearly can’t evaluate it by seeing if it leads to higher clicks, since the whole point was to move away from clicks as an optimization target. (I assume a user study on Twitter was infeasible.) Their primary form of evaluation is to run the model and report the learned probabilities, and show that they seem reasonable, whereas those output by a Naive Bayes model do not.</v>
      </c>
      <c r="K1582" t="str">
        <f>IFERROR(__xludf.DUMMYFUNCTION("""COMPUTED_VALUE"""),"I really liked this paper: it seems like it took a real stab at trying to align today’s recommender systems, and might have made substantial progress.
I am somewhat dubious of the use of causal graphical models here: if you create a model with some con"&amp;"ditional independence relation that then doesn’t hold in practice, your model can have some pretty bad inferences. This actually happened: when they only modeled the relationships based on Twitter’s UI elements, and in particular did not model the depende"&amp;"nce of SLO on clicks, they were getting bad results, where clicking on a post was interpreted as evidence that the post was _not_ valuable.
As the paper mentions, we can drop the causal interpretation of the Bayes net. This lets us draw edges between m"&amp;"ore nodes in B in order to make our model more expressive and partially prevent this sort of misspecification, while also letting us express more complex relationships. For example, I think (but am not sure) that with their current graph, liking and retwe"&amp;"eting a post would be treated as independent sources of evidence. If we drew an edge between them, you would gain the ability for the model to learn that if a user likes _and_ retweets a post, that is more than the sum of the contributions of liking and r"&amp;"etweeting separately. Note that you still can’t connect everything to the anchor A, because they require that A has no children, and if you add parents to A, those must then be estimated by the heuristic method above that is probably not very good. So you"&amp;" still need to model conditional independence for A, and this may get significantly harder the more complex B becomes.
This also makes sense given the motivation: since the idea is to have information about value “flow through the anchor” to the variab"&amp;"les in B, it seems like you shouldn’t need to worry too much about the relationships between variables in B, and it would be fine to model arbitrarily complex relationships between them. Besides dropping the causal interpretation and adding lots of edges "&amp;"in B, another option is to add many more features to the graph: for example, perhaps you also want to include the number of likes that the tweet gets overall, or whether or not it is currently the weekend. You do need to make sure your model does not beco"&amp;"me so expressive that it can now overfit to the dataset, e.g. “tweets that are posted on Sep 24 that get exactly 38756 likes will not be valuable to Alice”. However, the datasets they are using are presumably huge, and the current graphical models are tin"&amp;"y (16 nodes with low degree), so we can increase it at least somewhat before we get to that point.
Is this paper relevant to alignment of superintelligent AI systems, the topic of this newsletter? I don’t think it is that relevant, since it seems like "&amp;"the main technique involves us effectively hardcoding our knowledge (of the anchor variable) into the objective, in a way that makes sense for recommender systems but probably would not work for more general systems. I’m highlighting it anyway because I t"&amp;"hink it is particularly novel and interesting, it seems to solve an analog of the alignment problem for existing AI systems, and it is part of a research lineage that I do think will be relevant for alignment: how to create good objectives for AI systems."&amp;" Even if you only care about alignment of superintelligent systems, it seems worth following the techniques used today and the problems that come up in their application, as the lessons learned may continue to be relevant when intelligence is scaled up.
")</f>
        <v>I really liked this paper: it seems like it took a real stab at trying to align today’s recommender systems, and might have made substantial progress.
I am somewhat dubious of the use of causal graphical models here: if you create a model with some conditional independence relation that then doesn’t hold in practice, your model can have some pretty bad inferences. This actually happened: when they only modeled the relationships based on Twitter’s UI elements, and in particular did not model the dependence of SLO on clicks, they were getting bad results, where clicking on a post was interpreted as evidence that the post was _not_ valuable.
As the paper mentions, we can drop the causal interpretation of the Bayes net. This lets us draw edges between more nodes in B in order to make our model more expressive and partially prevent this sort of misspecification, while also letting us express more complex relationships. For example, I think (but am not sure) that with their current graph, liking and retweeting a post would be treated as independent sources of evidence. If we drew an edge between them, you would gain the ability for the model to learn that if a user likes _and_ retweets a post, that is more than the sum of the contributions of liking and retweeting separately. Note that you still can’t connect everything to the anchor A, because they require that A has no children, and if you add parents to A, those must then be estimated by the heuristic method above that is probably not very good. So you still need to model conditional independence for A, and this may get significantly harder the more complex B becomes.
This also makes sense given the motivation: since the idea is to have information about value “flow through the anchor” to the variables in B, it seems like you shouldn’t need to worry too much about the relationships between variables in B, and it would be fine to model arbitrarily complex relationships between them. Besides dropping the causal interpretation and adding lots of edges in B, another option is to add many more features to the graph: for example, perhaps you also want to include the number of likes that the tweet gets overall, or whether or not it is currently the weekend. You do need to make sure your model does not become so expressive that it can now overfit to the dataset, e.g. “tweets that are posted on Sep 24 that get exactly 38756 likes will not be valuable to Alice”. However, the datasets they are using are presumably huge, and the current graphical models are tiny (16 nodes with low degree), so we can increase it at least somewhat before we get to that point.
Is this paper relevant to alignment of superintelligent AI systems, the topic of this newsletter? I don’t think it is that relevant, since it seems like the main technique involves us effectively hardcoding our knowledge (of the anchor variable) into the objective, in a way that makes sense for recommender systems but probably would not work for more general systems. I’m highlighting it anyway because I think it is particularly novel and interesting, it seems to solve an analog of the alignment problem for existing AI systems, and it is part of a research lineage that I do think will be relevant for alignment: how to create good objectives for AI systems. Even if you only care about alignment of superintelligent systems, it seems worth following the techniques used today and the problems that come up in their application, as the lessons learned may continue to be relevant when intelligence is scaled up.
</v>
      </c>
    </row>
    <row r="1583">
      <c r="A1583" t="str">
        <f>IFERROR(__xludf.DUMMYFUNCTION("""COMPUTED_VALUE"""),"Recommender systems")</f>
        <v>Recommender systems</v>
      </c>
      <c r="B1583" t="str">
        <f>IFERROR(__xludf.DUMMYFUNCTION("""COMPUTED_VALUE"""),"")</f>
        <v/>
      </c>
      <c r="C1583" s="3" t="str">
        <f>IFERROR(__xludf.DUMMYFUNCTION("""COMPUTED_VALUE"""),"Aligning AI to Human Values means Picking the Right Metrics")</f>
        <v>Aligning AI to Human Values means Picking the Right Metrics</v>
      </c>
      <c r="D1583" t="str">
        <f>IFERROR(__xludf.DUMMYFUNCTION("""COMPUTED_VALUE"""),"Jonathan Stray")</f>
        <v>Jonathan Stray</v>
      </c>
      <c r="E1583" t="str">
        <f>IFERROR(__xludf.DUMMYFUNCTION("""COMPUTED_VALUE"""),"PAI Blog")</f>
        <v>PAI Blog</v>
      </c>
      <c r="F1583">
        <f>IFERROR(__xludf.DUMMYFUNCTION("""COMPUTED_VALUE"""),2020.0)</f>
        <v>2020</v>
      </c>
      <c r="H1583" s="3" t="str">
        <f>IFERROR(__xludf.DUMMYFUNCTION("""COMPUTED_VALUE"""),"AN #96")</f>
        <v>AN #96</v>
      </c>
      <c r="I1583" t="str">
        <f>IFERROR(__xludf.DUMMYFUNCTION("""COMPUTED_VALUE"""),"Rohin")</f>
        <v>Rohin</v>
      </c>
      <c r="J1583" t="str">
        <f>IFERROR(__xludf.DUMMYFUNCTION("""COMPUTED_VALUE"""),"There has been a lot of attention recently on the flaws of recommender systems, especially when optimizing for simple metrics like engagement -- an example of what we might call ""narrow value alignment"". This post reconstructs how Facebook and YouTube h"&amp;"ave been incorporating better metrics into their algorithms from 2015 and 2017 respectively. For example, Facebook found that academic research suggested that well-being was improved by ""meaningful social interactions"", but worsened by passive consumpti"&amp;"on of content. As a result, they changed the metric for the recommendation algorithm to better track this. How did they measure it? It seems that they simply asked a survey of thousands of people what the most meaningful content was (both on and off Faceb"&amp;"ook), and used this to train a model to predict ""meaningful interactions"". They estimated that this resulted in a 5% decrease in time spent on Facebook, at least in the short term. The story with YouTube is similar, though sparser on details (and it's n"&amp;"ot clear if there was input from end users in YouTube's case).
The author then contrasts this sort of narrow value alignment with AGI alignment. His main take is that narrow alignment should be easier to address, since we can learn from how existing syst"&amp;"ems behave in the real world, and the insights we gain may be critical for AGI alignment. I'll end with a quote from the conclusion: ""My argument is not so much that one should use AI to optimize for well-being. Rather, we live in a world where large-sca"&amp;"le optimization is already happening. We can choose not to evaluate or adjust these systems, but there is little reason to imagine that ignorance and inaction would be better.""")</f>
        <v>There has been a lot of attention recently on the flaws of recommender systems, especially when optimizing for simple metrics like engagement -- an example of what we might call "narrow value alignment". This post reconstructs how Facebook and YouTube have been incorporating better metrics into their algorithms from 2015 and 2017 respectively. For example, Facebook found that academic research suggested that well-being was improved by "meaningful social interactions", but worsened by passive consumption of content. As a result, they changed the metric for the recommendation algorithm to better track this. How did they measure it? It seems that they simply asked a survey of thousands of people what the most meaningful content was (both on and off Facebook), and used this to train a model to predict "meaningful interactions". They estimated that this resulted in a 5% decrease in time spent on Facebook, at least in the short term. The story with YouTube is similar, though sparser on details (and it's not clear if there was input from end users in YouTube's case).
The author then contrasts this sort of narrow value alignment with AGI alignment. His main take is that narrow alignment should be easier to address, since we can learn from how existing systems behave in the real world, and the insights we gain may be critical for AGI alignment. I'll end with a quote from the conclusion: "My argument is not so much that one should use AI to optimize for well-being. Rather, we live in a world where large-scale optimization is already happening. We can choose not to evaluate or adjust these systems, but there is little reason to imagine that ignorance and inaction would be better."</v>
      </c>
      <c r="K1583" t="str">
        <f>IFERROR(__xludf.DUMMYFUNCTION("""COMPUTED_VALUE"""),"Even though I often feel like an &lt;@optimist@&gt;(@Conversation with Rohin Shah@) about incentives towards alignment, even I was surprised to see the amount of effort that it seems Facebook has put into trying to align its recommendation algorithm with well-b"&amp;"eing. To the extent that the recommendation algorithm is still primarily harmful (which might be true or false, idk), this suggests to me that it might just be really hard to give good recommendations given the sparse feedback you get. Of course, there ar"&amp;"e more cynical explanations, e.g. Facebook just wants to look like they care about well-being, but if they really cared they could do way better. I lean towards the first explanation, but it's very hard to distinguish between these hypotheses.
While this"&amp;" post claimed that narrow value alignment should be easier than AGI alignment, I'm actually not so sure. With AGI alignment, you have the really powerful assumption that the AI system you are trying to align is _intelligent_: this could plausibly help a l"&amp;"ot. For example, maybe the recommender systems that Facebook is using are just incapable of predicting what will and won't improve human well-being, in which case narrow alignment is doomed. This wouldn't be the case with an AGI (depending on your definit"&amp;"ion of AGI) -- it should be capable of doing at least as well as humans do. The challenge is in ensuring that the AI systems are actually &lt;@motivated@&gt;(@Clarifying ""AI Alignment""@) to do so, not whether they are capable of doing so; with narrow alignmen"&amp;"t you need to solve both problems.")</f>
        <v>Even though I often feel like an &lt;@optimist@&gt;(@Conversation with Rohin Shah@) about incentives towards alignment, even I was surprised to see the amount of effort that it seems Facebook has put into trying to align its recommendation algorithm with well-being. To the extent that the recommendation algorithm is still primarily harmful (which might be true or false, idk), this suggests to me that it might just be really hard to give good recommendations given the sparse feedback you get. Of course, there are more cynical explanations, e.g. Facebook just wants to look like they care about well-being, but if they really cared they could do way better. I lean towards the first explanation, but it's very hard to distinguish between these hypotheses.
While this post claimed that narrow value alignment should be easier than AGI alignment, I'm actually not so sure. With AGI alignment, you have the really powerful assumption that the AI system you are trying to align is _intelligent_: this could plausibly help a lot. For example, maybe the recommender systems that Facebook is using are just incapable of predicting what will and won't improve human well-being, in which case narrow alignment is doomed. This wouldn't be the case with an AGI (depending on your definition of AGI) -- it should be capable of doing at least as well as humans do. The challenge is in ensuring that the AI systems are actually &lt;@motivated@&gt;(@Clarifying "AI Alignment"@) to do so, not whether they are capable of doing so; with narrow alignment you need to solve both problems.</v>
      </c>
    </row>
    <row r="1584">
      <c r="A1584" t="str">
        <f>IFERROR(__xludf.DUMMYFUNCTION("""COMPUTED_VALUE"""),"Recommender systems")</f>
        <v>Recommender systems</v>
      </c>
      <c r="B1584" t="str">
        <f>IFERROR(__xludf.DUMMYFUNCTION("""COMPUTED_VALUE"""),"")</f>
        <v/>
      </c>
      <c r="C1584" s="3" t="str">
        <f>IFERROR(__xludf.DUMMYFUNCTION("""COMPUTED_VALUE"""),"Designing Recommender Systems to Depolarize")</f>
        <v>Designing Recommender Systems to Depolarize</v>
      </c>
      <c r="D1584" t="str">
        <f>IFERROR(__xludf.DUMMYFUNCTION("""COMPUTED_VALUE"""),"Jonathan Stray")</f>
        <v>Jonathan Stray</v>
      </c>
      <c r="E1584" t="str">
        <f>IFERROR(__xludf.DUMMYFUNCTION("""COMPUTED_VALUE"""),"arXiv")</f>
        <v>arXiv</v>
      </c>
      <c r="F1584">
        <f>IFERROR(__xludf.DUMMYFUNCTION("""COMPUTED_VALUE"""),2021.0)</f>
        <v>2021</v>
      </c>
      <c r="H1584" s="3" t="str">
        <f>IFERROR(__xludf.DUMMYFUNCTION("""COMPUTED_VALUE"""),"AN #159")</f>
        <v>AN #159</v>
      </c>
      <c r="I1584" t="str">
        <f>IFERROR(__xludf.DUMMYFUNCTION("""COMPUTED_VALUE"""),"Rohin")</f>
        <v>Rohin</v>
      </c>
      <c r="J1584" t="str">
        <f>IFERROR(__xludf.DUMMYFUNCTION("""COMPUTED_VALUE"""),"This paper agrees with the post above that “available evidence mostly disfavors the hypothesis that recommender systems are driving polarization through selective exposure, aka ‘filter bubbles’ or ‘echo chambers’”. Nonetheless, social media is a huge part"&amp;" of today’s society, and even if it isn’t actively driving polarization, we can ask whether there are interventions that would decrease polarization. That is the focus of this paper.
It isn’t clear that we _should_ intervene to decrease polarization for "&amp;"a number of reasons:
1. Users may not want to be “depolarized”.
2. Polarization may lead to increased accountability as each side keeps close watch of politicians on the other side. Indeed, in 1950 people used to worry that we weren’t polarized _enough_."&amp;"
3. More broadly, we often learn through conflict: you are less likely to see past your own biases if there isn’t someone else pointing out what they are. To the extent that depolarization removes conflict, it may be harmful.
Nonetheless, polarization al"&amp;"so has some clear downsides:
1. It can cause gridlock, preventing effective governance.
2. It erodes norms against conflict escalation, leading to outrageous behavior and potentially violence.
3. At current levels, it has effects on all spheres of life, "&amp;"many of which are negative (e.g. harm to relationships across partisan lines).
Indeed, it is plausible that _most_ situations of extreme conflict were caused in part by a positive feedback loop involving polarization; this suggests that reducing polariza"&amp;"tion could be a very effective method to prevent conflict escalation. Ultimately, it is the _escalation_ and _violence_ that we want to prevent. Thus we should be aiming for interventions that don’t eliminate conflict (as we saw before, conflict is useful"&amp;"), but rather transform it into a version that doesn’t lead to escalation and norm violations.
For this purpose we mostly care about _affective polarization_, which tells you how people feel about “the other side”. (In contrast, issue polarization is les"&amp;"s central, since we don’t want to discourage disagreement on issues.) The paper’s central recommendation is for companies to measure affective polarization and use this as a validation metric to help decide whether a particular change to a recommender sys"&amp;"tem should be deployed or not. (This matches current practice at tech companies, where there are a few high-level metrics that managers use to decide what to deploy, and importantly, the algorithms do _not_ explicitly optimize for those metrics.) Alternat"&amp;"ively, we could use reinforcement learning to optimize the affective polarization metric, but in this case we would need to continuously evaluate the _metric_ in order to ensure we don’t fall prey to Goodhart effects.
The paper also discusses potential i"&amp;"nterventions that could reduce polarization. However, it cautions that they are based on theory or studies with limited ecological validity, and ideally should be checked via the metric suggested above. Nonetheless, here they are:
1. **Removing polarizin"&amp;"g content.** In this case, the polarizing content doesn’t make it to the recommender system at all. This can be done quite well when there are human moderators embedded within a community, but is much harder to do at scale in an automated way.
2. **Chang"&amp;"ing recommendations.** The most common suggestion in this category is to increase the diversity of recommended content (i.e. go outside the “filter bubble”). This can succeed, though usually only has a modest effect, and can sometimes have the opposite ef"&amp;"fect of increasing polarization. A second option is to penalize content for incivility: studies have shown that incivility tends to increase affective polarization. Actively promoting civil content could also help. That being said, it is not clear that we"&amp;" want to prevent people from ever raising their voice.
3. **Changing presentation.** The interface to the content can be changed to promote better interactions. For example, when the Facebook “like” button was replaced by a “respect” button, people were "&amp;"more likely to “respect” comments they disagreed with.")</f>
        <v>This paper agrees with the post above that “available evidence mostly disfavors the hypothesis that recommender systems are driving polarization through selective exposure, aka ‘filter bubbles’ or ‘echo chambers’”. Nonetheless, social media is a huge part of today’s society, and even if it isn’t actively driving polarization, we can ask whether there are interventions that would decrease polarization. That is the focus of this paper.
It isn’t clear that we _should_ intervene to decrease polarization for a number of reasons:
1. Users may not want to be “depolarized”.
2. Polarization may lead to increased accountability as each side keeps close watch of politicians on the other side. Indeed, in 1950 people used to worry that we weren’t polarized _enough_.
3. More broadly, we often learn through conflict: you are less likely to see past your own biases if there isn’t someone else pointing out what they are. To the extent that depolarization removes conflict, it may be harmful.
Nonetheless, polarization also has some clear downsides:
1. It can cause gridlock, preventing effective governance.
2. It erodes norms against conflict escalation, leading to outrageous behavior and potentially violence.
3. At current levels, it has effects on all spheres of life, many of which are negative (e.g. harm to relationships across partisan lines).
Indeed, it is plausible that _most_ situations of extreme conflict were caused in part by a positive feedback loop involving polarization; this suggests that reducing polarization could be a very effective method to prevent conflict escalation. Ultimately, it is the _escalation_ and _violence_ that we want to prevent. Thus we should be aiming for interventions that don’t eliminate conflict (as we saw before, conflict is useful), but rather transform it into a version that doesn’t lead to escalation and norm violations.
For this purpose we mostly care about _affective polarization_, which tells you how people feel about “the other side”. (In contrast, issue polarization is less central, since we don’t want to discourage disagreement on issues.) The paper’s central recommendation is for companies to measure affective polarization and use this as a validation metric to help decide whether a particular change to a recommender system should be deployed or not. (This matches current practice at tech companies, where there are a few high-level metrics that managers use to decide what to deploy, and importantly, the algorithms do _not_ explicitly optimize for those metrics.) Alternatively, we could use reinforcement learning to optimize the affective polarization metric, but in this case we would need to continuously evaluate the _metric_ in order to ensure we don’t fall prey to Goodhart effects.
The paper also discusses potential interventions that could reduce polarization. However, it cautions that they are based on theory or studies with limited ecological validity, and ideally should be checked via the metric suggested above. Nonetheless, here they are:
1. **Removing polarizing content.** In this case, the polarizing content doesn’t make it to the recommender system at all. This can be done quite well when there are human moderators embedded within a community, but is much harder to do at scale in an automated way.
2. **Changing recommendations.** The most common suggestion in this category is to increase the diversity of recommended content (i.e. go outside the “filter bubble”). This can succeed, though usually only has a modest effect, and can sometimes have the opposite effect of increasing polarization. A second option is to penalize content for incivility: studies have shown that incivility tends to increase affective polarization. Actively promoting civil content could also help. That being said, it is not clear that we want to prevent people from ever raising their voice.
3. **Changing presentation.** The interface to the content can be changed to promote better interactions. For example, when the Facebook “like” button was replaced by a “respect” button, people were more likely to “respect” comments they disagreed with.</v>
      </c>
      <c r="K1584" t="str">
        <f>IFERROR(__xludf.DUMMYFUNCTION("""COMPUTED_VALUE"""),"I really liked this paper as an example of an agenda about how to change recommender systems. It didn’t rely on armchair speculation or anecdotes to determine what problems exist and what changes should be made, and it didn’t just assume that polarization"&amp;" must be bad and instead considered both costs and benefits. The focus on “making conflict healthy” makes a lot of sense to me. I especially appreciated the emphasis on a strategy for evaluating particular changes, rather than pushing for a specific chang"&amp;"e; specific changes all too often fail once you test them at scale in the real world.")</f>
        <v>I really liked this paper as an example of an agenda about how to change recommender systems. It didn’t rely on armchair speculation or anecdotes to determine what problems exist and what changes should be made, and it didn’t just assume that polarization must be bad and instead considered both costs and benefits. The focus on “making conflict healthy” makes a lot of sense to me. I especially appreciated the emphasis on a strategy for evaluating particular changes, rather than pushing for a specific change; specific changes all too often fail once you test them at scale in the real world.</v>
      </c>
    </row>
    <row r="1585">
      <c r="A1585" t="str">
        <f>IFERROR(__xludf.DUMMYFUNCTION("""COMPUTED_VALUE"""),"Recommender systems")</f>
        <v>Recommender systems</v>
      </c>
      <c r="B1585" t="str">
        <f>IFERROR(__xludf.DUMMYFUNCTION("""COMPUTED_VALUE"""),"")</f>
        <v/>
      </c>
      <c r="C1585" s="3" t="str">
        <f>IFERROR(__xludf.DUMMYFUNCTION("""COMPUTED_VALUE"""),"User Tampering in Reinforcement Learning Recommender Systems")</f>
        <v>User Tampering in Reinforcement Learning Recommender Systems</v>
      </c>
      <c r="D1585" t="str">
        <f>IFERROR(__xludf.DUMMYFUNCTION("""COMPUTED_VALUE"""),"Charles Evans, Atoosa Kasirzadeh")</f>
        <v>Charles Evans, Atoosa Kasirzadeh</v>
      </c>
      <c r="E1585" t="str">
        <f>IFERROR(__xludf.DUMMYFUNCTION("""COMPUTED_VALUE"""),"arXiv")</f>
        <v>arXiv</v>
      </c>
      <c r="F1585">
        <f>IFERROR(__xludf.DUMMYFUNCTION("""COMPUTED_VALUE"""),2021.0)</f>
        <v>2021</v>
      </c>
      <c r="H1585" s="3" t="str">
        <f>IFERROR(__xludf.DUMMYFUNCTION("""COMPUTED_VALUE"""),"AN #169")</f>
        <v>AN #169</v>
      </c>
      <c r="I1585" t="str">
        <f>IFERROR(__xludf.DUMMYFUNCTION("""COMPUTED_VALUE"""),"Zach")</f>
        <v>Zach</v>
      </c>
      <c r="J1585" t="str">
        <f>IFERROR(__xludf.DUMMYFUNCTION("""COMPUTED_VALUE"""),"Large-scale recommender systems have emerged as a way to filter through large pools of content to identify and recommend content to users. However, these advances have led to social and ethical concerns over the use of recommender systems in applications."&amp;" This paper focuses on the potential for social manipulability and polarization from the use of RL-based recommender systems. In particular, they present evidence that such recommender systems have an instrumental goal to engage in user tampering by polar"&amp;"izing users early on in an attempt to make later predictions easier. 
To formalize the problem the authors introduce a causal model. Essentially, they note that predicting user preferences requires an exogenous, non-observable variable, that models click"&amp;"-through rates. They then introduce a notion of instrumental goal that models the general behavior of RL-based algorithms over a set of potential tasks. The authors argue that such algorithms will have an instrumental goal to influence the exogenous/prefe"&amp;"rence variables whenever user opinions are malleable. This ultimately introduces a risk for preference manipulation. 
The author's hypothesis is tested using a simple media recommendation problem. They model the exogenous variable as either leftist, cent"&amp;"rist, or right-wing. User preferences are malleable in the sense that a user shown content from an opposing side will polarize their initial preferences. In experiments, the authors show that a standard Q-learning algorithm will learn to tamper with user "&amp;"preferences which increases polarization in both leftist and right-wing populations. Moreover, even though the agent makes use of tampering it fails to outperform a crude baseline policy that avoids tampering. ")</f>
        <v>Large-scale recommender systems have emerged as a way to filter through large pools of content to identify and recommend content to users. However, these advances have led to social and ethical concerns over the use of recommender systems in applications. This paper focuses on the potential for social manipulability and polarization from the use of RL-based recommender systems. In particular, they present evidence that such recommender systems have an instrumental goal to engage in user tampering by polarizing users early on in an attempt to make later predictions easier. 
To formalize the problem the authors introduce a causal model. Essentially, they note that predicting user preferences requires an exogenous, non-observable variable, that models click-through rates. They then introduce a notion of instrumental goal that models the general behavior of RL-based algorithms over a set of potential tasks. The authors argue that such algorithms will have an instrumental goal to influence the exogenous/preference variables whenever user opinions are malleable. This ultimately introduces a risk for preference manipulation. 
The author's hypothesis is tested using a simple media recommendation problem. They model the exogenous variable as either leftist, centrist, or right-wing. User preferences are malleable in the sense that a user shown content from an opposing side will polarize their initial preferences. In experiments, the authors show that a standard Q-learning algorithm will learn to tamper with user preferences which increases polarization in both leftist and right-wing populations. Moreover, even though the agent makes use of tampering it fails to outperform a crude baseline policy that avoids tampering. </v>
      </c>
      <c r="K1585" t="str">
        <f>IFERROR(__xludf.DUMMYFUNCTION("""COMPUTED_VALUE"""),"This article is interesting because it formalizes and experimentally demonstrates an intuitive concern many have regarding recommender systems.  I also found the formalization of instrumental goals to be of independent interest. The most surprising result"&amp;" was that the agents who exploit tampering are not particularly more effective than policies that avoid tampering. This suggests that the instrumental incentive is not really pointing at what is actually optimal, which I found to be an illuminating distin"&amp;"ction. ")</f>
        <v>This article is interesting because it formalizes and experimentally demonstrates an intuitive concern many have regarding recommender systems.  I also found the formalization of instrumental goals to be of independent interest. The most surprising result was that the agents who exploit tampering are not particularly more effective than policies that avoid tampering. This suggests that the instrumental incentive is not really pointing at what is actually optimal, which I found to be an illuminating distinction. </v>
      </c>
    </row>
    <row r="1586">
      <c r="A1586" t="str">
        <f>IFERROR(__xludf.DUMMYFUNCTION("""COMPUTED_VALUE"""),"Recommender systems")</f>
        <v>Recommender systems</v>
      </c>
      <c r="B1586" t="str">
        <f>IFERROR(__xludf.DUMMYFUNCTION("""COMPUTED_VALUE"""),"")</f>
        <v/>
      </c>
      <c r="C1586" s="3" t="str">
        <f>IFERROR(__xludf.DUMMYFUNCTION("""COMPUTED_VALUE"""),"How Much Do Recommender Systems Drive Polarization?")</f>
        <v>How Much Do Recommender Systems Drive Polarization?</v>
      </c>
      <c r="D1586" t="str">
        <f>IFERROR(__xludf.DUMMYFUNCTION("""COMPUTED_VALUE"""),"Jacob Steinhardt")</f>
        <v>Jacob Steinhardt</v>
      </c>
      <c r="E1586" t="str">
        <f>IFERROR(__xludf.DUMMYFUNCTION("""COMPUTED_VALUE"""),"Author's Website")</f>
        <v>Author's Website</v>
      </c>
      <c r="F1586">
        <f>IFERROR(__xludf.DUMMYFUNCTION("""COMPUTED_VALUE"""),2021.0)</f>
        <v>2021</v>
      </c>
      <c r="H1586" s="3" t="str">
        <f>IFERROR(__xludf.DUMMYFUNCTION("""COMPUTED_VALUE"""),"AN #159")</f>
        <v>AN #159</v>
      </c>
      <c r="I1586" t="str">
        <f>IFERROR(__xludf.DUMMYFUNCTION("""COMPUTED_VALUE"""),"Rohin")</f>
        <v>Rohin</v>
      </c>
      <c r="J1586" t="str">
        <f>IFERROR(__xludf.DUMMYFUNCTION("""COMPUTED_VALUE"""),"There is a common worry that social media (and recommender systems in particular) are responsible for increased polarization in recent years. This post delves into the evidence for this claim. By “polarization”, we mostly mean _affective polarization_, wh"&amp;"ich measures how positive your feelings towards the opposing party are (though we also sometimes mean _issue polarization_, which measures the correlation between your opinions on e.g. gun control, abortion, and taxes). The main relevant facts are:
1. Po"&amp;"larization in the US has increased steadily since 1980 (i.e. pre-internet), though arguably there was a slight increase from the trend around 2016.
2. Since 2000, polarization has only increased in some Western countries, even though Internet use has incr"&amp;"eased relatively uniformly across countries.
3. Polarization in the US has increased most in the 65+ age group (which has the least social media usage).
(2) could be partly explained by social media causing polarization only in two-party systems, and (3)"&amp;" could be explained by saying that social media changed the incentives of more traditional media (such as TV) which then increased polarization in the 65+ age group. Nevertheless, overall it seems like social media is probably not the main driver of incre"&amp;"ased polarization. Social media may have accelerated the process (for instance by changing the incentives of traditional media), but the data is too noisy to tell one way or the other.")</f>
        <v>There is a common worry that social media (and recommender systems in particular) are responsible for increased polarization in recent years. This post delves into the evidence for this claim. By “polarization”, we mostly mean _affective polarization_, which measures how positive your feelings towards the opposing party are (though we also sometimes mean _issue polarization_, which measures the correlation between your opinions on e.g. gun control, abortion, and taxes). The main relevant facts are:
1. Polarization in the US has increased steadily since 1980 (i.e. pre-internet), though arguably there was a slight increase from the trend around 2016.
2. Since 2000, polarization has only increased in some Western countries, even though Internet use has increased relatively uniformly across countries.
3. Polarization in the US has increased most in the 65+ age group (which has the least social media usage).
(2) could be partly explained by social media causing polarization only in two-party systems, and (3) could be explained by saying that social media changed the incentives of more traditional media (such as TV) which then increased polarization in the 65+ age group. Nevertheless, overall it seems like social media is probably not the main driver of increased polarization. Social media may have accelerated the process (for instance by changing the incentives of traditional media), but the data is too noisy to tell one way or the other.</v>
      </c>
      <c r="K1586" t="str">
        <f>IFERROR(__xludf.DUMMYFUNCTION("""COMPUTED_VALUE"""),"I’m glad to see a simple summary of the evidence we currently have on the effects of social media on polarization. I feel like for the past year or two I’ve constantly heard people speculating about massive harms and even existential risks based on a coup"&amp;"le of anecdotes or armchair reasoning, without bothering to check what has actually happened; whenever I talk to someone who seems to have actually studied the topic in depth, it seems they think that there are problems with recommender systems, but they "&amp;"are different from what people usually imagine. (The post also notes a reason to expect our intuitions to be misguided: we are unusual in that we get most of our news online; apparently every age group, starting from 18-24, gets more news from television "&amp;"than online.)
Note that there have been a few pieces arguing for these harms; I haven't sent them out in the newsletter because I don't find them very convincing, but you can find links to some of them along with my thoughts [here](https://www.alignmentf"&amp;"orum.org/posts/TmHRACaxXrLbXb5tS/rohinmshah-s-shortform?commentId=EAKEfPmP8mKbEbERv).")</f>
        <v>I’m glad to see a simple summary of the evidence we currently have on the effects of social media on polarization. I feel like for the past year or two I’ve constantly heard people speculating about massive harms and even existential risks based on a couple of anecdotes or armchair reasoning, without bothering to check what has actually happened; whenever I talk to someone who seems to have actually studied the topic in depth, it seems they think that there are problems with recommender systems, but they are different from what people usually imagine. (The post also notes a reason to expect our intuitions to be misguided: we are unusual in that we get most of our news online; apparently every age group, starting from 18-24, gets more news from television than online.)
Note that there have been a few pieces arguing for these harms; I haven't sent them out in the newsletter because I don't find them very convincing, but you can find links to some of them along with my thoughts [here](https://www.alignmentforum.org/posts/TmHRACaxXrLbXb5tS/rohinmshah-s-shortform?commentId=EAKEfPmP8mKbEbERv).</v>
      </c>
    </row>
    <row r="1587">
      <c r="A1587" t="str">
        <f>IFERROR(__xludf.DUMMYFUNCTION("""COMPUTED_VALUE"""),"Recommender systems")</f>
        <v>Recommender systems</v>
      </c>
      <c r="B1587" t="str">
        <f>IFERROR(__xludf.DUMMYFUNCTION("""COMPUTED_VALUE"""),"")</f>
        <v/>
      </c>
      <c r="C1587" s="3" t="str">
        <f>IFERROR(__xludf.DUMMYFUNCTION("""COMPUTED_VALUE"""),"Beyond Engagement: Aligning Algorithmic Recommendations With Prosocial Goals")</f>
        <v>Beyond Engagement: Aligning Algorithmic Recommendations With Prosocial Goals</v>
      </c>
      <c r="D1587" t="str">
        <f>IFERROR(__xludf.DUMMYFUNCTION("""COMPUTED_VALUE"""),"Jonathan Stray")</f>
        <v>Jonathan Stray</v>
      </c>
      <c r="E1587" t="str">
        <f>IFERROR(__xludf.DUMMYFUNCTION("""COMPUTED_VALUE"""),"PAI Website")</f>
        <v>PAI Website</v>
      </c>
      <c r="F1587">
        <f>IFERROR(__xludf.DUMMYFUNCTION("""COMPUTED_VALUE"""),2021.0)</f>
        <v>2021</v>
      </c>
      <c r="H1587" s="3" t="str">
        <f>IFERROR(__xludf.DUMMYFUNCTION("""COMPUTED_VALUE"""),"AN #137")</f>
        <v>AN #137</v>
      </c>
      <c r="I1587" t="str">
        <f>IFERROR(__xludf.DUMMYFUNCTION("""COMPUTED_VALUE"""),"Rohin")</f>
        <v>Rohin</v>
      </c>
      <c r="J1587" t="str">
        <f>IFERROR(__xludf.DUMMYFUNCTION("""COMPUTED_VALUE"""),"To decide what item to show a user, a recommender system needs to have some metric by which to rank items. Since this metric must usually be automated, it often contains in large part some operationalization of “engagement”. Unfortunately, this metric may"&amp;" not be able to differentiate between clickbait or extremist content on the one hand, and actually valuable posts on the other. In a workshop on the topic, participants brainstormed four main approaches for improvement:
1. **Build better controls:** Offe"&amp;"r users more and better ways to control their feed.
2. **Develop standardized survey-based metrics:** Surveys should be able to get a significantly higher quality signal to optimize than engagement.
3. **Pay users for better data,** such as survey data.
4"&amp;". **Recommend feeds, not items:** If we rank items individually, it is quite likely that all the posts of the same type (e.g. controversial posts) will get high scores. By ranking entire feeds, we can also optimize for the diversity of items within the fe"&amp;"ed.
5. **Incentivize the creation of different feeds,** so that users can choose which ones they prefer all things considered.")</f>
        <v>To decide what item to show a user, a recommender system needs to have some metric by which to rank items. Since this metric must usually be automated, it often contains in large part some operationalization of “engagement”. Unfortunately, this metric may not be able to differentiate between clickbait or extremist content on the one hand, and actually valuable posts on the other. In a workshop on the topic, participants brainstormed four main approaches for improvement:
1. **Build better controls:** Offer users more and better ways to control their feed.
2. **Develop standardized survey-based metrics:** Surveys should be able to get a significantly higher quality signal to optimize than engagement.
3. **Pay users for better data,** such as survey data.
4. **Recommend feeds, not items:** If we rank items individually, it is quite likely that all the posts of the same type (e.g. controversial posts) will get high scores. By ranking entire feeds, we can also optimize for the diversity of items within the feed.
5. **Incentivize the creation of different feeds,** so that users can choose which ones they prefer all things considered.</v>
      </c>
    </row>
    <row r="1588">
      <c r="A1588" t="str">
        <f>IFERROR(__xludf.DUMMYFUNCTION("""COMPUTED_VALUE"""),"Recommender systems")</f>
        <v>Recommender systems</v>
      </c>
      <c r="B1588" t="str">
        <f>IFERROR(__xludf.DUMMYFUNCTION("""COMPUTED_VALUE"""),"")</f>
        <v/>
      </c>
      <c r="C1588" s="3" t="str">
        <f>IFERROR(__xludf.DUMMYFUNCTION("""COMPUTED_VALUE"""),"What are you optimizing for? Aligning Recommender Systems with Human Values")</f>
        <v>What are you optimizing for? Aligning Recommender Systems with Human Values</v>
      </c>
      <c r="D1588" t="str">
        <f>IFERROR(__xludf.DUMMYFUNCTION("""COMPUTED_VALUE"""),"Jonathan Stray, Steven Adler, Dylan Hadfield-Menell")</f>
        <v>Jonathan Stray, Steven Adler, Dylan Hadfield-Menell</v>
      </c>
      <c r="E1588" t="str">
        <f>IFERROR(__xludf.DUMMYFUNCTION("""COMPUTED_VALUE"""),"Participatory ML")</f>
        <v>Participatory ML</v>
      </c>
      <c r="F1588">
        <f>IFERROR(__xludf.DUMMYFUNCTION("""COMPUTED_VALUE"""),2021.0)</f>
        <v>2021</v>
      </c>
      <c r="H1588" s="3" t="str">
        <f>IFERROR(__xludf.DUMMYFUNCTION("""COMPUTED_VALUE"""),"AN #137")</f>
        <v>AN #137</v>
      </c>
      <c r="I1588" t="str">
        <f>IFERROR(__xludf.DUMMYFUNCTION("""COMPUTED_VALUE"""),"Rohin")</f>
        <v>Rohin</v>
      </c>
      <c r="J1588" t="str">
        <f>IFERROR(__xludf.DUMMYFUNCTION("""COMPUTED_VALUE"""),"While the previous blog post focused on societal-level approaches to recommender systems, this paper looks at what can be done at a technical level. By analyzing existing case studies of improvements to recommender systems (some of which we’ve &lt;@seen befo"&amp;"re@&gt;(@Aligning AI to Human Values means Picking the Right Metrics@)), the authors identify a typical approach taken in industry today.
First, engineers identify a problem with an already-deployed recommendation engine, perhaps from user feedback, or thro"&amp;"ugh monitoring. Second, they develop a concrete procedure to identify instances of this problem in the recommendations -- a typical approach is to curate a dataset and train an ML classifier to identify these instances, though it is also possible to use m"&amp;"anual review. Finally, the recommender system is adjusted to avoid the problem, for example by adding a term to the objective when training the recommender system, or by filtering its outputs based on the classifier’s output.
The authors then propose fou"&amp;"r high-level technical approaches to recommender alignment:
1. Develop better measures of what we want out of a recommendation engine, for example, an operationalization of “well-being” rather than “engagement”.
2. Allow users to collaboratively design th"&amp;"e recommendation engine (called _participatory design_). Rather than have a company decide on how to trade off between different objectives, allow the users to settle upon the appropriate tradeoffs themselves.
3. Interactively learn about the user’s value"&amp;"s. While this could look like building better controls as suggested in the previous post, it could also involve e.g. using &lt;@Inverse Reward Design@&gt; to maintain appropriate uncertainty over what the user cares about.
4. Design around “time well spent”, as"&amp;" evaluated by users on reflection or after consideration, rather than revealed preferences or immediate judgments. For example, we could show users a summary of their activity over the past month and ask how happy they are about it.")</f>
        <v>While the previous blog post focused on societal-level approaches to recommender systems, this paper looks at what can be done at a technical level. By analyzing existing case studies of improvements to recommender systems (some of which we’ve &lt;@seen before@&gt;(@Aligning AI to Human Values means Picking the Right Metrics@)), the authors identify a typical approach taken in industry today.
First, engineers identify a problem with an already-deployed recommendation engine, perhaps from user feedback, or through monitoring. Second, they develop a concrete procedure to identify instances of this problem in the recommendations -- a typical approach is to curate a dataset and train an ML classifier to identify these instances, though it is also possible to use manual review. Finally, the recommender system is adjusted to avoid the problem, for example by adding a term to the objective when training the recommender system, or by filtering its outputs based on the classifier’s output.
The authors then propose four high-level technical approaches to recommender alignment:
1. Develop better measures of what we want out of a recommendation engine, for example, an operationalization of “well-being” rather than “engagement”.
2. Allow users to collaboratively design the recommendation engine (called _participatory design_). Rather than have a company decide on how to trade off between different objectives, allow the users to settle upon the appropriate tradeoffs themselves.
3. Interactively learn about the user’s values. While this could look like building better controls as suggested in the previous post, it could also involve e.g. using &lt;@Inverse Reward Design@&gt; to maintain appropriate uncertainty over what the user cares about.
4. Design around “time well spent”, as evaluated by users on reflection or after consideration, rather than revealed preferences or immediate judgments. For example, we could show users a summary of their activity over the past month and ask how happy they are about it.</v>
      </c>
      <c r="K1588" t="str">
        <f>IFERROR(__xludf.DUMMYFUNCTION("""COMPUTED_VALUE"""),"Both this paper and the previous post seem like meaningful progress in ideas for making recommendation engines better (though as a caveat, I don’t follow this space and so don’t know to what extent this has been said before). I’m glad that we’re getting t"&amp;"o the point of actually proposing technical solutions; I hope to see more papers implementing such solutions (we’ve seen one from Twitter &lt;@recently@&gt;(@From Optimizing Engagement to Measuring Value@)).")</f>
        <v>Both this paper and the previous post seem like meaningful progress in ideas for making recommendation engines better (though as a caveat, I don’t follow this space and so don’t know to what extent this has been said before). I’m glad that we’re getting to the point of actually proposing technical solutions; I hope to see more papers implementing such solutions (we’ve seen one from Twitter &lt;@recently@&gt;(@From Optimizing Engagement to Measuring Value@)).</v>
      </c>
      <c r="M1588" t="str">
        <f>IFERROR(__xludf.DUMMYFUNCTION("""COMPUTED_VALUE"""),"[Aligning AI Optimization to Community Well-Being](https://link.springer.com/article/10.1007/s42413-020-00086-3) (an expanded version of &lt;@Aligning AI to Human Values means Picking the Right Metrics@&gt;)")</f>
        <v>[Aligning AI Optimization to Community Well-Being](https://link.springer.com/article/10.1007/s42413-020-00086-3) (an expanded version of &lt;@Aligning AI to Human Values means Picking the Right Metrics@&gt;)</v>
      </c>
    </row>
    <row r="1589">
      <c r="A1589" t="str">
        <f>IFERROR(__xludf.DUMMYFUNCTION("""COMPUTED_VALUE"""),"Reinforcement learning")</f>
        <v>Reinforcement learning</v>
      </c>
      <c r="B1589" t="str">
        <f>IFERROR(__xludf.DUMMYFUNCTION("""COMPUTED_VALUE"""),"Highlight")</f>
        <v>Highlight</v>
      </c>
      <c r="C1589" s="3" t="str">
        <f>IFERROR(__xludf.DUMMYFUNCTION("""COMPUTED_VALUE"""),"Playing hard exploration games by watching YouTube")</f>
        <v>Playing hard exploration games by watching YouTube</v>
      </c>
      <c r="D1589" t="str">
        <f>IFERROR(__xludf.DUMMYFUNCTION("""COMPUTED_VALUE"""),"Yusuf Aytar, Tobias Pfaff, David Budden, Tom Le Paine, Ziyu Wang, Nando de Freitas")</f>
        <v>Yusuf Aytar, Tobias Pfaff, David Budden, Tom Le Paine, Ziyu Wang, Nando de Freitas</v>
      </c>
      <c r="E1589" t="str">
        <f>IFERROR(__xludf.DUMMYFUNCTION("""COMPUTED_VALUE"""),"arXiv")</f>
        <v>arXiv</v>
      </c>
      <c r="F1589">
        <f>IFERROR(__xludf.DUMMYFUNCTION("""COMPUTED_VALUE"""),2018.0)</f>
        <v>2018</v>
      </c>
      <c r="H1589" s="3" t="str">
        <f>IFERROR(__xludf.DUMMYFUNCTION("""COMPUTED_VALUE"""),"AN #9")</f>
        <v>AN #9</v>
      </c>
      <c r="I1589" t="str">
        <f>IFERROR(__xludf.DUMMYFUNCTION("""COMPUTED_VALUE"""),"Rohin")</f>
        <v>Rohin</v>
      </c>
      <c r="J1589" t="str">
        <f>IFERROR(__xludf.DUMMYFUNCTION("""COMPUTED_VALUE"""),"There are many YouTube videos demonstrating how to play levels of eg. Montezuma's Revenge. Can we use these demonstrations to solve the hard exploration tasks in Atari? One challenge is that the videos have slightly different visual properties (like color"&amp;" and resolution). They propose to learn a shared feature space by using an auxiliary loss where the network must predict the number of timesteps between two frames of a video, or to predict the delay between a video and audio clip from the same trajectory"&amp;". Using this shared feature space, they can define a reward function that encourages the agent to take trajectories whose features match those of the demonstrations. In experiments they exceed human performance on Atari games with hard exploration problem"&amp;"s.")</f>
        <v>There are many YouTube videos demonstrating how to play levels of eg. Montezuma's Revenge. Can we use these demonstrations to solve the hard exploration tasks in Atari? One challenge is that the videos have slightly different visual properties (like color and resolution). They propose to learn a shared feature space by using an auxiliary loss where the network must predict the number of timesteps between two frames of a video, or to predict the delay between a video and audio clip from the same trajectory. Using this shared feature space, they can define a reward function that encourages the agent to take trajectories whose features match those of the demonstrations. In experiments they exceed human performance on Atari games with hard exploration problems.</v>
      </c>
      <c r="K1589" t="str">
        <f>IFERROR(__xludf.DUMMYFUNCTION("""COMPUTED_VALUE"""),"It seems to me that this is how we'll have to solve exploration in practice if we don't want to have a huge sample complexity, though I know other researchers are optimistic about solving exploration using curiosity or diversity. It's pretty exciting that"&amp;" they could use a source of data that was already present in the real world.")</f>
        <v>It seems to me that this is how we'll have to solve exploration in practice if we don't want to have a huge sample complexity, though I know other researchers are optimistic about solving exploration using curiosity or diversity. It's pretty exciting that they could use a source of data that was already present in the real world.</v>
      </c>
    </row>
    <row r="1590">
      <c r="A1590" t="str">
        <f>IFERROR(__xludf.DUMMYFUNCTION("""COMPUTED_VALUE"""),"Reinforcement learning")</f>
        <v>Reinforcement learning</v>
      </c>
      <c r="B1590" t="str">
        <f>IFERROR(__xludf.DUMMYFUNCTION("""COMPUTED_VALUE"""),"Highlight")</f>
        <v>Highlight</v>
      </c>
      <c r="C1590" s="3" t="str">
        <f>IFERROR(__xludf.DUMMYFUNCTION("""COMPUTED_VALUE"""),"Dota 2 with Large Scale Deep Reinforcement Learning")</f>
        <v>Dota 2 with Large Scale Deep Reinforcement Learning</v>
      </c>
      <c r="D1590" t="str">
        <f>IFERROR(__xludf.DUMMYFUNCTION("""COMPUTED_VALUE"""),"OpenAI, Christopher Berner, Greg Brockman, Brooke Chan, Vicki Cheung, Przemysław Dębiak, Christy Dennison, David Farhi, Quirin Fischer, Shariq Hashme, Chris Hesse, Rafal Józefowicz, Scott Gray, Catherine Olsson, Jakub Pachocki, Michael Petrov, Henrique Po"&amp;"ndé de Oliveira Pinto, Jonathan Raiman, Tim Salimans, Jeremy Schlatter, Jonas Schneider, Szymon Sidor, Ilya Sutskever, Jie Tang, Filip Wolski, Susan Zhang")</f>
        <v>OpenAI, Christopher Berner, Greg Brockman, Brooke Chan, Vicki Cheung, Przemysław Dębiak, Christy Dennison, David Farhi, Quirin Fischer, Shariq Hashme, Chris Hesse, Rafal Józefowicz, Scott Gray, Catherine Olsson, Jakub Pachocki, Michael Petrov, Henrique Pondé de Oliveira Pinto, Jonathan Raiman, Tim Salimans, Jeremy Schlatter, Jonas Schneider, Szymon Sidor, Ilya Sutskever, Jie Tang, Filip Wolski, Susan Zhang</v>
      </c>
      <c r="E1590" t="str">
        <f>IFERROR(__xludf.DUMMYFUNCTION("""COMPUTED_VALUE"""),"arXiv")</f>
        <v>arXiv</v>
      </c>
      <c r="F1590">
        <f>IFERROR(__xludf.DUMMYFUNCTION("""COMPUTED_VALUE"""),2019.0)</f>
        <v>2019</v>
      </c>
      <c r="H1590" s="3" t="str">
        <f>IFERROR(__xludf.DUMMYFUNCTION("""COMPUTED_VALUE"""),"AN #82")</f>
        <v>AN #82</v>
      </c>
      <c r="I1590" t="str">
        <f>IFERROR(__xludf.DUMMYFUNCTION("""COMPUTED_VALUE"""),"Nicholas")</f>
        <v>Nicholas</v>
      </c>
      <c r="J1590" t="str">
        <f>IFERROR(__xludf.DUMMYFUNCTION("""COMPUTED_VALUE"""),"In April, &lt;@OpenAI Five@&gt;(@How to Train Your OpenAI Five@) defeated the world champion Dota 2 team, OG. This paper describes its training process. OpenAI et al. hand-engineered the reward function as well as some features, actions, and parts of the policy"&amp;". The rest of the policy was trained using PPO with an LSTM architecture at a massive scale. They trained this in a distributed fashion as follows:
-   The *Controller* receives and distributes the updated parameters.
-   The *Rollout Worker CPUs* simula"&amp;"te the game, send observations to the *Forward Pass GPUs* and publish samples to the *Experience Buffer*.
-   The *Forward Pass GPUs* determine the actions to use and send them to the *Rollout Workers*.
-   The *Optimizer GPUs* sample experience from the "&amp;"*Experience Buffer*, calculate gradient updates, and then publish updated parameters to the *Controller*.
The model trained over 296 days. In that time, OpenAI needed to adapt it to changes in the code and game mechanics. This was done via model “surgery"&amp;"”, in which they would try to initialize a new model to maintain the same input-output mapping as the old one. When this was not possible, they gradually increased the proportion of games played with the new version over time.")</f>
        <v>In April, &lt;@OpenAI Five@&gt;(@How to Train Your OpenAI Five@) defeated the world champion Dota 2 team, OG. This paper describes its training process. OpenAI et al. hand-engineered the reward function as well as some features, actions, and parts of the policy. The rest of the policy was trained using PPO with an LSTM architecture at a massive scale. They trained this in a distributed fashion as follows:
-   The *Controller* receives and distributes the updated parameters.
-   The *Rollout Worker CPUs* simulate the game, send observations to the *Forward Pass GPUs* and publish samples to the *Experience Buffer*.
-   The *Forward Pass GPUs* determine the actions to use and send them to the *Rollout Workers*.
-   The *Optimizer GPUs* sample experience from the *Experience Buffer*, calculate gradient updates, and then publish updated parameters to the *Controller*.
The model trained over 296 days. In that time, OpenAI needed to adapt it to changes in the code and game mechanics. This was done via model “surgery”, in which they would try to initialize a new model to maintain the same input-output mapping as the old one. When this was not possible, they gradually increased the proportion of games played with the new version over time.</v>
      </c>
      <c r="K1590" t="str">
        <f>IFERROR(__xludf.DUMMYFUNCTION("""COMPUTED_VALUE"""),"I feel similarly to my opinion on &lt;@AlphaStar@&gt;(@AlphaStar: Grandmaster level in StarCraft II using multi-agent reinforcement learning@) here. The result is definitely impressive and a major step up in complexity from shorter, discrete games like chess or"&amp;" go. However, I don’t see how the approach of just running PPO at a large scale brings us closer to AGI because we can’t run massively parallel simulations of real world tasks. Even for tasks that can be simulated, this seems prohibitively expensive for m"&amp;"ost use cases (I couldn’t find the exact costs, but I’d estimate this model cost tens of millions of dollars). I’d be quite excited to see an example of deep RL being used for a complex real world task without training in simulation.")</f>
        <v>I feel similarly to my opinion on &lt;@AlphaStar@&gt;(@AlphaStar: Grandmaster level in StarCraft II using multi-agent reinforcement learning@) here. The result is definitely impressive and a major step up in complexity from shorter, discrete games like chess or go. However, I don’t see how the approach of just running PPO at a large scale brings us closer to AGI because we can’t run massively parallel simulations of real world tasks. Even for tasks that can be simulated, this seems prohibitively expensive for most use cases (I couldn’t find the exact costs, but I’d estimate this model cost tens of millions of dollars). I’d be quite excited to see an example of deep RL being used for a complex real world task without training in simulation.</v>
      </c>
    </row>
    <row r="1591">
      <c r="A1591" t="str">
        <f>IFERROR(__xludf.DUMMYFUNCTION("""COMPUTED_VALUE"""),"Reinforcement learning")</f>
        <v>Reinforcement learning</v>
      </c>
      <c r="B1591" t="str">
        <f>IFERROR(__xludf.DUMMYFUNCTION("""COMPUTED_VALUE"""),"Highlight")</f>
        <v>Highlight</v>
      </c>
      <c r="C1591" s="3" t="str">
        <f>IFERROR(__xludf.DUMMYFUNCTION("""COMPUTED_VALUE"""),"Solving the Rubik's Cube Without Human Knowledge")</f>
        <v>Solving the Rubik's Cube Without Human Knowledge</v>
      </c>
      <c r="D1591" t="str">
        <f>IFERROR(__xludf.DUMMYFUNCTION("""COMPUTED_VALUE"""),"Stephen McAleer, Forest Agostinelli, Alexander Shmakov, Pierre Baldi")</f>
        <v>Stephen McAleer, Forest Agostinelli, Alexander Shmakov, Pierre Baldi</v>
      </c>
      <c r="E1591" t="str">
        <f>IFERROR(__xludf.DUMMYFUNCTION("""COMPUTED_VALUE"""),"arXiv")</f>
        <v>arXiv</v>
      </c>
      <c r="F1591">
        <f>IFERROR(__xludf.DUMMYFUNCTION("""COMPUTED_VALUE"""),2018.0)</f>
        <v>2018</v>
      </c>
      <c r="H1591" s="3" t="str">
        <f>IFERROR(__xludf.DUMMYFUNCTION("""COMPUTED_VALUE"""),"AN #8")</f>
        <v>AN #8</v>
      </c>
      <c r="I1591" t="str">
        <f>IFERROR(__xludf.DUMMYFUNCTION("""COMPUTED_VALUE"""),"Rohin")</f>
        <v>Rohin</v>
      </c>
      <c r="J1591" t="str">
        <f>IFERROR(__xludf.DUMMYFUNCTION("""COMPUTED_VALUE"""),"This paper proposes _Autodidactic Iteration_ (ADI), which is a technique that can be combined with the techniques in AlphaGo and expert iteration to solve problems with only one goal state, such as the Rubik's cube. MCTS with value and policy networks wil"&amp;"l not suffice, because when starting from a randomly scrambled cube, MCTS will never find a path to the goal state, and so there will never be any reward signal. (Whereas with Go, even if you play randomly the game will end relatively quickly, giving you "&amp;"some reward signal.) To get around this, they start _from the goal state_ and generate states that are near the goal state. This gives them a training dataset of states for which they know (a good approximation to) the value and the best action, which the"&amp;"y can use to train a value and policy network. They then use this with MCTS to solve the full problem, as in AlphaGo.")</f>
        <v>This paper proposes _Autodidactic Iteration_ (ADI), which is a technique that can be combined with the techniques in AlphaGo and expert iteration to solve problems with only one goal state, such as the Rubik's cube. MCTS with value and policy networks will not suffice, because when starting from a randomly scrambled cube, MCTS will never find a path to the goal state, and so there will never be any reward signal. (Whereas with Go, even if you play randomly the game will end relatively quickly, giving you some reward signal.) To get around this, they start _from the goal state_ and generate states that are near the goal state. This gives them a training dataset of states for which they know (a good approximation to) the value and the best action, which they can use to train a value and policy network. They then use this with MCTS to solve the full problem, as in AlphaGo.</v>
      </c>
      <c r="K1591" t="str">
        <f>IFERROR(__xludf.DUMMYFUNCTION("""COMPUTED_VALUE"""),"This general idea has been proposed in robotics as well, in [Reverse Curriculum Generation for Reinforcement Learning](https://arxiv.org/abs/1707.05300), where there is a single goal state. However, in this setting we have the added benefit of perfect inv"&amp;"erse dynamics, that is, for any action a that moves us from state s to s', we can find the inverse action a' that moves us from state s' to s. This allows the authors to start from the goal state, generate nearby states, and automatically know the value o"&amp;"f those states (or at least a very good approximation to it). [Hindsight Experience Replay](https://arxiv.org/abs/1707.01495) also tackles similar issues -- I'd be interested to see if it could solve the Rubik's cube. Overall, the problem of sparse reward"&amp;"s is very difficult, and it seems like we now have another solution in the case where we have a single goal state and perfect (or perhaps just sufficiently good?) inverse dynamics.")</f>
        <v>This general idea has been proposed in robotics as well, in [Reverse Curriculum Generation for Reinforcement Learning](https://arxiv.org/abs/1707.05300), where there is a single goal state. However, in this setting we have the added benefit of perfect inverse dynamics, that is, for any action a that moves us from state s to s', we can find the inverse action a' that moves us from state s' to s. This allows the authors to start from the goal state, generate nearby states, and automatically know the value of those states (or at least a very good approximation to it). [Hindsight Experience Replay](https://arxiv.org/abs/1707.01495) also tackles similar issues -- I'd be interested to see if it could solve the Rubik's cube. Overall, the problem of sparse rewards is very difficult, and it seems like we now have another solution in the case where we have a single goal state and perfect (or perhaps just sufficiently good?) inverse dynamics.</v>
      </c>
    </row>
    <row r="1592">
      <c r="A1592" t="str">
        <f>IFERROR(__xludf.DUMMYFUNCTION("""COMPUTED_VALUE"""),"Reinforcement learning")</f>
        <v>Reinforcement learning</v>
      </c>
      <c r="B1592" t="str">
        <f>IFERROR(__xludf.DUMMYFUNCTION("""COMPUTED_VALUE"""),"Highlight")</f>
        <v>Highlight</v>
      </c>
      <c r="C1592" s="3" t="str">
        <f>IFERROR(__xludf.DUMMYFUNCTION("""COMPUTED_VALUE"""),"Mastering Atari, Go, Chess and Shogi by Planning with a Learned Model")</f>
        <v>Mastering Atari, Go, Chess and Shogi by Planning with a Learned Model</v>
      </c>
      <c r="D1592" t="str">
        <f>IFERROR(__xludf.DUMMYFUNCTION("""COMPUTED_VALUE"""),"Julian Schrittwieser, Ioannis Antonoglou, Thomas Hubert, Karen Simonyan, Laurent Sifre, Simon Schmitt, Arthur Guez, Edward Lockhart, Demis Hassabis, Thore Graepel, Timothy Lillicrap, David Silver")</f>
        <v>Julian Schrittwieser, Ioannis Antonoglou, Thomas Hubert, Karen Simonyan, Laurent Sifre, Simon Schmitt, Arthur Guez, Edward Lockhart, Demis Hassabis, Thore Graepel, Timothy Lillicrap, David Silver</v>
      </c>
      <c r="E1592" t="str">
        <f>IFERROR(__xludf.DUMMYFUNCTION("""COMPUTED_VALUE"""),"arXiv")</f>
        <v>arXiv</v>
      </c>
      <c r="F1592">
        <f>IFERROR(__xludf.DUMMYFUNCTION("""COMPUTED_VALUE"""),2019.0)</f>
        <v>2019</v>
      </c>
      <c r="H1592" s="3" t="str">
        <f>IFERROR(__xludf.DUMMYFUNCTION("""COMPUTED_VALUE"""),"AN #75")</f>
        <v>AN #75</v>
      </c>
      <c r="I1592" t="str">
        <f>IFERROR(__xludf.DUMMYFUNCTION("""COMPUTED_VALUE"""),"Nicholas")</f>
        <v>Nicholas</v>
      </c>
      <c r="J1592" t="str">
        <f>IFERROR(__xludf.DUMMYFUNCTION("""COMPUTED_VALUE"""),"Up until now, model-free RL approaches have been state of the art at visually rich domains such as Atari, while model-based RL has excelled for games which require planning many steps ahead, such as Go, chess, and shogi. This paper attains state of the ar"&amp;"t performance on Atari using a model-based approach, *MuZero*, while matching &lt;@AlphaZero@&gt;(@AlphaZero: Shedding new light on the grand games of chess, shogi and Go@) at Go, chess, and shogi while using less compute. Importantly, it does this without requ"&amp;"iring any advance knowledge of the rules of the game.
*MuZero*'s model has three components:
1. The *representation* function produces an initial internal state from all existing observations. 
2. The *dynamics* function predicts the next internal state"&amp;" and immediate reward after taking an action in a given internal state. 
3. The *prediction* function generates a policy and a value prediction from an internal state. 
Although these are based on the structure of an MDP, **the internal states of the mod"&amp;"el do not necessarily have any human-interpretable meaning**. They are trained end-to-end only to accurately predict the policy, value function, and immediate reward. This model is then used to simulate trajectories for use in MCTS.")</f>
        <v>Up until now, model-free RL approaches have been state of the art at visually rich domains such as Atari, while model-based RL has excelled for games which require planning many steps ahead, such as Go, chess, and shogi. This paper attains state of the art performance on Atari using a model-based approach, *MuZero*, while matching &lt;@AlphaZero@&gt;(@AlphaZero: Shedding new light on the grand games of chess, shogi and Go@) at Go, chess, and shogi while using less compute. Importantly, it does this without requiring any advance knowledge of the rules of the game.
*MuZero*'s model has three components:
1. The *representation* function produces an initial internal state from all existing observations. 
2. The *dynamics* function predicts the next internal state and immediate reward after taking an action in a given internal state. 
3. The *prediction* function generates a policy and a value prediction from an internal state. 
Although these are based on the structure of an MDP, **the internal states of the model do not necessarily have any human-interpretable meaning**. They are trained end-to-end only to accurately predict the policy, value function, and immediate reward. This model is then used to simulate trajectories for use in MCTS.</v>
      </c>
      <c r="K1592" t="str">
        <f>IFERROR(__xludf.DUMMYFUNCTION("""COMPUTED_VALUE"""),"This is clearly a major step for model-based RL, becoming the state of the art on a very popular benchmark and enabling planning approaches to be used in domains with unknown rules or dynamics. I am typically optimistic about model-based approaches as pro"&amp;"gress towards safe AGI. They map well to how humans think about most complex tasks: we consider the likely outcomes of our actions and then plan accordingly. Additionally, model-based RL typically has the safety property that the programmers know what sta"&amp;"tes the algorithm expects to pass through and end up in, which aids with interpretability and auditing. However, *MuZero* loses that property by using a learned model whose internal states are not constrained to have any semantic meaning. I would be quite"&amp;" excited to see follow up work that enables us to understand what the model components are learning and how to audit them for particularly bad inaccuracies.
**Rohin's opinion:** _Note: This is more speculative than usual._ This approach seems really obvi"&amp;"ous and useful in hindsight (something I last felt for [population-based training](https://deepmind.com/blog/article/population-based-training-neural-networks) of hyperparameters). The main performance benefit (that I see) of model-based planning is that "&amp;"it only needs to use the environment interactions to learn how the environment _works_, rather than how to _act optimally_ in the environment -- it can do the ""act optimally"" part using some MDP planning algorithm, or by simulating trajectories from the"&amp;" world model rather than requiring the actual environment. Intuitively, it should be significantly easier to learn how an environment works -- consider how easy it is for us to learn the rules of a game, as opposed to playing it well. However, most model-"&amp;"based approaches force the learned model to learn features that are useful for predicting the state, which may not be the ones that are useful for playing well, which can handicap their final performance. Model-free approaches on the other hand learn exac"&amp;"tly the features that are needed for playing well -- but they have a much harder learning task, so it takes many more samples to learn, but can lead to better final performance. Ideally, we would like to get the benefits of using an MDP planning algorithm"&amp;", while still only requiring the agent to learn features that are useful for acting optimally.
This is exactly what MuZero does, similarly to [this previous paper](https://arxiv.org/abs/1707.03497): its ""model"" only predicts actions, rewards, and value"&amp;" functions, all of which are much more clearly relevant to acting optimally. However, the tasks that are learned from environment interactions are in some sense ""easier"" -- the model only needs to predict, _given a sequence of actions_, what the immedia"&amp;"te reward will be. It notably _doesn't_ need to do a great job of predicting how an action now will affect things ten turns from now, as long as it can predict how things ten turns from now will be _given_ the ten actions used to get there. Of course, the"&amp;" model does need to predict the policy and the value function (both hard and dependent on the future), but the learning signal for this comes from MCTS, whereas model-free RL relies on credit assignment for this purpose. Since MCTS can consider multiple p"&amp;"ossible future scenarios, while credit assignment only gets to see the trajectory that was actually rolled out, we should expect that MCTS leads to significantly better gradients and faster learning.")</f>
        <v>This is clearly a major step for model-based RL, becoming the state of the art on a very popular benchmark and enabling planning approaches to be used in domains with unknown rules or dynamics. I am typically optimistic about model-based approaches as progress towards safe AGI. They map well to how humans think about most complex tasks: we consider the likely outcomes of our actions and then plan accordingly. Additionally, model-based RL typically has the safety property that the programmers know what states the algorithm expects to pass through and end up in, which aids with interpretability and auditing. However, *MuZero* loses that property by using a learned model whose internal states are not constrained to have any semantic meaning. I would be quite excited to see follow up work that enables us to understand what the model components are learning and how to audit them for particularly bad inaccuracies.
**Rohin's opinion:** _Note: This is more speculative than usual._ This approach seems really obvious and useful in hindsight (something I last felt for [population-based training](https://deepmind.com/blog/article/population-based-training-neural-networks) of hyperparameters). The main performance benefit (that I see) of model-based planning is that it only needs to use the environment interactions to learn how the environment _works_, rather than how to _act optimally_ in the environment -- it can do the "act optimally" part using some MDP planning algorithm, or by simulating trajectories from the world model rather than requiring the actual environment. Intuitively, it should be significantly easier to learn how an environment works -- consider how easy it is for us to learn the rules of a game, as opposed to playing it well. However, most model-based approaches force the learned model to learn features that are useful for predicting the state, which may not be the ones that are useful for playing well, which can handicap their final performance. Model-free approaches on the other hand learn exactly the features that are needed for playing well -- but they have a much harder learning task, so it takes many more samples to learn, but can lead to better final performance. Ideally, we would like to get the benefits of using an MDP planning algorithm, while still only requiring the agent to learn features that are useful for acting optimally.
This is exactly what MuZero does, similarly to [this previous paper](https://arxiv.org/abs/1707.03497): its "model" only predicts actions, rewards, and value functions, all of which are much more clearly relevant to acting optimally. However, the tasks that are learned from environment interactions are in some sense "easier" -- the model only needs to predict, _given a sequence of actions_, what the immediate reward will be. It notably _doesn't_ need to do a great job of predicting how an action now will affect things ten turns from now, as long as it can predict how things ten turns from now will be _given_ the ten actions used to get there. Of course, the model does need to predict the policy and the value function (both hard and dependent on the future), but the learning signal for this comes from MCTS, whereas model-free RL relies on credit assignment for this purpose. Since MCTS can consider multiple possible future scenarios, while credit assignment only gets to see the trajectory that was actually rolled out, we should expect that MCTS leads to significantly better gradients and faster learning.</v>
      </c>
    </row>
    <row r="1593">
      <c r="A1593" t="str">
        <f>IFERROR(__xludf.DUMMYFUNCTION("""COMPUTED_VALUE"""),"Reinforcement learning")</f>
        <v>Reinforcement learning</v>
      </c>
      <c r="B1593" t="str">
        <f>IFERROR(__xludf.DUMMYFUNCTION("""COMPUTED_VALUE"""),"Highlight")</f>
        <v>Highlight</v>
      </c>
      <c r="C1593" s="3" t="str">
        <f>IFERROR(__xludf.DUMMYFUNCTION("""COMPUTED_VALUE"""),"Learning Latent Plans from Play")</f>
        <v>Learning Latent Plans from Play</v>
      </c>
      <c r="D1593" t="str">
        <f>IFERROR(__xludf.DUMMYFUNCTION("""COMPUTED_VALUE"""),"Corey Lynch, Mohi Khansari, Ted Xiao, Vikash Kumar, Jonathan Tompson, Sergey Levine, Pierre Sermanet")</f>
        <v>Corey Lynch, Mohi Khansari, Ted Xiao, Vikash Kumar, Jonathan Tompson, Sergey Levine, Pierre Sermanet</v>
      </c>
      <c r="E1593" t="str">
        <f>IFERROR(__xludf.DUMMYFUNCTION("""COMPUTED_VALUE"""),"arXiv")</f>
        <v>arXiv</v>
      </c>
      <c r="F1593">
        <f>IFERROR(__xludf.DUMMYFUNCTION("""COMPUTED_VALUE"""),2019.0)</f>
        <v>2019</v>
      </c>
      <c r="H1593" s="3" t="str">
        <f>IFERROR(__xludf.DUMMYFUNCTION("""COMPUTED_VALUE"""),"AN #65")</f>
        <v>AN #65</v>
      </c>
      <c r="I1593" t="str">
        <f>IFERROR(__xludf.DUMMYFUNCTION("""COMPUTED_VALUE"""),"Cody")</f>
        <v>Cody</v>
      </c>
      <c r="J1593" t="str">
        <f>IFERROR(__xludf.DUMMYFUNCTION("""COMPUTED_VALUE"""),"This paper collects unsupervised data of humans playing with robotic control systems, and uses that data to thread a needle between two problems in learning. One problem is that per-task demonstration data is costly, especially as number of tasks grows; t"&amp;"he other is that randomly sampled control actions will rarely stumble across complex motor tasks in ways that allow robots to learn. The authors argue that human play data is a good compromise because humans at play tend to explore different ways of manip"&amp;"ulating objects in ways that give robots nuggets of useful information like ""how do I move this block inside a drawer"", which can be composed into more complicated and intentional tasks.
The model works by learning to produce vectors that represent pla"&amp;"ns (or sequences of actions), and jointly learning to decode those vectors into action sequences. This architecture learns to generate plan vectors by using an autoencoder-like structure that uses KL divergence to align (1) a distribution of plan vectors "&amp;"predicted from the start and end state of a window of play data, and (2) a distribution of plan vectors predicted by looking back at all the actions taken in that window. Because we're jointly learning to unroll the (2) lookback-summarized vector such tha"&amp;"t it matches the actions actually taken, we'll ideally end up with a system that can take in a given plan vector and produce a sequence of actions to execute that plan. And, because we're learning to predict a vector that aligns with actions successfully "&amp;"taken to get to an end state from a starting one, the model at test time should be able to produce a play vector corresponding to feasible actions that will get it from its current state to a goal state we'd like it to reach.  The authors found that their"&amp;" Play-trained model was able to outperform single-task models on a range of manipulation tasks, even though those single-task models were trained with explicit demonstrations of the task.")</f>
        <v>This paper collects unsupervised data of humans playing with robotic control systems, and uses that data to thread a needle between two problems in learning. One problem is that per-task demonstration data is costly, especially as number of tasks grows; the other is that randomly sampled control actions will rarely stumble across complex motor tasks in ways that allow robots to learn. The authors argue that human play data is a good compromise because humans at play tend to explore different ways of manipulating objects in ways that give robots nuggets of useful information like "how do I move this block inside a drawer", which can be composed into more complicated and intentional tasks.
The model works by learning to produce vectors that represent plans (or sequences of actions), and jointly learning to decode those vectors into action sequences. This architecture learns to generate plan vectors by using an autoencoder-like structure that uses KL divergence to align (1) a distribution of plan vectors predicted from the start and end state of a window of play data, and (2) a distribution of plan vectors predicted by looking back at all the actions taken in that window. Because we're jointly learning to unroll the (2) lookback-summarized vector such that it matches the actions actually taken, we'll ideally end up with a system that can take in a given plan vector and produce a sequence of actions to execute that plan. And, because we're learning to predict a vector that aligns with actions successfully taken to get to an end state from a starting one, the model at test time should be able to produce a play vector corresponding to feasible actions that will get it from its current state to a goal state we'd like it to reach.  The authors found that their Play-trained model was able to outperform single-task models on a range of manipulation tasks, even though those single-task models were trained with explicit demonstrations of the task.</v>
      </c>
      <c r="K1593" t="str">
        <f>IFERROR(__xludf.DUMMYFUNCTION("""COMPUTED_VALUE"""),"I really liked this paper: it was creative in combining conceptual components from variational methods and imitation learning, and it was pragmatic in trying to address the problem of how to get viable human-demonstration data in a way that avoids having "&amp;"to get distinct datasets for a huge set of different discrete tasks. ")</f>
        <v>I really liked this paper: it was creative in combining conceptual components from variational methods and imitation learning, and it was pragmatic in trying to address the problem of how to get viable human-demonstration data in a way that avoids having to get distinct datasets for a huge set of different discrete tasks. </v>
      </c>
      <c r="M1593" s="3" t="str">
        <f>IFERROR(__xludf.DUMMYFUNCTION("""COMPUTED_VALUE"""),"Arxiv paper")</f>
        <v>Arxiv paper</v>
      </c>
    </row>
    <row r="1594">
      <c r="A1594" t="str">
        <f>IFERROR(__xludf.DUMMYFUNCTION("""COMPUTED_VALUE"""),"Reinforcement learning")</f>
        <v>Reinforcement learning</v>
      </c>
      <c r="B1594" t="str">
        <f>IFERROR(__xludf.DUMMYFUNCTION("""COMPUTED_VALUE"""),"Highlight")</f>
        <v>Highlight</v>
      </c>
      <c r="C1594" s="3" t="str">
        <f>IFERROR(__xludf.DUMMYFUNCTION("""COMPUTED_VALUE"""),"Towards Characterizing Divergence in Deep Q-Learning")</f>
        <v>Towards Characterizing Divergence in Deep Q-Learning</v>
      </c>
      <c r="D1594" t="str">
        <f>IFERROR(__xludf.DUMMYFUNCTION("""COMPUTED_VALUE"""),"Joshua Achiam, Ethan Knight, Pieter Abbeel")</f>
        <v>Joshua Achiam, Ethan Knight, Pieter Abbeel</v>
      </c>
      <c r="E1594" t="str">
        <f>IFERROR(__xludf.DUMMYFUNCTION("""COMPUTED_VALUE"""),"arXiv")</f>
        <v>arXiv</v>
      </c>
      <c r="F1594">
        <f>IFERROR(__xludf.DUMMYFUNCTION("""COMPUTED_VALUE"""),2019.0)</f>
        <v>2019</v>
      </c>
      <c r="H1594" s="3" t="str">
        <f>IFERROR(__xludf.DUMMYFUNCTION("""COMPUTED_VALUE"""),"AN #51")</f>
        <v>AN #51</v>
      </c>
      <c r="I1594" t="str">
        <f>IFERROR(__xludf.DUMMYFUNCTION("""COMPUTED_VALUE"""),"Rohin")</f>
        <v>Rohin</v>
      </c>
      <c r="J1594" t="str">
        <f>IFERROR(__xludf.DUMMYFUNCTION("""COMPUTED_VALUE"""),"Q-Learning algorithms use the Bellman equation to learn the Q\*(s, a) function, which is the long-term value of taking action a in state s. Tabular Q-Learning collects experience and updates the Q-value for each (s, a) pair independently. As long as each "&amp;"(s, a) pair is visited infinitely often, and the learning rate is decayed properly, the algorithm is guaranteed to converge to Q\*.
Once we get to complex environments where you can't enumerate all of the states, we can't explore all of the (s, a) pairs."&amp;" The obvious approach is to approximate Q\*(s, a). Deep Q-Learning (DQL) algorithms use neural nets for this approximation, and use some flavor of gradient descent to update the parameters of the net such that it is closer to satisfying the Bellman equati"&amp;"on. Unfortunately, this approximation can prevent the algorithm from ever converging to Q\*.
This paper studies the first-order Taylor expansion of the DQL update, and identifies three factors that affect the DQL update: the distribution of (s, a) pairs "&amp;"from which you learn, the Bellman update operator, and the _neural tangent kernel_, a property of the neural net that specifies how information from one (s, a) pair generalizes to other (s, a) pairs. The theoretical analysis shows that as long as there is"&amp;" limited generalization between (s, a) pairs, and each (s, a) pair is visited infinitely often, the algorithm will converge. Inspired by this, they design PreQN, which explicitly seeks to minimize generalization across (s, a) pairs _within the same batch_"&amp;". They find that PreQN leads to competitive and stable performance, despite not using any of the tricks that DQL algorithms typically require, such as target networks.")</f>
        <v>Q-Learning algorithms use the Bellman equation to learn the Q\*(s, a) function, which is the long-term value of taking action a in state s. Tabular Q-Learning collects experience and updates the Q-value for each (s, a) pair independently. As long as each (s, a) pair is visited infinitely often, and the learning rate is decayed properly, the algorithm is guaranteed to converge to Q\*.
Once we get to complex environments where you can't enumerate all of the states, we can't explore all of the (s, a) pairs. The obvious approach is to approximate Q\*(s, a). Deep Q-Learning (DQL) algorithms use neural nets for this approximation, and use some flavor of gradient descent to update the parameters of the net such that it is closer to satisfying the Bellman equation. Unfortunately, this approximation can prevent the algorithm from ever converging to Q\*.
This paper studies the first-order Taylor expansion of the DQL update, and identifies three factors that affect the DQL update: the distribution of (s, a) pairs from which you learn, the Bellman update operator, and the _neural tangent kernel_, a property of the neural net that specifies how information from one (s, a) pair generalizes to other (s, a) pairs. The theoretical analysis shows that as long as there is limited generalization between (s, a) pairs, and each (s, a) pair is visited infinitely often, the algorithm will converge. Inspired by this, they design PreQN, which explicitly seeks to minimize generalization across (s, a) pairs _within the same batch_. They find that PreQN leads to competitive and stable performance, despite not using any of the tricks that DQL algorithms typically require, such as target networks.</v>
      </c>
      <c r="K1594" t="str">
        <f>IFERROR(__xludf.DUMMYFUNCTION("""COMPUTED_VALUE"""),"I really liked this paper: it's a rare instance where I actually wanted to read the theory in the paper because it felt important for getting the high level insight. The theory is particularly straightforward and easy to understand (which usually seems to"&amp;" be true when it leads to high level insight). The design of the algorithm seems more principled than others, and the experiments suggest that this was actually fruitful. The algorithm is probably more computationally expensive per step compared to other "&amp;"algorithms, but that could likely be improved in the future.
One thing that felt strange is that the proposed solution is basically to prevent generalization between (s, a) pairs, but the whole point of DQL algorithms is to generalize between (s, a) pair"&amp;"s since you can't get experience from all of them. Of course, since they are only preventing generalization within a batch, they still generalize between (s, a) pairs that are not in the batch, but presumably that was because they only could prevent gener"&amp;"alization within the batch. Empirically the algorithm does seem to work, but it's still not clear to me why it works.")</f>
        <v>I really liked this paper: it's a rare instance where I actually wanted to read the theory in the paper because it felt important for getting the high level insight. The theory is particularly straightforward and easy to understand (which usually seems to be true when it leads to high level insight). The design of the algorithm seems more principled than others, and the experiments suggest that this was actually fruitful. The algorithm is probably more computationally expensive per step compared to other algorithms, but that could likely be improved in the future.
One thing that felt strange is that the proposed solution is basically to prevent generalization between (s, a) pairs, but the whole point of DQL algorithms is to generalize between (s, a) pairs since you can't get experience from all of them. Of course, since they are only preventing generalization within a batch, they still generalize between (s, a) pairs that are not in the batch, but presumably that was because they only could prevent generalization within the batch. Empirically the algorithm does seem to work, but it's still not clear to me why it works.</v>
      </c>
    </row>
    <row r="1595">
      <c r="A1595" t="str">
        <f>IFERROR(__xludf.DUMMYFUNCTION("""COMPUTED_VALUE"""),"Reinforcement learning")</f>
        <v>Reinforcement learning</v>
      </c>
      <c r="B1595" t="str">
        <f>IFERROR(__xludf.DUMMYFUNCTION("""COMPUTED_VALUE"""),"Highlight")</f>
        <v>Highlight</v>
      </c>
      <c r="C1595" s="3" t="str">
        <f>IFERROR(__xludf.DUMMYFUNCTION("""COMPUTED_VALUE"""),"AlphaStar: Mastering the Real-Time Strategy Game StarCraft II")</f>
        <v>AlphaStar: Mastering the Real-Time Strategy Game StarCraft II</v>
      </c>
      <c r="D1595" t="str">
        <f>IFERROR(__xludf.DUMMYFUNCTION("""COMPUTED_VALUE"""),"The AlphaStar team")</f>
        <v>The AlphaStar team</v>
      </c>
      <c r="E1595" t="str">
        <f>IFERROR(__xludf.DUMMYFUNCTION("""COMPUTED_VALUE"""),"DeepMind Blog")</f>
        <v>DeepMind Blog</v>
      </c>
      <c r="F1595">
        <f>IFERROR(__xludf.DUMMYFUNCTION("""COMPUTED_VALUE"""),2019.0)</f>
        <v>2019</v>
      </c>
      <c r="H1595" s="3" t="str">
        <f>IFERROR(__xludf.DUMMYFUNCTION("""COMPUTED_VALUE"""),"AN #43")</f>
        <v>AN #43</v>
      </c>
      <c r="I1595" t="str">
        <f>IFERROR(__xludf.DUMMYFUNCTION("""COMPUTED_VALUE"""),"Rohin")</f>
        <v>Rohin</v>
      </c>
      <c r="J1595" t="str">
        <f>IFERROR(__xludf.DUMMYFUNCTION("""COMPUTED_VALUE"""),"The AlphaStar system from DeepMind has beaten top human pros at StarCraft. You can read about the particular details of the matches in many sources, such as the blog post itself, this [Vox article](https://www.vox.com/future-perfect/2019/1/24/18196177/ai-"&amp;"artificial-intelligence-google-deepmind-starcraft-game), or [Import AI](https://jack-clark.net/2019/01/28/import-ai-131-ibm-optimizes-ai-with-ai-via-neunets-amazon-reveals-its-scout-delivery-robot-google-releases-300k-natural-questions-dataset/). The quic"&amp;"k summary is that while there are some reasons you might not think it is conclusively superhuman yet (notably, it only won when it didn't have to manipulate the camera, and even then it may have had short bursts of very high actions per minute that humans"&amp;" can't do), it is clearly extremely good at StarCraft, both at the technically precise micro level and at the strategic macro level.
I want to focus instead on the technical details of how AlphaStar works. The key ideas seem to be a) using imitation lear"&amp;"ning to get policies that do something reasonable to start with and b) training a population of agents in order to explore the full space of strategies and how to play against all of them, without any catastrophic forgetting. Specifically, they take a dat"&amp;"aset of human games and train various agents to mimic humans. This allows them to avoid the particularly hard exploration problems that happen when you start with a random agent. Once they have these agents to start with, they begin to do population-based"&amp;" training, where they play agents against each other and update their weights using an RL algorithm. The population of agents evolves over time, with well-performing agents splitting into two new agents that diversify a bit more. Some agents also have aux"&amp;"iliary rewards that encourage them to explore different parts of the strategy space -- for example, an agent might get reward for building a specific type of unit. Once training is done, we have a final population of agents. Using their empirical win prob"&amp;"abilities, we can construct a Nash equilibrium of these agents, which forms the final AlphaStar agent. _(Note: I'm not sure if at the beginning of the game, one of the agents is chosen according to the Nash probabilities, or if at each timestep an action "&amp;"is chosen according to the Nash probabilities. I would expect the former, since the latter would result in one agent making a long-term plan that is then ruined by a different agent taking some other action, but the blog post seems to indicate the latter "&amp;"-- with the former, it's not clear why the compute ability of a GPU restricts the number of agents in the Nash equilibrium, which the blog posts mentions.)_
There are also a bunch of interesting technical details on how they get this to actually work, wh"&amp;"ich you can get some information about in this [Reddit AMA](https://www.reddit.com/r/MachineLearning/comments/ajgzoc/we_are_oriol_vinyals_and_david_silver_from/). For example, ""we included a policy distillation cost to ensure that the agent continues to "&amp;"try human-like behaviours with some probability throughout training, and this makes it much easier to discover unlikely strategies than when starting from self-play"", and ""there are elements of our research (for example temporally abstract actions that "&amp;"choose how many ticks to delay, or the adaptive selection of incentives for agents) that might be considered “hierarchical”"". But it's probably best to wait for the journal publication (which is currently in preparation) for the full details.
I'm partic"&amp;"ularly interested by this [Balduzzi et al paper](https://arxiv.org/abs/1901.08106) that gives some more theoretical justification for the population-based training. In particular, the paper introduces the concept of ""gamescapes"", which can be thought of"&amp;" as a geometric visualization of which strategies beat which other strategies. In some games, like ""say a number between 1 and 10, you get reward equal to your number - opponent's number"", the gamescape is a 1-D line -- there is a scalar value of ""how "&amp;"good a strategy is"", and a better strategy will beat a weaker strategy. On the other hand, rock-paper-scissors is a cyclic game, and the gamescape looks like a triangle -- there's no strategy that strictly dominates all other strategies. Even the Nash st"&amp;"rategy of randomizing between all three actions is not the ""best"", in that it fails to exploit suboptimal strategies, eg. the strategy of always playing rock. With games that are even somewhat cyclic (such as StarCraft), rather than trying to find the N"&amp;"ash equilibrium, we should try to explore and map out the entire strategy space. The paper also has some theoretical results supporting this that I haven't read through in detail.")</f>
        <v>The AlphaStar system from DeepMind has beaten top human pros at StarCraft. You can read about the particular details of the matches in many sources, such as the blog post itself, this [Vox article](https://www.vox.com/future-perfect/2019/1/24/18196177/ai-artificial-intelligence-google-deepmind-starcraft-game), or [Import AI](https://jack-clark.net/2019/01/28/import-ai-131-ibm-optimizes-ai-with-ai-via-neunets-amazon-reveals-its-scout-delivery-robot-google-releases-300k-natural-questions-dataset/). The quick summary is that while there are some reasons you might not think it is conclusively superhuman yet (notably, it only won when it didn't have to manipulate the camera, and even then it may have had short bursts of very high actions per minute that humans can't do), it is clearly extremely good at StarCraft, both at the technically precise micro level and at the strategic macro level.
I want to focus instead on the technical details of how AlphaStar works. The key ideas seem to be a) using imitation learning to get policies that do something reasonable to start with and b) training a population of agents in order to explore the full space of strategies and how to play against all of them, without any catastrophic forgetting. Specifically, they take a dataset of human games and train various agents to mimic humans. This allows them to avoid the particularly hard exploration problems that happen when you start with a random agent. Once they have these agents to start with, they begin to do population-based training, where they play agents against each other and update their weights using an RL algorithm. The population of agents evolves over time, with well-performing agents splitting into two new agents that diversify a bit more. Some agents also have auxiliary rewards that encourage them to explore different parts of the strategy space -- for example, an agent might get reward for building a specific type of unit. Once training is done, we have a final population of agents. Using their empirical win probabilities, we can construct a Nash equilibrium of these agents, which forms the final AlphaStar agent. _(Note: I'm not sure if at the beginning of the game, one of the agents is chosen according to the Nash probabilities, or if at each timestep an action is chosen according to the Nash probabilities. I would expect the former, since the latter would result in one agent making a long-term plan that is then ruined by a different agent taking some other action, but the blog post seems to indicate the latter -- with the former, it's not clear why the compute ability of a GPU restricts the number of agents in the Nash equilibrium, which the blog posts mentions.)_
There are also a bunch of interesting technical details on how they get this to actually work, which you can get some information about in this [Reddit AMA](https://www.reddit.com/r/MachineLearning/comments/ajgzoc/we_are_oriol_vinyals_and_david_silver_from/). For example, "we included a policy distillation cost to ensure that the agent continues to try human-like behaviours with some probability throughout training, and this makes it much easier to discover unlikely strategies than when starting from self-play", and "there are elements of our research (for example temporally abstract actions that choose how many ticks to delay, or the adaptive selection of incentives for agents) that might be considered “hierarchical”". But it's probably best to wait for the journal publication (which is currently in preparation) for the full details.
I'm particularly interested by this [Balduzzi et al paper](https://arxiv.org/abs/1901.08106) that gives some more theoretical justification for the population-based training. In particular, the paper introduces the concept of "gamescapes", which can be thought of as a geometric visualization of which strategies beat which other strategies. In some games, like "say a number between 1 and 10, you get reward equal to your number - opponent's number", the gamescape is a 1-D line -- there is a scalar value of "how good a strategy is", and a better strategy will beat a weaker strategy. On the other hand, rock-paper-scissors is a cyclic game, and the gamescape looks like a triangle -- there's no strategy that strictly dominates all other strategies. Even the Nash strategy of randomizing between all three actions is not the "best", in that it fails to exploit suboptimal strategies, eg. the strategy of always playing rock. With games that are even somewhat cyclic (such as StarCraft), rather than trying to find the Nash equilibrium, we should try to explore and map out the entire strategy space. The paper also has some theoretical results supporting this that I haven't read through in detail.</v>
      </c>
      <c r="K1595" t="str">
        <f>IFERROR(__xludf.DUMMYFUNCTION("""COMPUTED_VALUE"""),"I don't care very much about whether AlphaStar is superhuman or not -- it clearly is very good at StarCraft at both the micro and macro levels. Whether it hits the rather arbitrary level of ""top human performance"" is not as interesting as the fact that "&amp;"it is anywhere in the ballpark of ""top human performance"".
It's interesting to compare this to [OpenAI Five](https://blog.openai.com/openai-five/) ([AN #13](https://mailchi.mp/8234356e4b7f/alignment-newsletter-13)). While OpenAI solved the exploration "&amp;"problem using a combination of reward shaping and domain randomization, DeepMind solved it by using imitation learning on human games. While OpenAI relied primarily on self-play, DeepMind used population-based training in order to deal with catastrophic f"&amp;"orgetting and in order to be robust to many different strategies. It's possible that this is because of the games they were playing -- it's plausible to me that StarCraft has more rock-paper-scissors-like cyclic mechanics than Dota, and so it's more impor"&amp;"tant to be robust to many strategies in StarCraft. But I don't know either game very well, so this is pure speculation.
Exploring the full strategy space rather than finding the Nash equilibrium seems like the right thing to do, though I haven't kept up "&amp;"with the multiagent RL literature so take that with a grain of salt. That said, it doesn't seem like the full solution -- you also want some way of identifying what strategy your opponent is playing, so that you can choose the optimal strategy to play aga"&amp;"inst them.
I often think about how you can build AI systems that _cooperate_ with humans. This can be significantly harder: in competitive games, if your opponent is more suboptimal than you were expecting, you just crush them even harder. However, in a "&amp;"cooperative game, if you make a bad assumption about what your partner will do, you can get significantly worse performance. (If you've played Hanabi, you've probably experienced this.) Self-play does not seem like it would handle this situation, but this"&amp;" kind of population-based training could potentially handle it, if you also had a method to identify how your partner is playing. (Without such a method, you would play some generic strategy that would hopefully be quite robust to playstyles, but would st"&amp;"ill not be nearly as good as being able to predict what your partner does.)")</f>
        <v>I don't care very much about whether AlphaStar is superhuman or not -- it clearly is very good at StarCraft at both the micro and macro levels. Whether it hits the rather arbitrary level of "top human performance" is not as interesting as the fact that it is anywhere in the ballpark of "top human performance".
It's interesting to compare this to [OpenAI Five](https://blog.openai.com/openai-five/) ([AN #13](https://mailchi.mp/8234356e4b7f/alignment-newsletter-13)). While OpenAI solved the exploration problem using a combination of reward shaping and domain randomization, DeepMind solved it by using imitation learning on human games. While OpenAI relied primarily on self-play, DeepMind used population-based training in order to deal with catastrophic forgetting and in order to be robust to many different strategies. It's possible that this is because of the games they were playing -- it's plausible to me that StarCraft has more rock-paper-scissors-like cyclic mechanics than Dota, and so it's more important to be robust to many strategies in StarCraft. But I don't know either game very well, so this is pure speculation.
Exploring the full strategy space rather than finding the Nash equilibrium seems like the right thing to do, though I haven't kept up with the multiagent RL literature so take that with a grain of salt. That said, it doesn't seem like the full solution -- you also want some way of identifying what strategy your opponent is playing, so that you can choose the optimal strategy to play against them.
I often think about how you can build AI systems that _cooperate_ with humans. This can be significantly harder: in competitive games, if your opponent is more suboptimal than you were expecting, you just crush them even harder. However, in a cooperative game, if you make a bad assumption about what your partner will do, you can get significantly worse performance. (If you've played Hanabi, you've probably experienced this.) Self-play does not seem like it would handle this situation, but this kind of population-based training could potentially handle it, if you also had a method to identify how your partner is playing. (Without such a method, you would play some generic strategy that would hopefully be quite robust to playstyles, but would still not be nearly as good as being able to predict what your partner does.)</v>
      </c>
      <c r="M1595" t="str">
        <f>IFERROR(__xludf.DUMMYFUNCTION("""COMPUTED_VALUE"""),"[Open-ended Learning in Symmetric Zero-sum Games](https://arxiv.org/abs/1901.08106), [AMA with AlphaStar creators and pro players](https://www.reddit.com/r/MachineLearning/comments/ajgzoc/we_are_oriol_vinyals_and_david_silver_from), and [Vox: StarCraft is"&amp;" a deep, complicated war strategy game. Google’s AlphaStar AI crushed it.](https://www.vox.com/future-perfect/2019/1/24/18196177/ai-artificial-intelligence-google-deepmind-starcraft-game)")</f>
        <v>[Open-ended Learning in Symmetric Zero-sum Games](https://arxiv.org/abs/1901.08106), [AMA with AlphaStar creators and pro players](https://www.reddit.com/r/MachineLearning/comments/ajgzoc/we_are_oriol_vinyals_and_david_silver_from), and [Vox: StarCraft is a deep, complicated war strategy game. Google’s AlphaStar AI crushed it.](https://www.vox.com/future-perfect/2019/1/24/18196177/ai-artificial-intelligence-google-deepmind-starcraft-game)</v>
      </c>
    </row>
    <row r="1596">
      <c r="A1596" t="str">
        <f>IFERROR(__xludf.DUMMYFUNCTION("""COMPUTED_VALUE"""),"Reinforcement learning")</f>
        <v>Reinforcement learning</v>
      </c>
      <c r="B1596" t="str">
        <f>IFERROR(__xludf.DUMMYFUNCTION("""COMPUTED_VALUE"""),"Highlight")</f>
        <v>Highlight</v>
      </c>
      <c r="C1596" s="3" t="str">
        <f>IFERROR(__xludf.DUMMYFUNCTION("""COMPUTED_VALUE"""),"Spinning Up in Deep RL")</f>
        <v>Spinning Up in Deep RL</v>
      </c>
      <c r="D1596" t="str">
        <f>IFERROR(__xludf.DUMMYFUNCTION("""COMPUTED_VALUE"""),"Joshua Achiam")</f>
        <v>Joshua Achiam</v>
      </c>
      <c r="E1596" t="str">
        <f>IFERROR(__xludf.DUMMYFUNCTION("""COMPUTED_VALUE"""),"OpenAI Blog")</f>
        <v>OpenAI Blog</v>
      </c>
      <c r="F1596">
        <f>IFERROR(__xludf.DUMMYFUNCTION("""COMPUTED_VALUE"""),2018.0)</f>
        <v>2018</v>
      </c>
      <c r="H1596" s="3" t="str">
        <f>IFERROR(__xludf.DUMMYFUNCTION("""COMPUTED_VALUE"""),"AN #32")</f>
        <v>AN #32</v>
      </c>
      <c r="I1596" t="str">
        <f>IFERROR(__xludf.DUMMYFUNCTION("""COMPUTED_VALUE"""),"Rohin")</f>
        <v>Rohin</v>
      </c>
      <c r="J1596" t="str">
        <f>IFERROR(__xludf.DUMMYFUNCTION("""COMPUTED_VALUE"""),"OpenAI has released an educational resource aimed to help software engineers become skilled at deep reinforcement learning. It includes simple implementations of many deep RL algorithms (as opposed to the relatively complex, highly optimized implementatio"&amp;"ns in Baselines), educational exercises, documentation, and tutorials. OpenAI will host a workshop on the topic at their headquarters on Feb 2nd, and are also planning to hold a workshop at CHAI some time in early 2019.")</f>
        <v>OpenAI has released an educational resource aimed to help software engineers become skilled at deep reinforcement learning. It includes simple implementations of many deep RL algorithms (as opposed to the relatively complex, highly optimized implementations in Baselines), educational exercises, documentation, and tutorials. OpenAI will host a workshop on the topic at their headquarters on Feb 2nd, and are also planning to hold a workshop at CHAI some time in early 2019.</v>
      </c>
      <c r="K1596" t="str">
        <f>IFERROR(__xludf.DUMMYFUNCTION("""COMPUTED_VALUE"""),"I know that a lot of effort has gone into this project, and I expect that as a result this is probably the best educational resource on deep RL out there. The main other resource I know of is the [deep RL bootcamp](https://sites.google.com/view/deep-rl-bo"&amp;"otcamp/), which probably supplements this resource nicely, especially with the lectures (though it is a year out of date).")</f>
        <v>I know that a lot of effort has gone into this project, and I expect that as a result this is probably the best educational resource on deep RL out there. The main other resource I know of is the [deep RL bootcamp](https://sites.google.com/view/deep-rl-bootcamp/), which probably supplements this resource nicely, especially with the lectures (though it is a year out of date).</v>
      </c>
    </row>
    <row r="1597">
      <c r="A1597" t="str">
        <f>IFERROR(__xludf.DUMMYFUNCTION("""COMPUTED_VALUE"""),"Reinforcement learning")</f>
        <v>Reinforcement learning</v>
      </c>
      <c r="B1597" t="str">
        <f>IFERROR(__xludf.DUMMYFUNCTION("""COMPUTED_VALUE"""),"Highlight")</f>
        <v>Highlight</v>
      </c>
      <c r="C1597" s="3" t="str">
        <f>IFERROR(__xludf.DUMMYFUNCTION("""COMPUTED_VALUE"""),"Model-Based Reinforcement Learning via Meta-Policy Optimization")</f>
        <v>Model-Based Reinforcement Learning via Meta-Policy Optimization</v>
      </c>
      <c r="D1597" t="str">
        <f>IFERROR(__xludf.DUMMYFUNCTION("""COMPUTED_VALUE"""),"Ignasi Clavera, Jonas Rothfuss, John Schulman, Yasuhiro Fujita, Tamim Asfour, Pieter Abbeel")</f>
        <v>Ignasi Clavera, Jonas Rothfuss, John Schulman, Yasuhiro Fujita, Tamim Asfour, Pieter Abbeel</v>
      </c>
      <c r="E1597" t="str">
        <f>IFERROR(__xludf.DUMMYFUNCTION("""COMPUTED_VALUE"""),"CoRL")</f>
        <v>CoRL</v>
      </c>
      <c r="F1597">
        <f>IFERROR(__xludf.DUMMYFUNCTION("""COMPUTED_VALUE"""),2018.0)</f>
        <v>2018</v>
      </c>
      <c r="H1597" s="3" t="str">
        <f>IFERROR(__xludf.DUMMYFUNCTION("""COMPUTED_VALUE"""),"AN #26")</f>
        <v>AN #26</v>
      </c>
      <c r="I1597" t="str">
        <f>IFERROR(__xludf.DUMMYFUNCTION("""COMPUTED_VALUE"""),"Richard")</f>
        <v>Richard</v>
      </c>
      <c r="J1597" t="str">
        <f>IFERROR(__xludf.DUMMYFUNCTION("""COMPUTED_VALUE"""),"This paper introduces a new approach to model-based RL, called Model-Based Meta-Policy-Optimisation (MB-MPO), which doesn't require the dynamics models to be as accurate. It does so by learning an ensemble of dynamics models each trained on different subs"&amp;"ets of the data, and then using meta-learning (specifically MAML) to find a policy which adapts well to any of these models within one step of gradient descent. This approach is a form of regularisation of policy learning, and achieves much greater sample"&amp;" efficiency without compromising performance: MB-MPO does just as well as top model-free algorithms in various Mujoco continuous-control environments, while requiring between 10 and 100 times fewer samples. Experiments suggest that it does so by having hi"&amp;"gher plasticity in regions with high dynamics model uncertainty. See also [Import AI](https://jack-clark.net/2018/09/25/import-ai-113-why-satellitesai-gives-us-a-global-eye-industry-pays-academia-to-say-sorry-for-strip-mining-it-and-kindred-researchers-se"&amp;"ek-robot-standardization/).")</f>
        <v>This paper introduces a new approach to model-based RL, called Model-Based Meta-Policy-Optimisation (MB-MPO), which doesn't require the dynamics models to be as accurate. It does so by learning an ensemble of dynamics models each trained on different subsets of the data, and then using meta-learning (specifically MAML) to find a policy which adapts well to any of these models within one step of gradient descent. This approach is a form of regularisation of policy learning, and achieves much greater sample efficiency without compromising performance: MB-MPO does just as well as top model-free algorithms in various Mujoco continuous-control environments, while requiring between 10 and 100 times fewer samples. Experiments suggest that it does so by having higher plasticity in regions with high dynamics model uncertainty. See also [Import AI](https://jack-clark.net/2018/09/25/import-ai-113-why-satellitesai-gives-us-a-global-eye-industry-pays-academia-to-say-sorry-for-strip-mining-it-and-kindred-researchers-seek-robot-standardization/).</v>
      </c>
      <c r="K1597" t="str">
        <f>IFERROR(__xludf.DUMMYFUNCTION("""COMPUTED_VALUE"""),"This is a simple yet powerful idea which significantly reduces the number of samples required for good performance; I'm excited to see follow-up work. There are some confusing references in the paper to applications of MB-MPO to real-world robotics; it's "&amp;"unclear whether the authors already have results in this direction.")</f>
        <v>This is a simple yet powerful idea which significantly reduces the number of samples required for good performance; I'm excited to see follow-up work. There are some confusing references in the paper to applications of MB-MPO to real-world robotics; it's unclear whether the authors already have results in this direction.</v>
      </c>
    </row>
    <row r="1598">
      <c r="A1598" t="str">
        <f>IFERROR(__xludf.DUMMYFUNCTION("""COMPUTED_VALUE"""),"Reinforcement learning")</f>
        <v>Reinforcement learning</v>
      </c>
      <c r="B1598" t="str">
        <f>IFERROR(__xludf.DUMMYFUNCTION("""COMPUTED_VALUE"""),"Highlight")</f>
        <v>Highlight</v>
      </c>
      <c r="C1598" s="3" t="str">
        <f>IFERROR(__xludf.DUMMYFUNCTION("""COMPUTED_VALUE"""),"Preserving Outputs Precisely while Adaptively Rescaling Targets")</f>
        <v>Preserving Outputs Precisely while Adaptively Rescaling Targets</v>
      </c>
      <c r="D1598" t="str">
        <f>IFERROR(__xludf.DUMMYFUNCTION("""COMPUTED_VALUE"""),"Matteo Hessel and Hado van Hasselt")</f>
        <v>Matteo Hessel and Hado van Hasselt</v>
      </c>
      <c r="E1598" t="str">
        <f>IFERROR(__xludf.DUMMYFUNCTION("""COMPUTED_VALUE"""),"Deepmind Blog")</f>
        <v>Deepmind Blog</v>
      </c>
      <c r="F1598">
        <f>IFERROR(__xludf.DUMMYFUNCTION("""COMPUTED_VALUE"""),2018.0)</f>
        <v>2018</v>
      </c>
      <c r="H1598" s="3" t="str">
        <f>IFERROR(__xludf.DUMMYFUNCTION("""COMPUTED_VALUE"""),"AN #24")</f>
        <v>AN #24</v>
      </c>
      <c r="I1598" t="str">
        <f>IFERROR(__xludf.DUMMYFUNCTION("""COMPUTED_VALUE"""),"Rohin")</f>
        <v>Rohin</v>
      </c>
      <c r="J1598" t="str">
        <f>IFERROR(__xludf.DUMMYFUNCTION("""COMPUTED_VALUE"""),"When an agent is trained on multiple tasks across which the sizes of rewards vary greatly, it usually focuses on tasks which provide the largest or most frequent rewards at the expense of performance on others. Previous work dealt with this by clipping re"&amp;"wards outside a certain range, but this changes the optimal policy (eg. in Pacman, eating pellets is just as rewarding as eating ghosts). This paper uses PopArt (introduced in [this 2016 paper](https://arxiv.org/abs/1602.07714)) to normalise rewards from "&amp;"each task before using them to update the policy in an actor-critic RL algorithm. The authors use PopArt to train a single IMPALA agent which can play all 57 Atari games, achieving a median performance slightly higher than human performance.
To delve int"&amp;"o more detail about PopArt, let's consider training a policy with an actor-critic algorithm. In this case, we need a critic that produces estimates of values V, and an actor that produces probabilities of actions. Both of these networks are trained by tak"&amp;"ing gradients of their outputs, and weighting them based on the observed rewards. Now, a key empirical fact about deep learning is that it works better if all the things are normalized, especially the gradients. (If nothing else, it makes it easier to cho"&amp;"ose the learning rate.) For the actor, this is easy -- probabilities are already normalized, and the weight of gradient is proportional to the reward, so we can just rescale the weight of the gradient based on the mean and standard deviation of the reward"&amp;"s we have observed so far. This is a bit harder for the critic, since it has to predict values, so we have to normalize both the outputs and the gradient weights. We can normalize the gradient weights in the same way as before. However, normalizing the ou"&amp;"tputs is tricky, because as time goes on the means and standard deviations change. To do this, at every timestep we modify the weights of the critic that is equivalent to unnormalizing based on the old statistics and then normalizing based on the new stat"&amp;"istics. This gives the PopArt method.
Here's a simple example where I butcher types, ignore the difference between states and trajectories, and throw away the standard deviation. Suppose the first reward we see is 10, so we say that our mean is 10 and tr"&amp;"ain our net to output a normalized reward of 0 for this state and action. Then, we see a reward of 100, so we update our mean to 55. On our previous (state, action) pair, we still output a normalized reward of 0, which now corresponds to a real reward of "&amp;"55, even though it should correspond to 10! We then do the unnormalize-and-renormalize trick. After unnormalization, the critic would output 10, and after renormalization, the network would output -45, which when combined with the mean of 55 would give us"&amp;" the desired 10 reward.")</f>
        <v>When an agent is trained on multiple tasks across which the sizes of rewards vary greatly, it usually focuses on tasks which provide the largest or most frequent rewards at the expense of performance on others. Previous work dealt with this by clipping rewards outside a certain range, but this changes the optimal policy (eg. in Pacman, eating pellets is just as rewarding as eating ghosts). This paper uses PopArt (introduced in [this 2016 paper](https://arxiv.org/abs/1602.07714)) to normalise rewards from each task before using them to update the policy in an actor-critic RL algorithm. The authors use PopArt to train a single IMPALA agent which can play all 57 Atari games, achieving a median performance slightly higher than human performance.
To delve into more detail about PopArt, let's consider training a policy with an actor-critic algorithm. In this case, we need a critic that produces estimates of values V, and an actor that produces probabilities of actions. Both of these networks are trained by taking gradients of their outputs, and weighting them based on the observed rewards. Now, a key empirical fact about deep learning is that it works better if all the things are normalized, especially the gradients. (If nothing else, it makes it easier to choose the learning rate.) For the actor, this is easy -- probabilities are already normalized, and the weight of gradient is proportional to the reward, so we can just rescale the weight of the gradient based on the mean and standard deviation of the rewards we have observed so far. This is a bit harder for the critic, since it has to predict values, so we have to normalize both the outputs and the gradient weights. We can normalize the gradient weights in the same way as before. However, normalizing the outputs is tricky, because as time goes on the means and standard deviations change. To do this, at every timestep we modify the weights of the critic that is equivalent to unnormalizing based on the old statistics and then normalizing based on the new statistics. This gives the PopArt method.
Here's a simple example where I butcher types, ignore the difference between states and trajectories, and throw away the standard deviation. Suppose the first reward we see is 10, so we say that our mean is 10 and train our net to output a normalized reward of 0 for this state and action. Then, we see a reward of 100, so we update our mean to 55. On our previous (state, action) pair, we still output a normalized reward of 0, which now corresponds to a real reward of 55, even though it should correspond to 10! We then do the unnormalize-and-renormalize trick. After unnormalization, the critic would output 10, and after renormalization, the network would output -45, which when combined with the mean of 55 would give us the desired 10 reward.</v>
      </c>
      <c r="K1598" t="str">
        <f>IFERROR(__xludf.DUMMYFUNCTION("""COMPUTED_VALUE"""),"This is an impressive result, since it's the first time a single agent has performed so well on a range of Atari games. It doesn't seem to have required any novel techniques except for a straightforward extension of PopArt to the multi-task setting, but t"&amp;"his is still interesting since the results from the previous PopArt paper were very mixed (performance increased and decreased dramatically on different games, with the average remaining roughly stable).
One confusing aspect was that PopArt still benefit"&amp;"ted slightly from being trained with reward clipping (110% vs. 101% in the unclipped case), even though the point of PopArt was to normalize rewards so that clipping wasn't necessary. I'm assuming the clipping happens after PopArt normalization, since if "&amp;"it happens before then you lose information as in the Pacman example. In this case, maybe it's that the reward distribution is fat-tailed, and so even after normalization there could be some extreme rewards that after normalization are still large enough "&amp;"that they would cause updates that are too large, and clipping alleviates this problem.")</f>
        <v>This is an impressive result, since it's the first time a single agent has performed so well on a range of Atari games. It doesn't seem to have required any novel techniques except for a straightforward extension of PopArt to the multi-task setting, but this is still interesting since the results from the previous PopArt paper were very mixed (performance increased and decreased dramatically on different games, with the average remaining roughly stable).
One confusing aspect was that PopArt still benefitted slightly from being trained with reward clipping (110% vs. 101% in the unclipped case), even though the point of PopArt was to normalize rewards so that clipping wasn't necessary. I'm assuming the clipping happens after PopArt normalization, since if it happens before then you lose information as in the Pacman example. In this case, maybe it's that the reward distribution is fat-tailed, and so even after normalization there could be some extreme rewards that after normalization are still large enough that they would cause updates that are too large, and clipping alleviates this problem.</v>
      </c>
    </row>
    <row r="1599">
      <c r="A1599" t="str">
        <f>IFERROR(__xludf.DUMMYFUNCTION("""COMPUTED_VALUE"""),"Reinforcement learning")</f>
        <v>Reinforcement learning</v>
      </c>
      <c r="B1599" t="str">
        <f>IFERROR(__xludf.DUMMYFUNCTION("""COMPUTED_VALUE"""),"Highlight")</f>
        <v>Highlight</v>
      </c>
      <c r="C1599" s="3" t="str">
        <f>IFERROR(__xludf.DUMMYFUNCTION("""COMPUTED_VALUE"""),"Visual Reinforcement Learning with Imagined Goals")</f>
        <v>Visual Reinforcement Learning with Imagined Goals</v>
      </c>
      <c r="D1599" t="str">
        <f>IFERROR(__xludf.DUMMYFUNCTION("""COMPUTED_VALUE"""),"Vitchyr Pong and Ashvin Nair")</f>
        <v>Vitchyr Pong and Ashvin Nair</v>
      </c>
      <c r="E1599" t="str">
        <f>IFERROR(__xludf.DUMMYFUNCTION("""COMPUTED_VALUE"""),"BAIR Blog")</f>
        <v>BAIR Blog</v>
      </c>
      <c r="F1599">
        <f>IFERROR(__xludf.DUMMYFUNCTION("""COMPUTED_VALUE"""),2018.0)</f>
        <v>2018</v>
      </c>
      <c r="H1599" s="3" t="str">
        <f>IFERROR(__xludf.DUMMYFUNCTION("""COMPUTED_VALUE"""),"AN #23")</f>
        <v>AN #23</v>
      </c>
      <c r="I1599" t="str">
        <f>IFERROR(__xludf.DUMMYFUNCTION("""COMPUTED_VALUE"""),"Rohin")</f>
        <v>Rohin</v>
      </c>
      <c r="J1599" t="str">
        <f>IFERROR(__xludf.DUMMYFUNCTION("""COMPUTED_VALUE"""),"This is a blog post explaining a paper by the same name that I covered in [AN #16](https://mailchi.mp/f2950ed2ac4b/alignment-newsletter-16). It's particularly clear and well-explained, and I continue to think the idea is cool and interesting. I've recopie"&amp;"d my summary and opinion here, but you should read the blog post, it explains it very well.
[Hindsight Experience Replay](https://blog.openai.com/ingredients-for-robotics-research/) (HER) introduced the idea of accelerating learning with sparse rewards, "&amp;"by taking trajectories where you fail to achieve the goal (and so get no reward, and thus no learning signal) and replacing the actual goal with an ""imagined"" goal chosen in hindsight such that you actually achieved that goal, which means you get reward"&amp;" and can learn. This requires that you have a space of goals such that for any trajectory, you can come up with a goal such that the trajectory achieves that goal. In practice, this means that you are limited to tasks where the goals are of the form ""rea"&amp;"ch this goal state"". However, if your goal state is an image, it is very hard to learn how to act in order to reach any possible image goal state (even if you restrict to realistic ones), since the space is so large and unstructured. The authors propose "&amp;"to first learn a structured latent representation of the space of images using a variational autoencoder (VAE), and then use that structured latent space as the space of goals which can be achieved. They also use Q-learning instead of DDPG (which is what "&amp;"HER used), so that they can imagine any goal with a minibatch (s, a, s') and learn from it (whereas HER/DDPG is limited to states on the trajectory).")</f>
        <v>This is a blog post explaining a paper by the same name that I covered in [AN #16](https://mailchi.mp/f2950ed2ac4b/alignment-newsletter-16). It's particularly clear and well-explained, and I continue to think the idea is cool and interesting. I've recopied my summary and opinion here, but you should read the blog post, it explains it very well.
[Hindsight Experience Replay](https://blog.openai.com/ingredients-for-robotics-research/) (HER) introduced the idea of accelerating learning with sparse rewards, by taking trajectories where you fail to achieve the goal (and so get no reward, and thus no learning signal) and replacing the actual goal with an "imagined" goal chosen in hindsight such that you actually achieved that goal, which means you get reward and can learn. This requires that you have a space of goals such that for any trajectory, you can come up with a goal such that the trajectory achieves that goal. In practice, this means that you are limited to tasks where the goals are of the form "reach this goal state". However, if your goal state is an image, it is very hard to learn how to act in order to reach any possible image goal state (even if you restrict to realistic ones), since the space is so large and unstructured. The authors propose to first learn a structured latent representation of the space of images using a variational autoencoder (VAE), and then use that structured latent space as the space of goals which can be achieved. They also use Q-learning instead of DDPG (which is what HER used), so that they can imagine any goal with a minibatch (s, a, s') and learn from it (whereas HER/DDPG is limited to states on the trajectory).</v>
      </c>
      <c r="K1599" t="str">
        <f>IFERROR(__xludf.DUMMYFUNCTION("""COMPUTED_VALUE"""),"This is a cool example of a relatively simple yet powerful idea -- instead of having a goal space over all states, learn a good latent representation and use that as your goal space. This enables unsupervised learning in order to figure out how to use a r"&amp;"obot to generally affect the world, probably similarly to how babies explore and learn.")</f>
        <v>This is a cool example of a relatively simple yet powerful idea -- instead of having a goal space over all states, learn a good latent representation and use that as your goal space. This enables unsupervised learning in order to figure out how to use a robot to generally affect the world, probably similarly to how babies explore and learn.</v>
      </c>
    </row>
    <row r="1600">
      <c r="A1600" t="str">
        <f>IFERROR(__xludf.DUMMYFUNCTION("""COMPUTED_VALUE"""),"Reinforcement learning")</f>
        <v>Reinforcement learning</v>
      </c>
      <c r="B1600" t="str">
        <f>IFERROR(__xludf.DUMMYFUNCTION("""COMPUTED_VALUE"""),"Highlight")</f>
        <v>Highlight</v>
      </c>
      <c r="C1600" s="3" t="str">
        <f>IFERROR(__xludf.DUMMYFUNCTION("""COMPUTED_VALUE"""),"Recurrent World Models Facilitate Policy Evolution")</f>
        <v>Recurrent World Models Facilitate Policy Evolution</v>
      </c>
      <c r="D1600" t="str">
        <f>IFERROR(__xludf.DUMMYFUNCTION("""COMPUTED_VALUE"""),"David Ha, Jürgen Schmidhuber")</f>
        <v>David Ha, Jürgen Schmidhuber</v>
      </c>
      <c r="E1600" t="str">
        <f>IFERROR(__xludf.DUMMYFUNCTION("""COMPUTED_VALUE"""),"NIPS 2018")</f>
        <v>NIPS 2018</v>
      </c>
      <c r="F1600">
        <f>IFERROR(__xludf.DUMMYFUNCTION("""COMPUTED_VALUE"""),2018.0)</f>
        <v>2018</v>
      </c>
      <c r="H1600" s="3" t="str">
        <f>IFERROR(__xludf.DUMMYFUNCTION("""COMPUTED_VALUE"""),"AN #23")</f>
        <v>AN #23</v>
      </c>
      <c r="I1600" t="str">
        <f>IFERROR(__xludf.DUMMYFUNCTION("""COMPUTED_VALUE"""),"Rohin")</f>
        <v>Rohin</v>
      </c>
      <c r="J1600" t="str">
        <f>IFERROR(__xludf.DUMMYFUNCTION("""COMPUTED_VALUE"""),"I read the [interactive version](https://worldmodels.github.io/) of the paper. The basic idea is to do model-based reinforcement learning, where the model is composed of a variational auto-encoder that turns a high-dimensional state of pixels into a low-d"&amp;"imensional representation, and a large RNN that predicts how the (low-dimensional) state will evolve in the future. The outputs of this model are fed into a very simple linear controller that chooses actions. Since the controller is so simple, they can tr"&amp;"ain it using a black box optimization method (an evolutionary strategy) that doesn't require any gradient information. They evaluate on a racing task and on Doom, and set new state-of-the-art results. There are also other interesting setups -- for example"&amp;", once you have a world model, you can train the controller completely within the world model without interacting with the outside world at all (using the number of timesteps before the episode ends as your reward function, since the world model doesn't p"&amp;"redict standard rewards, but does predict whether the episode ends). There are a lot of cool visualizations that let you play with the models trained with their method.")</f>
        <v>I read the [interactive version](https://worldmodels.github.io/) of the paper. The basic idea is to do model-based reinforcement learning, where the model is composed of a variational auto-encoder that turns a high-dimensional state of pixels into a low-dimensional representation, and a large RNN that predicts how the (low-dimensional) state will evolve in the future. The outputs of this model are fed into a very simple linear controller that chooses actions. Since the controller is so simple, they can train it using a black box optimization method (an evolutionary strategy) that doesn't require any gradient information. They evaluate on a racing task and on Doom, and set new state-of-the-art results. There are also other interesting setups -- for example, once you have a world model, you can train the controller completely within the world model without interacting with the outside world at all (using the number of timesteps before the episode ends as your reward function, since the world model doesn't predict standard rewards, but does predict whether the episode ends). There are a lot of cool visualizations that let you play with the models trained with their method.</v>
      </c>
      <c r="K1600" t="str">
        <f>IFERROR(__xludf.DUMMYFUNCTION("""COMPUTED_VALUE"""),"I agree with [Shimon Whiteson's take](https://twitter.com/shimon8282/status/979344417961250817), which is that this method gets improvements by creating a separation of concerns between modelling the world and learning a controller for the model, and eval"&amp;"uating on environments where this separation mostly holds. A major challenge in RL is learning the features that are important for the task under consideration, and this method instead learns features that allow you to reconstruct the state, which could b"&amp;"e very different, but happen to not be different in their environments. That said, I really like the presentation of the paper and the fact that they did ablation studies.")</f>
        <v>I agree with [Shimon Whiteson's take](https://twitter.com/shimon8282/status/979344417961250817), which is that this method gets improvements by creating a separation of concerns between modelling the world and learning a controller for the model, and evaluating on environments where this separation mostly holds. A major challenge in RL is learning the features that are important for the task under consideration, and this method instead learns features that allow you to reconstruct the state, which could be very different, but happen to not be different in their environments. That said, I really like the presentation of the paper and the fact that they did ablation studies.</v>
      </c>
    </row>
    <row r="1601">
      <c r="A1601" t="str">
        <f>IFERROR(__xludf.DUMMYFUNCTION("""COMPUTED_VALUE"""),"Reinforcement learning")</f>
        <v>Reinforcement learning</v>
      </c>
      <c r="B1601" t="str">
        <f>IFERROR(__xludf.DUMMYFUNCTION("""COMPUTED_VALUE"""),"Highlight")</f>
        <v>Highlight</v>
      </c>
      <c r="C1601" s="3" t="str">
        <f>IFERROR(__xludf.DUMMYFUNCTION("""COMPUTED_VALUE"""),"Reinforcement Learning and Control as Probabilistic Inference: Tutorial and Review")</f>
        <v>Reinforcement Learning and Control as Probabilistic Inference: Tutorial and Review</v>
      </c>
      <c r="D1601" t="str">
        <f>IFERROR(__xludf.DUMMYFUNCTION("""COMPUTED_VALUE"""),"Sergey Levine")</f>
        <v>Sergey Levine</v>
      </c>
      <c r="E1601" t="str">
        <f>IFERROR(__xludf.DUMMYFUNCTION("""COMPUTED_VALUE"""),"CogSci 2018")</f>
        <v>CogSci 2018</v>
      </c>
      <c r="F1601">
        <f>IFERROR(__xludf.DUMMYFUNCTION("""COMPUTED_VALUE"""),2018.0)</f>
        <v>2018</v>
      </c>
      <c r="H1601" s="3" t="str">
        <f>IFERROR(__xludf.DUMMYFUNCTION("""COMPUTED_VALUE"""),"AN #21")</f>
        <v>AN #21</v>
      </c>
      <c r="I1601" t="str">
        <f>IFERROR(__xludf.DUMMYFUNCTION("""COMPUTED_VALUE"""),"Rohin")</f>
        <v>Rohin</v>
      </c>
      <c r="J1601" t="str">
        <f>IFERROR(__xludf.DUMMYFUNCTION("""COMPUTED_VALUE"""),"I sent this out as a link in [AN #5](https://mailchi.mp/0ae5d69de63b/alignment-newsletter-5), but only just got around to reading it. This paper shows how you can fit the framework of reinforcement learning into the framework of inference within probabili"&amp;"stic graphical models. Specifically, the states s_t and actions a_t are now represented as nodes in the graphical model, and we add in new nodes O_t that represent whether or not an ""event"" happened at time t. By assigning the values of P(O_t | s_t, a_t"&amp;") appropriately, we can encode a reward function. Then, by conditioning on the rewarding events happening, we can infer what actions must have been taken to get these events, which gives us a policy that achieves high reward. They later talk about the con"&amp;"nection to variational inference, and how you can get IRL methods in this framework.")</f>
        <v>I sent this out as a link in [AN #5](https://mailchi.mp/0ae5d69de63b/alignment-newsletter-5), but only just got around to reading it. This paper shows how you can fit the framework of reinforcement learning into the framework of inference within probabilistic graphical models. Specifically, the states s_t and actions a_t are now represented as nodes in the graphical model, and we add in new nodes O_t that represent whether or not an "event" happened at time t. By assigning the values of P(O_t | s_t, a_t) appropriately, we can encode a reward function. Then, by conditioning on the rewarding events happening, we can infer what actions must have been taken to get these events, which gives us a policy that achieves high reward. They later talk about the connection to variational inference, and how you can get IRL methods in this framework.</v>
      </c>
      <c r="K1601" t="str">
        <f>IFERROR(__xludf.DUMMYFUNCTION("""COMPUTED_VALUE"""),"Remarkably, this paper is both heavy on (useful) math, and very clear and well-explained. I actually didn't try to explain the technical details in my summary as much as I usually do, because you can just read the paper and actually understand what's goin"&amp;"g on, at least if you're familiar with probabilistic graphical models. Regarding the content, I've found the framework useful for one of my current projects, so I do recommend reading it.")</f>
        <v>Remarkably, this paper is both heavy on (useful) math, and very clear and well-explained. I actually didn't try to explain the technical details in my summary as much as I usually do, because you can just read the paper and actually understand what's going on, at least if you're familiar with probabilistic graphical models. Regarding the content, I've found the framework useful for one of my current projects, so I do recommend reading it.</v>
      </c>
    </row>
    <row r="1602">
      <c r="A1602" t="str">
        <f>IFERROR(__xludf.DUMMYFUNCTION("""COMPUTED_VALUE"""),"Reinforcement learning")</f>
        <v>Reinforcement learning</v>
      </c>
      <c r="B1602" t="str">
        <f>IFERROR(__xludf.DUMMYFUNCTION("""COMPUTED_VALUE"""),"Highlight")</f>
        <v>Highlight</v>
      </c>
      <c r="C1602" s="3" t="str">
        <f>IFERROR(__xludf.DUMMYFUNCTION("""COMPUTED_VALUE"""),"Large-Scale Study of Curiosity-Driven Learning")</f>
        <v>Large-Scale Study of Curiosity-Driven Learning</v>
      </c>
      <c r="D1602" t="str">
        <f>IFERROR(__xludf.DUMMYFUNCTION("""COMPUTED_VALUE"""),"Yuri Burda, Harri Edwards, Deepak Pathak, Amos Storkey, Trevor Darrell and Alexei A. Efros")</f>
        <v>Yuri Burda, Harri Edwards, Deepak Pathak, Amos Storkey, Trevor Darrell and Alexei A. Efros</v>
      </c>
      <c r="E1602" t="str">
        <f>IFERROR(__xludf.DUMMYFUNCTION("""COMPUTED_VALUE"""),"2nd Workshop on Meta-Learning at NeurIPS 2018")</f>
        <v>2nd Workshop on Meta-Learning at NeurIPS 2018</v>
      </c>
      <c r="F1602">
        <f>IFERROR(__xludf.DUMMYFUNCTION("""COMPUTED_VALUE"""),2018.0)</f>
        <v>2018</v>
      </c>
      <c r="H1602" s="3" t="str">
        <f>IFERROR(__xludf.DUMMYFUNCTION("""COMPUTED_VALUE"""),"AN #20")</f>
        <v>AN #20</v>
      </c>
      <c r="I1602" t="str">
        <f>IFERROR(__xludf.DUMMYFUNCTION("""COMPUTED_VALUE"""),"Rohin")</f>
        <v>Rohin</v>
      </c>
      <c r="J1602" t="str">
        <f>IFERROR(__xludf.DUMMYFUNCTION("""COMPUTED_VALUE"""),"One major challenge in RL is how to explore the environment sufficiently in order to find good rewards to learn from. One proposed method is curiosity, in which the agent generates an internal reward for taking any transition where the outcome was surpris"&amp;"ing, where surprisal is measured as the negative log probability assigned to the outcome by the agent. In this paper, a neural net that takes as input observation features φ(x) and action a, and predicts the features of the next state observation. The mea"&amp;"n squared error with the actual features of the next state is then a measure of the surprisal, and is used as the curiosity reward. This is equivalent to treating the output of the neural net as the mean of a Gaussian distribution with fixed variance, and"&amp;" defining the reward to be the negative log probability assigned to the actual next state.
This still leaves the feature function φ undetermined. They consider using pixels directly, using a CNN with randomly chosen fixed weights, learned CNN features us"&amp;"ing a variational autoencoder (VAE) (which optimize for features that are useful for reconstructing the observation), and learned CNN features using inverse dynamics (IDF) (which optimize for features that are useful for reconstructing the action, biasing"&amp;" the features towards aspect of the environment that the agent can control). As you might expect, pixels don't work very well. However, random features do work quite well, often beating the VAE and IDF. This can happen because the random features stay fix"&amp;"ed, leading to more stable learning, whereas with the VAE and IDF methods the features are changing over time, and the environment distribution is changing over time (as the agent explores more of it), leading to a harder learning problem.
Typically, cur"&amp;"iosity is combined with an external reward. In this paper, the authors evaluate how well an agent can do with _only_ curiosity and no external reward. Intuitively, in game environments designed by humans, the designer sets up a good curriculum for humans "&amp;"to learn, which would align well with a curiosity reward. In fact, this is what happens, with a curiosity based reward leading to great performance (as measured by the external reward) on Atari games, Super Mario, Unity mazes, and Roboschool Pong, when us"&amp;"ing random features or IDF features. (The VAE features sometimes work well but were very unstable.) They evaluate transfer between levels in Super Mario, and find that the learned features transfer in more cases than random ones. Looking at the graphs, th"&amp;"is seems like a very small effect to me -- I'm not sure if I'd agree with the claim, but I'd want to look at the behavior in videos and what the reward function rewards before making that claim strongly. They also investigate Pong with both players being "&amp;"driven by curiosity, and the players become so good at rallying that they crash the emulator.
Finally, they note one downside -- in any stochastic environment, or any environment where there will be lots of uncertainty about what will happen (eg. in mult"&amp;"iagent settings), at convergence the reward for any action will be equal to the entropy of the next state distribution. While they don't demonstrate this flaw in particular, they show a related one -- if you add a TV to a Unity maze, and an action to chan"&amp;"ge the channel, then the agent learns to stand in front of the TV and change the channel forever, rather than solving the maze.")</f>
        <v>One major challenge in RL is how to explore the environment sufficiently in order to find good rewards to learn from. One proposed method is curiosity, in which the agent generates an internal reward for taking any transition where the outcome was surprising, where surprisal is measured as the negative log probability assigned to the outcome by the agent. In this paper, a neural net that takes as input observation features φ(x) and action a, and predicts the features of the next state observation. The mean squared error with the actual features of the next state is then a measure of the surprisal, and is used as the curiosity reward. This is equivalent to treating the output of the neural net as the mean of a Gaussian distribution with fixed variance, and defining the reward to be the negative log probability assigned to the actual next state.
This still leaves the feature function φ undetermined. They consider using pixels directly, using a CNN with randomly chosen fixed weights, learned CNN features using a variational autoencoder (VAE) (which optimize for features that are useful for reconstructing the observation), and learned CNN features using inverse dynamics (IDF) (which optimize for features that are useful for reconstructing the action, biasing the features towards aspect of the environment that the agent can control). As you might expect, pixels don't work very well. However, random features do work quite well, often beating the VAE and IDF. This can happen because the random features stay fixed, leading to more stable learning, whereas with the VAE and IDF methods the features are changing over time, and the environment distribution is changing over time (as the agent explores more of it), leading to a harder learning problem.
Typically, curiosity is combined with an external reward. In this paper, the authors evaluate how well an agent can do with _only_ curiosity and no external reward. Intuitively, in game environments designed by humans, the designer sets up a good curriculum for humans to learn, which would align well with a curiosity reward. In fact, this is what happens, with a curiosity based reward leading to great performance (as measured by the external reward) on Atari games, Super Mario, Unity mazes, and Roboschool Pong, when using random features or IDF features. (The VAE features sometimes work well but were very unstable.) They evaluate transfer between levels in Super Mario, and find that the learned features transfer in more cases than random ones. Looking at the graphs, this seems like a very small effect to me -- I'm not sure if I'd agree with the claim, but I'd want to look at the behavior in videos and what the reward function rewards before making that claim strongly. They also investigate Pong with both players being driven by curiosity, and the players become so good at rallying that they crash the emulator.
Finally, they note one downside -- in any stochastic environment, or any environment where there will be lots of uncertainty about what will happen (eg. in multiagent settings), at convergence the reward for any action will be equal to the entropy of the next state distribution. While they don't demonstrate this flaw in particular, they show a related one -- if you add a TV to a Unity maze, and an action to change the channel, then the agent learns to stand in front of the TV and change the channel forever, rather than solving the maze.</v>
      </c>
      <c r="K1602" t="str">
        <f>IFERROR(__xludf.DUMMYFUNCTION("""COMPUTED_VALUE"""),"I really like these empirical papers that compare different methods and show their advantages and disadvantages. I was pretty surprised to see random features do as well as they did, especially to see that they transferred as well as learned features in o"&amp;"ne of the two cases they studied. There was of course a neural net that could learn how to use the arbitrary representation induced by the features, but then why couldn't it do the same for pixels? Perhaps the CNN was useful primarily for reducing the dim"&amp;"ensionality of the pixels by combining nearby pixels together, and it didn't really matter how that was done since it still retains all the important information, but in a smaller vector?
I'm glad that the paper acknowledges that the good performance of "&amp;"curiosity is limited to environments that human designers have created. In a real world task, such as a house-cleaning robot, there are many other sources of uncertainty in the world that are unrelated to the task, and you need some form of specification "&amp;"to focus on it -- curiosity alone will not be enough.")</f>
        <v>I really like these empirical papers that compare different methods and show their advantages and disadvantages. I was pretty surprised to see random features do as well as they did, especially to see that they transferred as well as learned features in one of the two cases they studied. There was of course a neural net that could learn how to use the arbitrary representation induced by the features, but then why couldn't it do the same for pixels? Perhaps the CNN was useful primarily for reducing the dimensionality of the pixels by combining nearby pixels together, and it didn't really matter how that was done since it still retains all the important information, but in a smaller vector?
I'm glad that the paper acknowledges that the good performance of curiosity is limited to environments that human designers have created. In a real world task, such as a house-cleaning robot, there are many other sources of uncertainty in the world that are unrelated to the task, and you need some form of specification to focus on it -- curiosity alone will not be enough.</v>
      </c>
      <c r="M1602" s="3" t="str">
        <f>IFERROR(__xludf.DUMMYFUNCTION("""COMPUTED_VALUE"""),"Arxiv paper")</f>
        <v>Arxiv paper</v>
      </c>
    </row>
    <row r="1603">
      <c r="A1603" t="str">
        <f>IFERROR(__xludf.DUMMYFUNCTION("""COMPUTED_VALUE"""),"Reinforcement learning")</f>
        <v>Reinforcement learning</v>
      </c>
      <c r="B1603" t="str">
        <f>IFERROR(__xludf.DUMMYFUNCTION("""COMPUTED_VALUE"""),"Highlight")</f>
        <v>Highlight</v>
      </c>
      <c r="C1603" s="3" t="str">
        <f>IFERROR(__xludf.DUMMYFUNCTION("""COMPUTED_VALUE"""),"Lessons Learned Reproducing a Deep Reinforcement Learning Paper")</f>
        <v>Lessons Learned Reproducing a Deep Reinforcement Learning Paper</v>
      </c>
      <c r="D1603" t="str">
        <f>IFERROR(__xludf.DUMMYFUNCTION("""COMPUTED_VALUE"""),"Matthew Rahtz")</f>
        <v>Matthew Rahtz</v>
      </c>
      <c r="E1603" t="str">
        <f>IFERROR(__xludf.DUMMYFUNCTION("""COMPUTED_VALUE"""),"Amid Fish")</f>
        <v>Amid Fish</v>
      </c>
      <c r="F1603">
        <f>IFERROR(__xludf.DUMMYFUNCTION("""COMPUTED_VALUE"""),2018.0)</f>
        <v>2018</v>
      </c>
      <c r="H1603" s="3" t="str">
        <f>IFERROR(__xludf.DUMMYFUNCTION("""COMPUTED_VALUE"""),"AN #2")</f>
        <v>AN #2</v>
      </c>
      <c r="I1603" t="str">
        <f>IFERROR(__xludf.DUMMYFUNCTION("""COMPUTED_VALUE"""),"Rohin")</f>
        <v>Rohin</v>
      </c>
      <c r="J1603" t="str">
        <f>IFERROR(__xludf.DUMMYFUNCTION("""COMPUTED_VALUE"""),"It's exactly what the title says. There were a lot of points that I can't easily summarize, but some highlights:
- Deep RL is very fiddly and tricky, and most of his time was spent debugging.
- Since each run takes a long time, it's very important to put "&amp;"a lot of effort into figuring out what hypotheses to test.
- The project took ~$850 of compute (~9,000 CPU hours and ~450 GPU hours)")</f>
        <v>It's exactly what the title says. There were a lot of points that I can't easily summarize, but some highlights:
- Deep RL is very fiddly and tricky, and most of his time was spent debugging.
- Since each run takes a long time, it's very important to put a lot of effort into figuring out what hypotheses to test.
- The project took ~$850 of compute (~9,000 CPU hours and ~450 GPU hours)</v>
      </c>
      <c r="K1603" t="str">
        <f>IFERROR(__xludf.DUMMYFUNCTION("""COMPUTED_VALUE"""),"If you do deep RL research regularly, you probably won't get too much out of it (though you might still get some handy tips on things you can do with Tensorflow), but I think everyone else should read it to get a more concrete sense of what deep RL resear"&amp;"ch actually looks like and to be able to communicate more effectively with deep RL researchers.")</f>
        <v>If you do deep RL research regularly, you probably won't get too much out of it (though you might still get some handy tips on things you can do with Tensorflow), but I think everyone else should read it to get a more concrete sense of what deep RL research actually looks like and to be able to communicate more effectively with deep RL researchers.</v>
      </c>
      <c r="M1603" s="3" t="str">
        <f>IFERROR(__xludf.DUMMYFUNCTION("""COMPUTED_VALUE"""),"Deep Reinforcement Learning Doesn’t Work Yet")</f>
        <v>Deep Reinforcement Learning Doesn’t Work Yet</v>
      </c>
    </row>
    <row r="1604">
      <c r="A1604" t="str">
        <f>IFERROR(__xludf.DUMMYFUNCTION("""COMPUTED_VALUE"""),"Reinforcement learning")</f>
        <v>Reinforcement learning</v>
      </c>
      <c r="B1604" t="str">
        <f>IFERROR(__xludf.DUMMYFUNCTION("""COMPUTED_VALUE"""),"Highlight")</f>
        <v>Highlight</v>
      </c>
      <c r="C1604" s="3" t="str">
        <f>IFERROR(__xludf.DUMMYFUNCTION("""COMPUTED_VALUE"""),"OpenAI Five Benchmark: Results")</f>
        <v>OpenAI Five Benchmark: Results</v>
      </c>
      <c r="D1604" t="str">
        <f>IFERROR(__xludf.DUMMYFUNCTION("""COMPUTED_VALUE"""),"OpenAI's Dota Team")</f>
        <v>OpenAI's Dota Team</v>
      </c>
      <c r="E1604" t="str">
        <f>IFERROR(__xludf.DUMMYFUNCTION("""COMPUTED_VALUE"""),"OpenAI Blog")</f>
        <v>OpenAI Blog</v>
      </c>
      <c r="F1604">
        <f>IFERROR(__xludf.DUMMYFUNCTION("""COMPUTED_VALUE"""),2018.0)</f>
        <v>2018</v>
      </c>
      <c r="H1604" s="3" t="str">
        <f>IFERROR(__xludf.DUMMYFUNCTION("""COMPUTED_VALUE"""),"AN #19")</f>
        <v>AN #19</v>
      </c>
      <c r="I1604" t="str">
        <f>IFERROR(__xludf.DUMMYFUNCTION("""COMPUTED_VALUE"""),"Rohin")</f>
        <v>Rohin</v>
      </c>
      <c r="J1604" t="str">
        <f>IFERROR(__xludf.DUMMYFUNCTION("""COMPUTED_VALUE"""),"The OpenAI Five benchmark happened last Sunday, where OpenAI Five won two matches against the human team, and lost the last one when their draft was adversarially selected. They are now planning to play at The International in a couple of weeks (dates to "&amp;"be finalized). That will be a harder challenge, since they will be playing against teams that play and train professionally, and so will be better at communication and coordination than the human team here.
Blitz (one of the human players) [said](https:/"&amp;"/www.reddit.com/r/MachineLearning/comments/9533g8/n_openai_five_benchmark_results/e3qrnbt/): ""The only noticeable difference in the mechanical skill aspect was the hex from the Lion, but even that was sorta irrelevant to the overall game flow. Got outdra"&amp;"fted and outmaneuvered pretty heavily, and from a strategy perspective it was just better then us. Even with the limitations in place it still 'felt' like a dota game, against a very good team. It made all the right plays I'd expect most top tier teams to"&amp;" make.""
On the technical side, OpenAI implemented a brute-force draft system. With a pool of 18 heroes, you get some combinatorial explosion, but there are still only ~11 million possible matchups. You can then do a simple tree search over which hero to"&amp;" draft, where at the leaves (when you have a full draft) you choose which leaf you want based on the win probability (which OpenAI Five already outputs). Seeing this in action, it seems to me like it's a vanilla minimax algorithm, probably with alpha-beta"&amp;" pruning so that they don't have to evaluate all ~159 billion nodes in the tree. (Or they could have done the full search once, hardcoded the action it comes up with for the first decision, and run the full search for every subsequent action, which would "&amp;"have under 10 billion nodes in the tree.)
Besides the win probabilities, there are other ways to get insight into what the model is ""thinking"" -- for example, by asking the model to predict where the hero will be in 6 seconds, or by predicting how many"&amp;" last hits / denies / kills / deaths it will have.
The model that played the benchmark has been training since June 9th. Of course, in that time they've changed many things about the system (if for no other reason than to remove many of the restrictions "&amp;"in the original post). This is not a thing that you can easily do -- typically you would change your model architecture, which means your old parameters don't map over to the new architecture. I've been pretty curious about how they handle this, but unfor"&amp;"tunately the blog post doesn't go into much detail, beyond saying that they can in fact handle these kinds of ""surgery"" issues.
They estimate that this particular model has used 190 petaflop/s-days of compute, putting it [just below AlphaZero](https://"&amp;"blog.openai.com/ai-and-compute/).")</f>
        <v>The OpenAI Five benchmark happened last Sunday, where OpenAI Five won two matches against the human team, and lost the last one when their draft was adversarially selected. They are now planning to play at The International in a couple of weeks (dates to be finalized). That will be a harder challenge, since they will be playing against teams that play and train professionally, and so will be better at communication and coordination than the human team here.
Blitz (one of the human players) [said](https://www.reddit.com/r/MachineLearning/comments/9533g8/n_openai_five_benchmark_results/e3qrnbt/): "The only noticeable difference in the mechanical skill aspect was the hex from the Lion, but even that was sorta irrelevant to the overall game flow. Got outdrafted and outmaneuvered pretty heavily, and from a strategy perspective it was just better then us. Even with the limitations in place it still 'felt' like a dota game, against a very good team. It made all the right plays I'd expect most top tier teams to make."
On the technical side, OpenAI implemented a brute-force draft system. With a pool of 18 heroes, you get some combinatorial explosion, but there are still only ~11 million possible matchups. You can then do a simple tree search over which hero to draft, where at the leaves (when you have a full draft) you choose which leaf you want based on the win probability (which OpenAI Five already outputs). Seeing this in action, it seems to me like it's a vanilla minimax algorithm, probably with alpha-beta pruning so that they don't have to evaluate all ~159 billion nodes in the tree. (Or they could have done the full search once, hardcoded the action it comes up with for the first decision, and run the full search for every subsequent action, which would have under 10 billion nodes in the tree.)
Besides the win probabilities, there are other ways to get insight into what the model is "thinking" -- for example, by asking the model to predict where the hero will be in 6 seconds, or by predicting how many last hits / denies / kills / deaths it will have.
The model that played the benchmark has been training since June 9th. Of course, in that time they've changed many things about the system (if for no other reason than to remove many of the restrictions in the original post). This is not a thing that you can easily do -- typically you would change your model architecture, which means your old parameters don't map over to the new architecture. I've been pretty curious about how they handle this, but unfortunately the blog post doesn't go into much detail, beyond saying that they can in fact handle these kinds of "surgery" issues.
They estimate that this particular model has used 190 petaflop/s-days of compute, putting it [just below AlphaZero](https://blog.openai.com/ai-and-compute/).</v>
      </c>
      <c r="K1604" t="str">
        <f>IFERROR(__xludf.DUMMYFUNCTION("""COMPUTED_VALUE"""),"I think this finally fell within my expectations, after two instances where I underestimated OpenAI Five. I expected that they would let the human team choose heroes in some limited way (~80%), that OpenAI Five would not be able to draft using just gradie"&amp;"nts via PPO (~60%), and (after having seen the first two games) that the human team would win after an adversarial draft (~70%). Of course, a draft did happen, but it was done by a tree search algorithm, not an algorithm learned using PPO. 
The games the"&amp;"mselves were pretty interesting (though I have not played Dota so take this with a grain of salt). It seemed to me like OpenAI Five had learned a particularly good strategy that plays to the advantages of computers, but hadn't learned some of the strategi"&amp;"es and ideas that human players use to think about Dota. Since it uses the same amount of computation for each decision, it makes good decisions on all timescales, including ones where something surprising has occurred where humans would need some time to"&amp;" react, and also to coordinate. For example, as soon as a human hero entered within range of the bots (just to look and retreat), all of the bots would immediately unleash a barrage of attacks, killing the hero -- a move that humans could not execute, bec"&amp;"ause of slower reaction times and worse communication and teamwork. Similarly, one common tactic in human gameplay is to teleport into a group of heroes and unleash an area-of-effect ability, but when they tried this against OpenAI Five, one of the bots h"&amp;"exed the hero as soon as he teleported in, rendering him unable to cast the spell. (That felt like the decisive moment in the first game.) On the other hand, there were some clear issues with the bots. At one point, two OpenAI bots were chasing Blitz, and"&amp;" Blitz used an ability that made him invisible while standing still. Any human player would have spammed area attacks, but the bots simply became confused and eventually left. Similarly, I believe (if I understood the commentary correctly) that a bot once"&amp;" used an ability multiple times, wasting mana, even though all uses after the first had no additional effect.
Other articles would have you believe that the games weren't even close, and if you look at the kill counts, that would seem accurate. I don't t"&amp;"hink that's actually right -- from what I understand, kills aren't as important as experience and gold, and you could see this in the human gameplay. OpenAI Five would often group most of its heroes together to push forward, which means they get less expe"&amp;"rience and gold. The human team continued to keep their heroes spread out over the map to collect resources -- and even though OpenAI Five got way more kills, the overall net worth of the two teams' heroes remained about equal for most of the early game. "&amp;"The big difference seemed to be that when the inevitable big confrontation between the two teams happened, OpenAI Five always came out on top. I'm not sure how, my Dota knowledge isn't good enough for that. Based on Blitz's comment, my guess is that OpenA"&amp;"I Five is particularly good at fights between heroes, and the draft reflects that. But I'd still guess that if you had pro human players who ceded control to OpenAI Five whenever a fight was about to happen, they would beat OpenAI Five (~70%). I used to p"&amp;"ut 80% on that prediction, but Blitz's comment updated me away from that.
One interesting thing was that the win probability seemed to be very strongly influenced by the draft, which in hindsight seems obvious. Dota is a really complicated game that is c"&amp;"onstantly tweaked to keep it balanced for humans, and even then the draft is very important. When you now introduce a new player (OpenAI Five) with very different capabilities (such as very good decision making under time pressure) and change the game con"&amp;"ditions (such as a different pool of heroes), you should expect the game to become very imbalanced, with some teams far outshining others. And in fact we did see that Lion (the hero with the hexing ability) was remarkably useful (against humans, at least)"&amp;".")</f>
        <v>I think this finally fell within my expectations, after two instances where I underestimated OpenAI Five. I expected that they would let the human team choose heroes in some limited way (~80%), that OpenAI Five would not be able to draft using just gradients via PPO (~60%), and (after having seen the first two games) that the human team would win after an adversarial draft (~70%). Of course, a draft did happen, but it was done by a tree search algorithm, not an algorithm learned using PPO. 
The games themselves were pretty interesting (though I have not played Dota so take this with a grain of salt). It seemed to me like OpenAI Five had learned a particularly good strategy that plays to the advantages of computers, but hadn't learned some of the strategies and ideas that human players use to think about Dota. Since it uses the same amount of computation for each decision, it makes good decisions on all timescales, including ones where something surprising has occurred where humans would need some time to react, and also to coordinate. For example, as soon as a human hero entered within range of the bots (just to look and retreat), all of the bots would immediately unleash a barrage of attacks, killing the hero -- a move that humans could not execute, because of slower reaction times and worse communication and teamwork. Similarly, one common tactic in human gameplay is to teleport into a group of heroes and unleash an area-of-effect ability, but when they tried this against OpenAI Five, one of the bots hexed the hero as soon as he teleported in, rendering him unable to cast the spell. (That felt like the decisive moment in the first game.) On the other hand, there were some clear issues with the bots. At one point, two OpenAI bots were chasing Blitz, and Blitz used an ability that made him invisible while standing still. Any human player would have spammed area attacks, but the bots simply became confused and eventually left. Similarly, I believe (if I understood the commentary correctly) that a bot once used an ability multiple times, wasting mana, even though all uses after the first had no additional effect.
Other articles would have you believe that the games weren't even close, and if you look at the kill counts, that would seem accurate. I don't think that's actually right -- from what I understand, kills aren't as important as experience and gold, and you could see this in the human gameplay. OpenAI Five would often group most of its heroes together to push forward, which means they get less experience and gold. The human team continued to keep their heroes spread out over the map to collect resources -- and even though OpenAI Five got way more kills, the overall net worth of the two teams' heroes remained about equal for most of the early game. The big difference seemed to be that when the inevitable big confrontation between the two teams happened, OpenAI Five always came out on top. I'm not sure how, my Dota knowledge isn't good enough for that. Based on Blitz's comment, my guess is that OpenAI Five is particularly good at fights between heroes, and the draft reflects that. But I'd still guess that if you had pro human players who ceded control to OpenAI Five whenever a fight was about to happen, they would beat OpenAI Five (~70%). I used to put 80% on that prediction, but Blitz's comment updated me away from that.
One interesting thing was that the win probability seemed to be very strongly influenced by the draft, which in hindsight seems obvious. Dota is a really complicated game that is constantly tweaked to keep it balanced for humans, and even then the draft is very important. When you now introduce a new player (OpenAI Five) with very different capabilities (such as very good decision making under time pressure) and change the game conditions (such as a different pool of heroes), you should expect the game to become very imbalanced, with some teams far outshining others. And in fact we did see that Lion (the hero with the hexing ability) was remarkably useful (against humans, at least).</v>
      </c>
    </row>
    <row r="1605">
      <c r="A1605" t="str">
        <f>IFERROR(__xludf.DUMMYFUNCTION("""COMPUTED_VALUE"""),"Reinforcement learning")</f>
        <v>Reinforcement learning</v>
      </c>
      <c r="B1605" t="str">
        <f>IFERROR(__xludf.DUMMYFUNCTION("""COMPUTED_VALUE"""),"Highlight")</f>
        <v>Highlight</v>
      </c>
      <c r="C1605" s="3" t="str">
        <f>IFERROR(__xludf.DUMMYFUNCTION("""COMPUTED_VALUE"""),"Variational Option Discovery Algorithms")</f>
        <v>Variational Option Discovery Algorithms</v>
      </c>
      <c r="D1605" t="str">
        <f>IFERROR(__xludf.DUMMYFUNCTION("""COMPUTED_VALUE"""),"Joshua Achiam, Harrison Edwards, Dario Amodei, Pieter Abbeel")</f>
        <v>Joshua Achiam, Harrison Edwards, Dario Amodei, Pieter Abbeel</v>
      </c>
      <c r="E1605" t="str">
        <f>IFERROR(__xludf.DUMMYFUNCTION("""COMPUTED_VALUE"""),"IEEE Transactions on Games")</f>
        <v>IEEE Transactions on Games</v>
      </c>
      <c r="F1605">
        <f>IFERROR(__xludf.DUMMYFUNCTION("""COMPUTED_VALUE"""),2018.0)</f>
        <v>2018</v>
      </c>
      <c r="H1605" s="3" t="str">
        <f>IFERROR(__xludf.DUMMYFUNCTION("""COMPUTED_VALUE"""),"AN #18")</f>
        <v>AN #18</v>
      </c>
      <c r="I1605" t="str">
        <f>IFERROR(__xludf.DUMMYFUNCTION("""COMPUTED_VALUE"""),"Rohin")</f>
        <v>Rohin</v>
      </c>
      <c r="J1605" t="str">
        <f>IFERROR(__xludf.DUMMYFUNCTION("""COMPUTED_VALUE"""),"We can hope to do hierarchical reinforcement learning by first discovering several useful simple policies (or ""options"") by just acting in the environment without any reward function, and then using these options as primitive actions in a higher level p"&amp;"olicy that learns to do some task (using a reward function). How could we learn the options without a reward function though? Intuitively, we would like to learn behaviors that are different from each other. One way to frame this would be to think of this"&amp;" as an encoder-decoder problem. Suppose we want to learn K options. Then, we can give the encoder a number in the range [1, K], have it ""encode"" the number into a trajectory τ (that is, our encoder is a policy), and then have a decoder take τ and recove"&amp;"r the original number. We train the encoder/policy and decoder jointly, optimizing them to successfully recover the original number (called a _context_). Intuitively, the encoder/policy wants to have very different behaviors for each option, so that it ea"&amp;"sy for decoder to figure out the context from the trajectory τ. However, a simple solution would be for the encoder/policy to just take a particular series of actions for each context and then stop, and the decoder learns an exact mapping from final state"&amp;"s to contexts. To avoid this, we can decrease the capacity of the decoder (i.e. don't give it too many layers), and we also optimize for the _entropy_ of the encoder/policy, which encourages the encoder/policy to be more stochastic, and so it is more like"&amp;"ly to learn overall behaviors that can still have some stochasticity, while still allowing the decoder to decode them. It turns out that this optimization problem has a one-to-one correspondence with variational autoencoders, motivating the name ""variati"&amp;"onal option discovery"". To stabilize training, they start with a small K, and increase K whenever the decoder becomes powerful enough. They evaluate in Gym environments, a simulated robotic hand, and a new ""Toddler"" environment. They find that the sche"&amp;"me works well (in terms of maximizing the objective) in all environments, but that the learned behaviors no longer look natural in the Toddler environment (which is the most complex). They also show that the learned policies can be used for hierarchical R"&amp;"L in the AntMaze problem.
This is very similar to the recent [Diversity Is All You Need](https://arxiv.org/abs/1802.06070). DIAYN aims to decode the context from _every state_ along a trajectory, which incentivizes it to find behaviors of the form ""go t"&amp;"o a goal state"", whereas VALOR (this work) decodes the context from the entire trajectory (without actions, which would make the decoder's job too easy), which allows it to learn behaviors with motion, such as ""go around in a circle"".")</f>
        <v>We can hope to do hierarchical reinforcement learning by first discovering several useful simple policies (or "options") by just acting in the environment without any reward function, and then using these options as primitive actions in a higher level policy that learns to do some task (using a reward function). How could we learn the options without a reward function though? Intuitively, we would like to learn behaviors that are different from each other. One way to frame this would be to think of this as an encoder-decoder problem. Suppose we want to learn K options. Then, we can give the encoder a number in the range [1, K], have it "encode" the number into a trajectory τ (that is, our encoder is a policy), and then have a decoder take τ and recover the original number. We train the encoder/policy and decoder jointly, optimizing them to successfully recover the original number (called a _context_). Intuitively, the encoder/policy wants to have very different behaviors for each option, so that it easy for decoder to figure out the context from the trajectory τ. However, a simple solution would be for the encoder/policy to just take a particular series of actions for each context and then stop, and the decoder learns an exact mapping from final states to contexts. To avoid this, we can decrease the capacity of the decoder (i.e. don't give it too many layers), and we also optimize for the _entropy_ of the encoder/policy, which encourages the encoder/policy to be more stochastic, and so it is more likely to learn overall behaviors that can still have some stochasticity, while still allowing the decoder to decode them. It turns out that this optimization problem has a one-to-one correspondence with variational autoencoders, motivating the name "variational option discovery". To stabilize training, they start with a small K, and increase K whenever the decoder becomes powerful enough. They evaluate in Gym environments, a simulated robotic hand, and a new "Toddler" environment. They find that the scheme works well (in terms of maximizing the objective) in all environments, but that the learned behaviors no longer look natural in the Toddler environment (which is the most complex). They also show that the learned policies can be used for hierarchical RL in the AntMaze problem.
This is very similar to the recent [Diversity Is All You Need](https://arxiv.org/abs/1802.06070). DIAYN aims to decode the context from _every state_ along a trajectory, which incentivizes it to find behaviors of the form "go to a goal state", whereas VALOR (this work) decodes the context from the entire trajectory (without actions, which would make the decoder's job too easy), which allows it to learn behaviors with motion, such as "go around in a circle".</v>
      </c>
      <c r="K1605" t="str">
        <f>IFERROR(__xludf.DUMMYFUNCTION("""COMPUTED_VALUE"""),"It's really refreshing to read a paper with a negative result about their own method (specifically, that the learned behaviors on Toddler do not look natural). It makes me trust the rest of their paper so much more. (A very gameable instinct, I know.) Whi"&amp;"le they were able to find a fairly diverse set of options, and could interpolate between them, their experiments found that using this for hierarchical RL was about as good as training hierarchical RL from scratch. I guess I'm just saying things they've a"&amp;"lready said -- I think they've done such a great job writing this paper that they've already told me what my opinion about the topic should be, so there's not much left for me to say.")</f>
        <v>It's really refreshing to read a paper with a negative result about their own method (specifically, that the learned behaviors on Toddler do not look natural). It makes me trust the rest of their paper so much more. (A very gameable instinct, I know.) While they were able to find a fairly diverse set of options, and could interpolate between them, their experiments found that using this for hierarchical RL was about as good as training hierarchical RL from scratch. I guess I'm just saying things they've already said -- I think they've done such a great job writing this paper that they've already told me what my opinion about the topic should be, so there's not much left for me to say.</v>
      </c>
    </row>
    <row r="1606">
      <c r="A1606" t="str">
        <f>IFERROR(__xludf.DUMMYFUNCTION("""COMPUTED_VALUE"""),"Reinforcement learning")</f>
        <v>Reinforcement learning</v>
      </c>
      <c r="B1606" t="str">
        <f>IFERROR(__xludf.DUMMYFUNCTION("""COMPUTED_VALUE"""),"Highlight")</f>
        <v>Highlight</v>
      </c>
      <c r="C1606" s="3" t="str">
        <f>IFERROR(__xludf.DUMMYFUNCTION("""COMPUTED_VALUE"""),"Learning Dexterity")</f>
        <v>Learning Dexterity</v>
      </c>
      <c r="D1606" t="str">
        <f>IFERROR(__xludf.DUMMYFUNCTION("""COMPUTED_VALUE"""),"Many people at OpenAI")</f>
        <v>Many people at OpenAI</v>
      </c>
      <c r="E1606" t="str">
        <f>IFERROR(__xludf.DUMMYFUNCTION("""COMPUTED_VALUE"""),"OpenAI Blog")</f>
        <v>OpenAI Blog</v>
      </c>
      <c r="F1606">
        <f>IFERROR(__xludf.DUMMYFUNCTION("""COMPUTED_VALUE"""),2018.0)</f>
        <v>2018</v>
      </c>
      <c r="H1606" s="3" t="str">
        <f>IFERROR(__xludf.DUMMYFUNCTION("""COMPUTED_VALUE"""),"AN #18")</f>
        <v>AN #18</v>
      </c>
      <c r="I1606" t="str">
        <f>IFERROR(__xludf.DUMMYFUNCTION("""COMPUTED_VALUE"""),"Rohin")</f>
        <v>Rohin</v>
      </c>
      <c r="J1606" t="str">
        <f>IFERROR(__xludf.DUMMYFUNCTION("""COMPUTED_VALUE"""),"Most current experiments with robotics work on relatively small state spaces (think 7 degrees of freedom, each a real number) and are trained in simulation. If we could throw a lot of compute at the problem, could we do significantly better? Yes! Using th"&amp;"e same general approach as with [OpenAI Five](https://blog.openai.com/openai-five/), OpenAI has built a system called Dactyl, which allows a physical real-world dexterous hand to manipulate a block. It may not seem as impressive as the videos of humanoids"&amp;" running through obstacle courses, but this is way harder than your typical Mujoco environment, especially since they aim to get it working on a real robot. As with OpenAI Five, they only need a reward function (I believe not even a shaped reward function"&amp;" in this case), a simulator, and a good way to explore. In this setting though, ""exploration"" is actually domain randomization, where you randomly set parameters that you are uncertain about (such as the coefficient of friction between two surfaces), so"&amp;" that the learned policy is robust to distribution shift from the simulator to the real world. (OpenAI Five also used domain randomization, but in that case it was not because we were uncertain about the parameters in the simulator, but because the policy"&amp;" was too specialized to the kinds of characters and heroes it was seeing, and randomizing those properties exposed it to a wider variety of scenarios so it had to learn more general policies.) They use 6144 CPU cores and 8 GPUs, which is _much_ less than "&amp;"for OpenAI Five, but _much_ more than for a typical Mujoco environment.
They do separate the problem into two pieces -- first, they learn how to map from camera pictures to a 3D pose (using convolutional nets), and second, they use RL to choose actions b"&amp;"ased on the 3D pose. They can also get better estimates of the 3D pose using motion tracking. They find that the CNN is almost as good as motion tracking, and that the domain randomization is crucial for getting the system to actually work.
They also hav"&amp;"e a couple of sections on surprising results and things that didn't work. Probably the most interesting part was that they didn't need to use the tactile sensors to get these results. They couldn't get these sensors in simulation, so they just did without"&amp;" and it seems to have worked fine. It also turns out that the robot's reaction time wasn't too important -- there wasn't a big difference in changing from 80ms reaction time to 40ms reaction time; in fact, this just increased the required training time wi"&amp;"thout much benefit.
Probably the most interesting part of the post is the last paragraph (italics indicates my notes): ""This project completes a full cycle of AI development that OpenAI has been pursuing for the past two years: we’ve developed a new lea"&amp;"rning algorithm _(PPO)_, scaled it massively to solve hard simulated tasks _(OpenAI Five)_, and then applied the resulting system to the real world _(this post)_. Repeating this cycle at increasing scale is the primary route we are pursuing to increase th"&amp;"e capabilities of today’s AI systems towards safe artificial general intelligence.""")</f>
        <v>Most current experiments with robotics work on relatively small state spaces (think 7 degrees of freedom, each a real number) and are trained in simulation. If we could throw a lot of compute at the problem, could we do significantly better? Yes! Using the same general approach as with [OpenAI Five](https://blog.openai.com/openai-five/), OpenAI has built a system called Dactyl, which allows a physical real-world dexterous hand to manipulate a block. It may not seem as impressive as the videos of humanoids running through obstacle courses, but this is way harder than your typical Mujoco environment, especially since they aim to get it working on a real robot. As with OpenAI Five, they only need a reward function (I believe not even a shaped reward function in this case), a simulator, and a good way to explore. In this setting though, "exploration" is actually domain randomization, where you randomly set parameters that you are uncertain about (such as the coefficient of friction between two surfaces), so that the learned policy is robust to distribution shift from the simulator to the real world. (OpenAI Five also used domain randomization, but in that case it was not because we were uncertain about the parameters in the simulator, but because the policy was too specialized to the kinds of characters and heroes it was seeing, and randomizing those properties exposed it to a wider variety of scenarios so it had to learn more general policies.) They use 6144 CPU cores and 8 GPUs, which is _much_ less than for OpenAI Five, but _much_ more than for a typical Mujoco environment.
They do separate the problem into two pieces -- first, they learn how to map from camera pictures to a 3D pose (using convolutional nets), and second, they use RL to choose actions based on the 3D pose. They can also get better estimates of the 3D pose using motion tracking. They find that the CNN is almost as good as motion tracking, and that the domain randomization is crucial for getting the system to actually work.
They also have a couple of sections on surprising results and things that didn't work. Probably the most interesting part was that they didn't need to use the tactile sensors to get these results. They couldn't get these sensors in simulation, so they just did without and it seems to have worked fine. It also turns out that the robot's reaction time wasn't too important -- there wasn't a big difference in changing from 80ms reaction time to 40ms reaction time; in fact, this just increased the required training time without much benefit.
Probably the most interesting part of the post is the last paragraph (italics indicates my notes): "This project completes a full cycle of AI development that OpenAI has been pursuing for the past two years: we’ve developed a new learning algorithm _(PPO)_, scaled it massively to solve hard simulated tasks _(OpenAI Five)_, and then applied the resulting system to the real world _(this post)_. Repeating this cycle at increasing scale is the primary route we are pursuing to increase the capabilities of today’s AI systems towards safe artificial general intelligence."</v>
      </c>
      <c r="K1606" t="str">
        <f>IFERROR(__xludf.DUMMYFUNCTION("""COMPUTED_VALUE"""),"This is pretty exciting -- transferring a policy from simulation to the real world is notoriously hard, but it turns out that as long as you use domain randomization (and 30x the compute) it actually is possible to transfer the policy. I wish they had com"&amp;"pared the success probability in simulation to the success probability in the real world -- right now I don't know how well the policy transferred. (That is, I want to evaluate how well domain randomization solved the distribution shift problem.) Lots of "&amp;"other exciting things too, but they are pretty similar to the exciting things about OpenAI Five, such as the ability to learn higher level strategies like finger pivoting and sliding (analogously, fighting over mid or 5-man push).")</f>
        <v>This is pretty exciting -- transferring a policy from simulation to the real world is notoriously hard, but it turns out that as long as you use domain randomization (and 30x the compute) it actually is possible to transfer the policy. I wish they had compared the success probability in simulation to the success probability in the real world -- right now I don't know how well the policy transferred. (That is, I want to evaluate how well domain randomization solved the distribution shift problem.) Lots of other exciting things too, but they are pretty similar to the exciting things about OpenAI Five, such as the ability to learn higher level strategies like finger pivoting and sliding (analogously, fighting over mid or 5-man push).</v>
      </c>
    </row>
    <row r="1607">
      <c r="A1607" t="str">
        <f>IFERROR(__xludf.DUMMYFUNCTION("""COMPUTED_VALUE"""),"Reinforcement learning")</f>
        <v>Reinforcement learning</v>
      </c>
      <c r="B1607" t="str">
        <f>IFERROR(__xludf.DUMMYFUNCTION("""COMPUTED_VALUE"""),"Highlight")</f>
        <v>Highlight</v>
      </c>
      <c r="C1607" s="3" t="str">
        <f>IFERROR(__xludf.DUMMYFUNCTION("""COMPUTED_VALUE"""),"Human-Level Reinforcement Learning through Theory-Based Modeling, Exploration, and Planning")</f>
        <v>Human-Level Reinforcement Learning through Theory-Based Modeling, Exploration, and Planning</v>
      </c>
      <c r="D1607" t="str">
        <f>IFERROR(__xludf.DUMMYFUNCTION("""COMPUTED_VALUE"""),"Pedro A. Tsividis, Joao Loula, Jake Burga, Nathan Foss, Andres Campero, Thomas Pouncy, Samuel J. Gershman, Joshua B. Tenenbaum")</f>
        <v>Pedro A. Tsividis, Joao Loula, Jake Burga, Nathan Foss, Andres Campero, Thomas Pouncy, Samuel J. Gershman, Joshua B. Tenenbaum</v>
      </c>
      <c r="E1607" t="str">
        <f>IFERROR(__xludf.DUMMYFUNCTION("""COMPUTED_VALUE"""),"arXiv")</f>
        <v>arXiv</v>
      </c>
      <c r="F1607">
        <f>IFERROR(__xludf.DUMMYFUNCTION("""COMPUTED_VALUE"""),2021.0)</f>
        <v>2021</v>
      </c>
      <c r="H1607" s="3" t="str">
        <f>IFERROR(__xludf.DUMMYFUNCTION("""COMPUTED_VALUE"""),"AN #160")</f>
        <v>AN #160</v>
      </c>
      <c r="I1607" t="str">
        <f>IFERROR(__xludf.DUMMYFUNCTION("""COMPUTED_VALUE"""),"Rohin")</f>
        <v>Rohin</v>
      </c>
      <c r="J1607" t="str">
        <f>IFERROR(__xludf.DUMMYFUNCTION("""COMPUTED_VALUE"""),"Deep reinforcement learning algorithms require many more samples to learn a new game than a human would need: humans have rich priors and theories of how games work that allow them to perform directed exploration and quickly learn the rules of the game. T"&amp;"his paper hypothesizes that by providing agents with this rich prior knowledge, we can create agents that learn to play new games as quickly as humans do. The two main ingredients are (1) allowing agents to reason directly over objects, agents, physics an"&amp;"d goals (rather than pixels) and (2) using algorithms designed to exploit this prior knowledge. In particular, given this well structured space, they propose EMPA, which uses three main algorithms to exploit the prior knowledge:
**Model learning:** The a"&amp;"gent maintains a distribution over possible game mechanics and updates it using Bayes Rule as it takes more actions. This allows it to quickly learn that certain objects tend to kill you, whereas deep RL may require thousands of interactions in order to d"&amp;"o the same.
**Exploration:** Exploration is important to the extent that it allows the agent to reduce its uncertainty over the game mechanics. Since we have a distribution over the game mechanics, we could explore in a way that best reduces the uncertai"&amp;"nty in that distribution. But in fact our prior knowledge allows us to do something simpler: we just set “exploration subgoals” that seek to cause a collision between two objects (one of which could be the agent’s avatar).
**Planning:** The planning modu"&amp;"le chooses actions to take in order to achieve some goal or subgoal (note that the subgoals can be set by the exploration algorithm). It uses search algorithms to find such plans.
They evaluate the agent on a variety of games similar to those in Atari. ("&amp;"I assume they could not evaluate on Atari because they can’t easily extract the required prior knowledge from the Atari game engine.) They find that the agent learns to play the games about as fast as humans do, which in turn is much faster than deep RL a"&amp;"lgorithms. In addition, the gameplay looks more human-like: for example, both EMPA and humans don’t collide with walls very much, whereas deep RL algorithms collide a lot.")</f>
        <v>Deep reinforcement learning algorithms require many more samples to learn a new game than a human would need: humans have rich priors and theories of how games work that allow them to perform directed exploration and quickly learn the rules of the game. This paper hypothesizes that by providing agents with this rich prior knowledge, we can create agents that learn to play new games as quickly as humans do. The two main ingredients are (1) allowing agents to reason directly over objects, agents, physics and goals (rather than pixels) and (2) using algorithms designed to exploit this prior knowledge. In particular, given this well structured space, they propose EMPA, which uses three main algorithms to exploit the prior knowledge:
**Model learning:** The agent maintains a distribution over possible game mechanics and updates it using Bayes Rule as it takes more actions. This allows it to quickly learn that certain objects tend to kill you, whereas deep RL may require thousands of interactions in order to do the same.
**Exploration:** Exploration is important to the extent that it allows the agent to reduce its uncertainty over the game mechanics. Since we have a distribution over the game mechanics, we could explore in a way that best reduces the uncertainty in that distribution. But in fact our prior knowledge allows us to do something simpler: we just set “exploration subgoals” that seek to cause a collision between two objects (one of which could be the agent’s avatar).
**Planning:** The planning module chooses actions to take in order to achieve some goal or subgoal (note that the subgoals can be set by the exploration algorithm). It uses search algorithms to find such plans.
They evaluate the agent on a variety of games similar to those in Atari. (I assume they could not evaluate on Atari because they can’t easily extract the required prior knowledge from the Atari game engine.) They find that the agent learns to play the games about as fast as humans do, which in turn is much faster than deep RL algorithms. In addition, the gameplay looks more human-like: for example, both EMPA and humans don’t collide with walls very much, whereas deep RL algorithms collide a lot.</v>
      </c>
      <c r="K1607" t="str">
        <f>IFERROR(__xludf.DUMMYFUNCTION("""COMPUTED_VALUE"""),"This seems like a great example of the approach suggested in the previous paper.")</f>
        <v>This seems like a great example of the approach suggested in the previous paper.</v>
      </c>
    </row>
    <row r="1608">
      <c r="A1608" t="str">
        <f>IFERROR(__xludf.DUMMYFUNCTION("""COMPUTED_VALUE"""),"Reinforcement learning")</f>
        <v>Reinforcement learning</v>
      </c>
      <c r="B1608" t="str">
        <f>IFERROR(__xludf.DUMMYFUNCTION("""COMPUTED_VALUE"""),"Highlight")</f>
        <v>Highlight</v>
      </c>
      <c r="C1608" s="3" t="str">
        <f>IFERROR(__xludf.DUMMYFUNCTION("""COMPUTED_VALUE"""),"Capture the Flag: the emergence of complex cooperative agents")</f>
        <v>Capture the Flag: the emergence of complex cooperative agents</v>
      </c>
      <c r="D1608" t="str">
        <f>IFERROR(__xludf.DUMMYFUNCTION("""COMPUTED_VALUE"""),"Max Jaderberg, Wojciech M. Czarnecki, Iain Dunning, Luke Harris, and Thore Graepel")</f>
        <v>Max Jaderberg, Wojciech M. Czarnecki, Iain Dunning, Luke Harris, and Thore Graepel</v>
      </c>
      <c r="E1608" t="str">
        <f>IFERROR(__xludf.DUMMYFUNCTION("""COMPUTED_VALUE"""),"DeepMind Blog")</f>
        <v>DeepMind Blog</v>
      </c>
      <c r="F1608">
        <f>IFERROR(__xludf.DUMMYFUNCTION("""COMPUTED_VALUE"""),2018.0)</f>
        <v>2018</v>
      </c>
      <c r="H1608" s="3" t="str">
        <f>IFERROR(__xludf.DUMMYFUNCTION("""COMPUTED_VALUE"""),"AN #14")</f>
        <v>AN #14</v>
      </c>
      <c r="I1608" t="str">
        <f>IFERROR(__xludf.DUMMYFUNCTION("""COMPUTED_VALUE"""),"Rohin")</f>
        <v>Rohin</v>
      </c>
      <c r="J1608" t="str">
        <f>IFERROR(__xludf.DUMMYFUNCTION("""COMPUTED_VALUE"""),"DeepMind has trained FTW (For The Win) agents that can play Quake III Arena Capture The Flag from raw pixels, given _only_ the signal of whether they win or not. They identify three key ideas that enable this -- population based training (instead of self "&amp;"play), learning an internal reward function, and operating at two timescales (enabling better use of memory). Their ablation studies show that all of these are necessary, and in particular it even outperforms population based training with manual reward s"&amp;"haping. The trained agents can cooperate and compete with a wide range of agents (thanks to the population based training), including humans.
But why are these three techniques so useful? This isn't as clear, but I can speculate. Population based trainin"&amp;"g works well because the agents are trained against a diversity of collaborators and opponents, which can fix the issue of instability that afflicts self-play. Operating at two timescales gives the agent a better inductive bias. They say that it enables t"&amp;"he agent to use memory more effectively, but my story is that it lets it do something more hierarchical, where the slow RNN makes ""plans"", while the fast RNN executes on those plans. Learning an internal reward function flummoxed me for a while, it real"&amp;"ly seemed like that should not outperform manual reward shaping, but then I found out that the internal reward function is computed from the game points screen, not from the full trajectory. This gives it a really strong inductive bias (since the points s"&amp;"creen provides really good features for defining reward functions) that allows it to quickly learn an internal reward function that's more effective than manual reward shaping. It's still somewhat surprising, since it's still learning this reward function"&amp;" from the pixels of the points screen (I assume), but more believable.")</f>
        <v>DeepMind has trained FTW (For The Win) agents that can play Quake III Arena Capture The Flag from raw pixels, given _only_ the signal of whether they win or not. They identify three key ideas that enable this -- population based training (instead of self play), learning an internal reward function, and operating at two timescales (enabling better use of memory). Their ablation studies show that all of these are necessary, and in particular it even outperforms population based training with manual reward shaping. The trained agents can cooperate and compete with a wide range of agents (thanks to the population based training), including humans.
But why are these three techniques so useful? This isn't as clear, but I can speculate. Population based training works well because the agents are trained against a diversity of collaborators and opponents, which can fix the issue of instability that afflicts self-play. Operating at two timescales gives the agent a better inductive bias. They say that it enables the agent to use memory more effectively, but my story is that it lets it do something more hierarchical, where the slow RNN makes "plans", while the fast RNN executes on those plans. Learning an internal reward function flummoxed me for a while, it really seemed like that should not outperform manual reward shaping, but then I found out that the internal reward function is computed from the game points screen, not from the full trajectory. This gives it a really strong inductive bias (since the points screen provides really good features for defining reward functions) that allows it to quickly learn an internal reward function that's more effective than manual reward shaping. It's still somewhat surprising, since it's still learning this reward function from the pixels of the points screen (I assume), but more believable.</v>
      </c>
      <c r="K1608" t="str">
        <f>IFERROR(__xludf.DUMMYFUNCTION("""COMPUTED_VALUE"""),"This is quite impressive, since they are learning from the binary win-loss reward signal. I'm surprised that the agents generalized well enough to play alongside humans -- I would have expected that to cause a substantial distributional shift preventing g"&amp;"ood generalization. They only had 30 agents in their population, so it seems unlikely a priori that this would induce a distribution that included humans. Perhaps Quake III is simple enough strategically that there aren't very many viable strategies, and "&amp;"most strategies are robust to having slightly worse allies? That doesn't seem right though.
DeepMind did a _lot_ of different things to analyze what the agents learned and how they are different from humans -- check out the [paper](https://arxiv.org/pdf/"&amp;"1807.01281.pdf) for details. For example, they showed that the agents are much better at tagging (shooting) at short ranges, while humans are much better at long ranges.")</f>
        <v>This is quite impressive, since they are learning from the binary win-loss reward signal. I'm surprised that the agents generalized well enough to play alongside humans -- I would have expected that to cause a substantial distributional shift preventing good generalization. They only had 30 agents in their population, so it seems unlikely a priori that this would induce a distribution that included humans. Perhaps Quake III is simple enough strategically that there aren't very many viable strategies, and most strategies are robust to having slightly worse allies? That doesn't seem right though.
DeepMind did a _lot_ of different things to analyze what the agents learned and how they are different from humans -- check out the [paper](https://arxiv.org/pdf/1807.01281.pdf) for details. For example, they showed that the agents are much better at tagging (shooting) at short ranges, while humans are much better at long ranges.</v>
      </c>
    </row>
    <row r="1609">
      <c r="A1609" t="str">
        <f>IFERROR(__xludf.DUMMYFUNCTION("""COMPUTED_VALUE"""),"Reinforcement learning")</f>
        <v>Reinforcement learning</v>
      </c>
      <c r="B1609" t="str">
        <f>IFERROR(__xludf.DUMMYFUNCTION("""COMPUTED_VALUE"""),"Highlight")</f>
        <v>Highlight</v>
      </c>
      <c r="C1609" s="3" t="str">
        <f>IFERROR(__xludf.DUMMYFUNCTION("""COMPUTED_VALUE"""),"OpenAI Five")</f>
        <v>OpenAI Five</v>
      </c>
      <c r="D1609" t="str">
        <f>IFERROR(__xludf.DUMMYFUNCTION("""COMPUTED_VALUE"""),"Many people at OpenAI")</f>
        <v>Many people at OpenAI</v>
      </c>
      <c r="E1609" t="str">
        <f>IFERROR(__xludf.DUMMYFUNCTION("""COMPUTED_VALUE"""),"OpenAI Blog")</f>
        <v>OpenAI Blog</v>
      </c>
      <c r="F1609">
        <f>IFERROR(__xludf.DUMMYFUNCTION("""COMPUTED_VALUE"""),2018.0)</f>
        <v>2018</v>
      </c>
      <c r="H1609" s="3" t="str">
        <f>IFERROR(__xludf.DUMMYFUNCTION("""COMPUTED_VALUE"""),"AN #13")</f>
        <v>AN #13</v>
      </c>
      <c r="I1609" t="str">
        <f>IFERROR(__xludf.DUMMYFUNCTION("""COMPUTED_VALUE"""),"Rohin")</f>
        <v>Rohin</v>
      </c>
      <c r="J1609" t="str">
        <f>IFERROR(__xludf.DUMMYFUNCTION("""COMPUTED_VALUE"""),"OpenAI has trained a team of five neural networks to play a particular set of Dota heroes in a mirror match (playing against the same set of heroes) with a few restrictions, and have started to beat amateur human players. They are aiming to beat a team of"&amp;" top professionals at The International in August, with the same set of five heroes, but without any other restrictions. Salient points:
- The method is remarkably simple -- it's a scaled up version of PPO with training data coming from self-play, with re"&amp;"ward shaping and some heuristics for exploration, where each agent is implemented by an LSTM.
- There's no human data apart from the reward shaping and exploration heuristics.
- Contrary to most expectations, they didn't need anything fundamentally new in"&amp;" order to get long-term strategic planning. I was particularly surprised by this. Some interesting thoughts from OpenAI researchers in [this thread](https://news.ycombinator.com/item?id=17392700) -- in particular, assuming good exploration, the variance o"&amp;"f the gradient should scale linearly with the duration, and so you might expect you only need linearly more samples to counteract this.
- They used 256 dedicated GPUs and 128,000 preemptible CPUs. A [Hacker News comment](https://news.ycombinator.com/item?"&amp;"id=17394150) estimates the cost at $2500 per hour, which would put the likely total cost in the millions of dollars.
- They simulate 900 years of Dota every day, which is a ratio of ~330,000:1, suggesting that each CPU is running Dota ~2.6x faster than re"&amp;"al time. In reality, it's probably running many times faster than that, but preemptions, communication costs, synchronization etc. all lead to inefficiency.
- There was no explicit communication mechanism between agents, but they all get to observe the fu"&amp;"ll Dota 2 state (_not_ pixels) that any of the agents could observe, so communication is not really necessary.
- A version of the code with a serious bug was still able to train to beat humans. Not encouraging for safety.
- Alex Irpan covers some of these"&amp;" points in more depth in [Quick Opinions on OpenAI Five](https://www.alexirpan.com/2018/06/27/dota-2-five.html).
- Gwern [comments](https://www.reddit.com/r/reinforcementlearning/comments/8tqzvq/openai_dota_update_ppo_lstm_reaches_amateurlevel/) as well.")</f>
        <v>OpenAI has trained a team of five neural networks to play a particular set of Dota heroes in a mirror match (playing against the same set of heroes) with a few restrictions, and have started to beat amateur human players. They are aiming to beat a team of top professionals at The International in August, with the same set of five heroes, but without any other restrictions. Salient points:
- The method is remarkably simple -- it's a scaled up version of PPO with training data coming from self-play, with reward shaping and some heuristics for exploration, where each agent is implemented by an LSTM.
- There's no human data apart from the reward shaping and exploration heuristics.
- Contrary to most expectations, they didn't need anything fundamentally new in order to get long-term strategic planning. I was particularly surprised by this. Some interesting thoughts from OpenAI researchers in [this thread](https://news.ycombinator.com/item?id=17392700) -- in particular, assuming good exploration, the variance of the gradient should scale linearly with the duration, and so you might expect you only need linearly more samples to counteract this.
- They used 256 dedicated GPUs and 128,000 preemptible CPUs. A [Hacker News comment](https://news.ycombinator.com/item?id=17394150) estimates the cost at $2500 per hour, which would put the likely total cost in the millions of dollars.
- They simulate 900 years of Dota every day, which is a ratio of ~330,000:1, suggesting that each CPU is running Dota ~2.6x faster than real time. In reality, it's probably running many times faster than that, but preemptions, communication costs, synchronization etc. all lead to inefficiency.
- There was no explicit communication mechanism between agents, but they all get to observe the full Dota 2 state (_not_ pixels) that any of the agents could observe, so communication is not really necessary.
- A version of the code with a serious bug was still able to train to beat humans. Not encouraging for safety.
- Alex Irpan covers some of these points in more depth in [Quick Opinions on OpenAI Five](https://www.alexirpan.com/2018/06/27/dota-2-five.html).
- Gwern [comments](https://www.reddit.com/r/reinforcementlearning/comments/8tqzvq/openai_dota_update_ppo_lstm_reaches_amateurlevel/) as well.</v>
      </c>
      <c r="K1609" t="str">
        <f>IFERROR(__xludf.DUMMYFUNCTION("""COMPUTED_VALUE"""),"I might be more excited by an approach that was able to learn from human games (which are plentiful), and perhaps finetune with RL, in order to develop an approach that could generalize to more tasks in the future, where human data is available but a simu"&amp;"lator is not. (Given the ridiculous sample complexity, pure RL with PPO can only be used in tasks with a simulator.) On the other hand, an approach that leveraged human data would necessarily be at least somewhat specific to Dota. A dependence on human da"&amp;"ta is unlikely to get us to _general_ intelligence, whereas this result suggests that we can solve tasks that have a simulator, exploration strategy, and a dense reward function, which really is pushing the boundary on generality. This seems to be [gdb's "&amp;"take](https://news.ycombinator.com/item?id=17392802): ""We are very encouraged by the algorithmic implication of this result — in fact, it mirrors closely the story of deep learning (existing algorithms at large scale solve otherwise unsolvable problems)."&amp;" If you have a very hard problem for which you have a simulator, our results imply there is a _real, practical path_ towards solving it. This still needs to be proven out in real-world domains, but it will be very interesting to see the full ramifications"&amp;" of this finding.""")</f>
        <v>I might be more excited by an approach that was able to learn from human games (which are plentiful), and perhaps finetune with RL, in order to develop an approach that could generalize to more tasks in the future, where human data is available but a simulator is not. (Given the ridiculous sample complexity, pure RL with PPO can only be used in tasks with a simulator.) On the other hand, an approach that leveraged human data would necessarily be at least somewhat specific to Dota. A dependence on human data is unlikely to get us to _general_ intelligence, whereas this result suggests that we can solve tasks that have a simulator, exploration strategy, and a dense reward function, which really is pushing the boundary on generality. This seems to be [gdb's take](https://news.ycombinator.com/item?id=17392802): "We are very encouraged by the algorithmic implication of this result — in fact, it mirrors closely the story of deep learning (existing algorithms at large scale solve otherwise unsolvable problems). If you have a very hard problem for which you have a simulator, our results imply there is a _real, practical path_ towards solving it. This still needs to be proven out in real-world domains, but it will be very interesting to see the full ramifications of this finding."</v>
      </c>
    </row>
    <row r="1610">
      <c r="A1610" t="str">
        <f>IFERROR(__xludf.DUMMYFUNCTION("""COMPUTED_VALUE"""),"Reinforcement learning")</f>
        <v>Reinforcement learning</v>
      </c>
      <c r="B1610" t="str">
        <f>IFERROR(__xludf.DUMMYFUNCTION("""COMPUTED_VALUE"""),"")</f>
        <v/>
      </c>
      <c r="C1610" s="3" t="str">
        <f>IFERROR(__xludf.DUMMYFUNCTION("""COMPUTED_VALUE"""),"A Reinforcement Learning Potpourri")</f>
        <v>A Reinforcement Learning Potpourri</v>
      </c>
      <c r="D1610" t="str">
        <f>IFERROR(__xludf.DUMMYFUNCTION("""COMPUTED_VALUE"""),"Alex Irpan")</f>
        <v>Alex Irpan</v>
      </c>
      <c r="E1610" t="str">
        <f>IFERROR(__xludf.DUMMYFUNCTION("""COMPUTED_VALUE"""),"Sorta Insightful")</f>
        <v>Sorta Insightful</v>
      </c>
      <c r="F1610">
        <f>IFERROR(__xludf.DUMMYFUNCTION("""COMPUTED_VALUE"""),2020.0)</f>
        <v>2020</v>
      </c>
      <c r="H1610" s="3" t="str">
        <f>IFERROR(__xludf.DUMMYFUNCTION("""COMPUTED_VALUE"""),"AN #99")</f>
        <v>AN #99</v>
      </c>
      <c r="I1610" t="str">
        <f>IFERROR(__xludf.DUMMYFUNCTION("""COMPUTED_VALUE"""),"Rohin")</f>
        <v>Rohin</v>
      </c>
      <c r="J1610" t="str">
        <f>IFERROR(__xludf.DUMMYFUNCTION("""COMPUTED_VALUE"""),"This blog post summarizes several recent papers in RL (including the data augmentation papers I summarized above, as well as [First Return Then Explore](https://arxiv.org/abs/2004.12919), the successor to &lt;@Go-Explore@&gt;(@Montezuma’s Revenge Solved by Go-E"&amp;"xplore, a New Algorithm for Hard-Exploration Problems@).")</f>
        <v>This blog post summarizes several recent papers in RL (including the data augmentation papers I summarized above, as well as [First Return Then Explore](https://arxiv.org/abs/2004.12919), the successor to &lt;@Go-Explore@&gt;(@Montezuma’s Revenge Solved by Go-Explore, a New Algorithm for Hard-Exploration Problems@).</v>
      </c>
      <c r="K1610" t="str">
        <f>IFERROR(__xludf.DUMMYFUNCTION("""COMPUTED_VALUE"""),"The whole blog post is worth reading, but I particularly agree with his point that data augmentation generally seems like a no-brainer, since you can think of it either as increasing the size of your dataset by some constant factor, or as a way of elimina"&amp;"ting spurious correlations that your model might otherwise learn.")</f>
        <v>The whole blog post is worth reading, but I particularly agree with his point that data augmentation generally seems like a no-brainer, since you can think of it either as increasing the size of your dataset by some constant factor, or as a way of eliminating spurious correlations that your model might otherwise learn.</v>
      </c>
    </row>
    <row r="1611">
      <c r="A1611" t="str">
        <f>IFERROR(__xludf.DUMMYFUNCTION("""COMPUTED_VALUE"""),"Reinforcement learning")</f>
        <v>Reinforcement learning</v>
      </c>
      <c r="B1611" t="str">
        <f>IFERROR(__xludf.DUMMYFUNCTION("""COMPUTED_VALUE"""),"")</f>
        <v/>
      </c>
      <c r="C1611" s="3" t="str">
        <f>IFERROR(__xludf.DUMMYFUNCTION("""COMPUTED_VALUE"""),"Agent57: Outperforming the human Atari benchmark")</f>
        <v>Agent57: Outperforming the human Atari benchmark</v>
      </c>
      <c r="D1611" t="str">
        <f>IFERROR(__xludf.DUMMYFUNCTION("""COMPUTED_VALUE"""),"Adrià Puigdomènech Badia*, Bilal Piot*, Steven Kapturowski*, Pablo Sprechmann*, Alex Vitvitskyi, Daniel Guo, Charles Blundell")</f>
        <v>Adrià Puigdomènech Badia*, Bilal Piot*, Steven Kapturowski*, Pablo Sprechmann*, Alex Vitvitskyi, Daniel Guo, Charles Blundell</v>
      </c>
      <c r="E1611" t="str">
        <f>IFERROR(__xludf.DUMMYFUNCTION("""COMPUTED_VALUE"""),"arXiv")</f>
        <v>arXiv</v>
      </c>
      <c r="F1611">
        <f>IFERROR(__xludf.DUMMYFUNCTION("""COMPUTED_VALUE"""),2020.0)</f>
        <v>2020</v>
      </c>
      <c r="H1611" s="3" t="str">
        <f>IFERROR(__xludf.DUMMYFUNCTION("""COMPUTED_VALUE"""),"AN #95")</f>
        <v>AN #95</v>
      </c>
      <c r="I1611" t="str">
        <f>IFERROR(__xludf.DUMMYFUNCTION("""COMPUTED_VALUE"""),"Sudhanshu")</f>
        <v>Sudhanshu</v>
      </c>
      <c r="J1611" t="str">
        <f>IFERROR(__xludf.DUMMYFUNCTION("""COMPUTED_VALUE"""),"This blogpost and its associated [arxiv publication](https://arxiv.org/abs/2003.13350) present Agent57, DeepMind's latest RL agent created for the purpose of achieving human-level performance in a suite of 57 Atari games. Notably, Agent57 is the first age"&amp;"nt that is able to surpass average human performance, as measured by Human Normalized Score or HNS, on every individual game in the suite, with the same set of hyperparameters. The blogpost details the evolution of DeepMind's Atari agents from DQN up to A"&amp;"gent57, and the paper elaborates on the improvements made in Agent57.
Specifically, Agent57 builds on a recent agent 'Never Give Up' (NGU), which itself augments R2D2 with episodic memory for curiosity-driven exploration. Agent57 introduces (i) a new par"&amp;"ameterization of state-action value function that decomposes into intrinsic and extrinsic rewards, and (ii) a meta-controller which selects which of its numerous distributed policies to prioritize during learning, allowing the agent to control the explora"&amp;"tion/exploitation trade-off.")</f>
        <v>This blogpost and its associated [arxiv publication](https://arxiv.org/abs/2003.13350) present Agent57, DeepMind's latest RL agent created for the purpose of achieving human-level performance in a suite of 57 Atari games. Notably, Agent57 is the first agent that is able to surpass average human performance, as measured by Human Normalized Score or HNS, on every individual game in the suite, with the same set of hyperparameters. The blogpost details the evolution of DeepMind's Atari agents from DQN up to Agent57, and the paper elaborates on the improvements made in Agent57.
Specifically, Agent57 builds on a recent agent 'Never Give Up' (NGU), which itself augments R2D2 with episodic memory for curiosity-driven exploration. Agent57 introduces (i) a new parameterization of state-action value function that decomposes into intrinsic and extrinsic rewards, and (ii) a meta-controller which selects which of its numerous distributed policies to prioritize during learning, allowing the agent to control the exploration/exploitation trade-off.</v>
      </c>
      <c r="K1611" t="str">
        <f>IFERROR(__xludf.DUMMYFUNCTION("""COMPUTED_VALUE"""),"On the one hand, this work feels like the achievement of an important milestone in DeepMind's ongoing research agenda towards building more general agents. On the other hand, it has the flavour of engineered sophistry: a remarkable collection of building "&amp;"blocks arranged together to patch specific known weaknesses, but lacking in core insights about how to make agents more general, without, say, making them more complex.
The work is well presented and accessible, especially the blogpost that contains a sn"&amp;"apshot of the functional development of deep reinforcement learning capabilities over time. There are several open questions from here on out; personally, I hope this progresses to a single instance of an agent that is proficient at multiple games, and to"&amp;" the design of agents that do not require extensive hyperparameter tuning. The scale of DeepMind's experiments continues to grow, with 256 actors, and 10s of billions of frames, suggesting that, for now, this work is only suitable for simulated environmen"&amp;"ts.")</f>
        <v>On the one hand, this work feels like the achievement of an important milestone in DeepMind's ongoing research agenda towards building more general agents. On the other hand, it has the flavour of engineered sophistry: a remarkable collection of building blocks arranged together to patch specific known weaknesses, but lacking in core insights about how to make agents more general, without, say, making them more complex.
The work is well presented and accessible, especially the blogpost that contains a snapshot of the functional development of deep reinforcement learning capabilities over time. There are several open questions from here on out; personally, I hope this progresses to a single instance of an agent that is proficient at multiple games, and to the design of agents that do not require extensive hyperparameter tuning. The scale of DeepMind's experiments continues to grow, with 256 actors, and 10s of billions of frames, suggesting that, for now, this work is only suitable for simulated environments.</v>
      </c>
      <c r="M1611" s="3" t="str">
        <f>IFERROR(__xludf.DUMMYFUNCTION("""COMPUTED_VALUE"""),"Paper: Agent57: Outperforming the Atari Human Benchmark")</f>
        <v>Paper: Agent57: Outperforming the Atari Human Benchmark</v>
      </c>
    </row>
    <row r="1612">
      <c r="A1612" t="str">
        <f>IFERROR(__xludf.DUMMYFUNCTION("""COMPUTED_VALUE"""),"Reinforcement learning")</f>
        <v>Reinforcement learning</v>
      </c>
      <c r="B1612" t="str">
        <f>IFERROR(__xludf.DUMMYFUNCTION("""COMPUTED_VALUE"""),"")</f>
        <v/>
      </c>
      <c r="C1612" s="3" t="str">
        <f>IFERROR(__xludf.DUMMYFUNCTION("""COMPUTED_VALUE"""),"On Catastrophic Interference in Atari 2600 Games")</f>
        <v>On Catastrophic Interference in Atari 2600 Games</v>
      </c>
      <c r="D1612" t="str">
        <f>IFERROR(__xludf.DUMMYFUNCTION("""COMPUTED_VALUE"""),"William Fedus*, Dibya Ghosh*, John D. Martin, Marc G. Bellemare, Yoshua Bengio, Hugo Larochelle")</f>
        <v>William Fedus*, Dibya Ghosh*, John D. Martin, Marc G. Bellemare, Yoshua Bengio, Hugo Larochelle</v>
      </c>
      <c r="E1612" t="str">
        <f>IFERROR(__xludf.DUMMYFUNCTION("""COMPUTED_VALUE"""),"arXiv")</f>
        <v>arXiv</v>
      </c>
      <c r="F1612">
        <f>IFERROR(__xludf.DUMMYFUNCTION("""COMPUTED_VALUE"""),2020.0)</f>
        <v>2020</v>
      </c>
      <c r="H1612" s="3" t="str">
        <f>IFERROR(__xludf.DUMMYFUNCTION("""COMPUTED_VALUE"""),"AN #91")</f>
        <v>AN #91</v>
      </c>
      <c r="I1612" t="str">
        <f>IFERROR(__xludf.DUMMYFUNCTION("""COMPUTED_VALUE"""),"Rohin")</f>
        <v>Rohin</v>
      </c>
      <c r="J1612" t="str">
        <f>IFERROR(__xludf.DUMMYFUNCTION("""COMPUTED_VALUE"""),"One common worry with deep learning is the possibility of _catastrophic interference_: as the model uses gradients to learn a new behaviour, those same gradients cause it to forget past behaviours. In model-free deep RL, this would be particularly harmful"&amp;" in long, sequential tasks as in hard exploration problems like Montezuma’s Revenge: after the model learns how to do the first few subtasks, as it is trying to learn the next subtask, it would “forget” the first subtasks, degrading performance. The autho"&amp;"rs set out to test this hypothesis.
If this hypothesis were true, there would be an easy way to improve performance: once you have learned to perform the first subtask, just create a brand new neural net for the next subtask, so that training for this ne"&amp;"xt subtask doesn’t interfere with past learning. Since the new agent has no information about what happened in the past, and must just “pick up” from wherever the previous agent left off, it is called the Memento agent (a reference to the movie of the sam"&amp;"e name). One can then solve the entire task by executing each agent in sequence.
In practice, they train an agent until its reward plateaus. They train a new Memento agent starting from the states that the previous agent reached, and note that it reliabl"&amp;"y makes further progress in hard exploration games like Montezuma’s Revenge, and not in “steady-state” games like Pong (where you wouldn’t expect as much catastrophic interference). Of course, with the Memento agent, you get both twice the training time a"&amp;"nd twice the model size, which could explain the improvement. They compare against giving the original agent twice the compute and model capacity, and find that Memento still does significantly better. They also present some fine-grained experiments which"&amp;" show that for a typical agent, training on specific contexts adversely affects performance on other contexts that are qualitatively different.")</f>
        <v>One common worry with deep learning is the possibility of _catastrophic interference_: as the model uses gradients to learn a new behaviour, those same gradients cause it to forget past behaviours. In model-free deep RL, this would be particularly harmful in long, sequential tasks as in hard exploration problems like Montezuma’s Revenge: after the model learns how to do the first few subtasks, as it is trying to learn the next subtask, it would “forget” the first subtasks, degrading performance. The authors set out to test this hypothesis.
If this hypothesis were true, there would be an easy way to improve performance: once you have learned to perform the first subtask, just create a brand new neural net for the next subtask, so that training for this next subtask doesn’t interfere with past learning. Since the new agent has no information about what happened in the past, and must just “pick up” from wherever the previous agent left off, it is called the Memento agent (a reference to the movie of the same name). One can then solve the entire task by executing each agent in sequence.
In practice, they train an agent until its reward plateaus. They train a new Memento agent starting from the states that the previous agent reached, and note that it reliably makes further progress in hard exploration games like Montezuma’s Revenge, and not in “steady-state” games like Pong (where you wouldn’t expect as much catastrophic interference). Of course, with the Memento agent, you get both twice the training time and twice the model size, which could explain the improvement. They compare against giving the original agent twice the compute and model capacity, and find that Memento still does significantly better. They also present some fine-grained experiments which show that for a typical agent, training on specific contexts adversely affects performance on other contexts that are qualitatively different.</v>
      </c>
      <c r="K1612" t="str">
        <f>IFERROR(__xludf.DUMMYFUNCTION("""COMPUTED_VALUE"""),"I think this is pretty strong evidence that catastrophic interference is in fact a problem with the Atari games. On the other hand, &lt;@OpenAI Five@&gt; also has many, many subtasks, that in theory should interfere with each other, and it still seems to train "&amp;"well. Some guesses at how to reconcile these facts:
1) the tasks in Dota are more correlated than in (say) Montezuma’s Revenge, and so interference is less of a problem (seems plausible)
2) the policy in OpenAI Five was large enough that it could easily "&amp;"allocate separate capacity for various subtasks (seems unlikely, I believe the policy was relatively small), or
3) with sufficiently large-scale training, there is more “exploration” in weight-space until a configuration is found where interference doesn’"&amp;"t happen (seems unlikely given that large batch sizes help, since they tend to reduce weight-space exploration).")</f>
        <v>I think this is pretty strong evidence that catastrophic interference is in fact a problem with the Atari games. On the other hand, &lt;@OpenAI Five@&gt; also has many, many subtasks, that in theory should interfere with each other, and it still seems to train well. Some guesses at how to reconcile these facts:
1) the tasks in Dota are more correlated than in (say) Montezuma’s Revenge, and so interference is less of a problem (seems plausible)
2) the policy in OpenAI Five was large enough that it could easily allocate separate capacity for various subtasks (seems unlikely, I believe the policy was relatively small), or
3) with sufficiently large-scale training, there is more “exploration” in weight-space until a configuration is found where interference doesn’t happen (seems unlikely given that large batch sizes help, since they tend to reduce weight-space exploration).</v>
      </c>
    </row>
    <row r="1613">
      <c r="A1613" t="str">
        <f>IFERROR(__xludf.DUMMYFUNCTION("""COMPUTED_VALUE"""),"Reinforcement learning")</f>
        <v>Reinforcement learning</v>
      </c>
      <c r="B1613" t="str">
        <f>IFERROR(__xludf.DUMMYFUNCTION("""COMPUTED_VALUE"""),"")</f>
        <v/>
      </c>
      <c r="C1613" s="3" t="str">
        <f>IFERROR(__xludf.DUMMYFUNCTION("""COMPUTED_VALUE"""),"Reward-Conditioned Policies")</f>
        <v>Reward-Conditioned Policies</v>
      </c>
      <c r="D1613" t="str">
        <f>IFERROR(__xludf.DUMMYFUNCTION("""COMPUTED_VALUE"""),"Aviral Kumar, Xue Bin Peng, Sergey Levine")</f>
        <v>Aviral Kumar, Xue Bin Peng, Sergey Levine</v>
      </c>
      <c r="E1613" t="str">
        <f>IFERROR(__xludf.DUMMYFUNCTION("""COMPUTED_VALUE"""),"arXiv")</f>
        <v>arXiv</v>
      </c>
      <c r="F1613">
        <f>IFERROR(__xludf.DUMMYFUNCTION("""COMPUTED_VALUE"""),2019.0)</f>
        <v>2019</v>
      </c>
      <c r="H1613" s="3" t="str">
        <f>IFERROR(__xludf.DUMMYFUNCTION("""COMPUTED_VALUE"""),"AN #83")</f>
        <v>AN #83</v>
      </c>
      <c r="I1613" t="str">
        <f>IFERROR(__xludf.DUMMYFUNCTION("""COMPUTED_VALUE"""),"Nicholas")</f>
        <v>Nicholas</v>
      </c>
      <c r="J1613" t="str">
        <f>IFERROR(__xludf.DUMMYFUNCTION("""COMPUTED_VALUE"""),"Standard RL algorithms create a policy that maximizes a reward function; the *Reward-Conditioned Policy* algorithm instead creates a policy that can achieve a particular reward value passed in as an input. This allows the policy to be trained via supervis"&amp;"ed regression on a dataset. Each example in the dataset consists of a state, action, and either a return or an advantage, referred to as *Z*. The network then predicts the action based on the state and *Z*. The learned model is able to generalize to polic"&amp;"ies for larger returns. During training, the target value is sampled from a distribution that gradually increases so that it continues to learn higher rewards. 
During evaluation, they then feed in the state and a high target value of *Z* (set one standa"&amp;"rd deviation above the average in their paper.) This enables them to achieve solid - but not state of the art - performance on a variety of the OpenAI Gym benchmark tasks. They also run ablation studies showing, among other things, that the policy is inde"&amp;"ed accurate in achieving the target reward it aims for. ")</f>
        <v>Standard RL algorithms create a policy that maximizes a reward function; the *Reward-Conditioned Policy* algorithm instead creates a policy that can achieve a particular reward value passed in as an input. This allows the policy to be trained via supervised regression on a dataset. Each example in the dataset consists of a state, action, and either a return or an advantage, referred to as *Z*. The network then predicts the action based on the state and *Z*. The learned model is able to generalize to policies for larger returns. During training, the target value is sampled from a distribution that gradually increases so that it continues to learn higher rewards. 
During evaluation, they then feed in the state and a high target value of *Z* (set one standard deviation above the average in their paper.) This enables them to achieve solid - but not state of the art - performance on a variety of the OpenAI Gym benchmark tasks. They also run ablation studies showing, among other things, that the policy is indeed accurate in achieving the target reward it aims for. </v>
      </c>
      <c r="K1613" t="str">
        <f>IFERROR(__xludf.DUMMYFUNCTION("""COMPUTED_VALUE"""),"One of the dangers of training powerful AI to maximize a reward function is that optimizing the function to extreme values may no longer correlate with what we want, as in the classic paperclip maximizer example. I think RCP provides an interesting soluti"&amp;"on to that problem; if we can instead specify a good, but reasonable, value, we may be able to avoid those extreme cases. We can then gradually increase the desired reward without retraining while continuously monitoring for issues. I think there are like"&amp;"ly flaws in the above scheme, but I am optimistic in general about the potential of finding alternate ways to communicate goals to an agent. 
One piece I am still curious about is whether the policy remembers how to achieve lower rewards as its training "&amp;"dataset updates towards higher rewards. They show in a heatmap that the target and actual rewards do match up well, but the target rewards are all sampled quite near each other; it would be interesting to see how well the final policy generalizes to the e"&amp;"ntire spectrum of target rewards. ")</f>
        <v>One of the dangers of training powerful AI to maximize a reward function is that optimizing the function to extreme values may no longer correlate with what we want, as in the classic paperclip maximizer example. I think RCP provides an interesting solution to that problem; if we can instead specify a good, but reasonable, value, we may be able to avoid those extreme cases. We can then gradually increase the desired reward without retraining while continuously monitoring for issues. I think there are likely flaws in the above scheme, but I am optimistic in general about the potential of finding alternate ways to communicate goals to an agent. 
One piece I am still curious about is whether the policy remembers how to achieve lower rewards as its training dataset updates towards higher rewards. They show in a heatmap that the target and actual rewards do match up well, but the target rewards are all sampled quite near each other; it would be interesting to see how well the final policy generalizes to the entire spectrum of target rewards. </v>
      </c>
    </row>
    <row r="1614">
      <c r="A1614" t="str">
        <f>IFERROR(__xludf.DUMMYFUNCTION("""COMPUTED_VALUE"""),"Reinforcement learning")</f>
        <v>Reinforcement learning</v>
      </c>
      <c r="B1614" t="str">
        <f>IFERROR(__xludf.DUMMYFUNCTION("""COMPUTED_VALUE"""),"")</f>
        <v/>
      </c>
      <c r="C1614" s="3" t="str">
        <f>IFERROR(__xludf.DUMMYFUNCTION("""COMPUTED_VALUE"""),"Procgen Benchmark")</f>
        <v>Procgen Benchmark</v>
      </c>
      <c r="D1614" t="str">
        <f>IFERROR(__xludf.DUMMYFUNCTION("""COMPUTED_VALUE"""),"Karl Cobbe, Christopher Hesse, Jacob Hilton, John Schulman")</f>
        <v>Karl Cobbe, Christopher Hesse, Jacob Hilton, John Schulman</v>
      </c>
      <c r="E1614" t="str">
        <f>IFERROR(__xludf.DUMMYFUNCTION("""COMPUTED_VALUE"""),"OpenAI Blog")</f>
        <v>OpenAI Blog</v>
      </c>
      <c r="F1614">
        <f>IFERROR(__xludf.DUMMYFUNCTION("""COMPUTED_VALUE"""),2019.0)</f>
        <v>2019</v>
      </c>
      <c r="H1614" s="3" t="str">
        <f>IFERROR(__xludf.DUMMYFUNCTION("""COMPUTED_VALUE"""),"AN #79")</f>
        <v>AN #79</v>
      </c>
      <c r="I1614" t="str">
        <f>IFERROR(__xludf.DUMMYFUNCTION("""COMPUTED_VALUE"""),"Asya")</f>
        <v>Asya</v>
      </c>
      <c r="J1614" t="str">
        <f>IFERROR(__xludf.DUMMYFUNCTION("""COMPUTED_VALUE"""),"Existing game-based benchmarks for reinforcement learners suffer from the problem that agents constantly encounter near-identical states, meaning that the agents may be overfitting and memorizing specific trajectories rather than learning a general set of"&amp;" skills. In an attempt to remedy this, in this post OpenAI introduces Procgen Benchmark, 16 procedurally-generated video game environments used to measure how quickly a reinforcement learning agent learns generalizable skills. 
The authors conduct severa"&amp;"l experiments using the benchmark. Notably, they discover that:
- Agents strongly overfit to small training sets and need access to as many as 10,000 levels to generalize appropriately.
- After a certain threshold, training performance improves as the tra"&amp;"ining set grows, counter to trends in other supervised learning tasks.
- Using a fixed series of levels for each training sample (as other benchmarks do) makes agents fail to generalize to randomly generated series of levels at test time.
- Larger models "&amp;"improve sample efficiency and generalization.")</f>
        <v>Existing game-based benchmarks for reinforcement learners suffer from the problem that agents constantly encounter near-identical states, meaning that the agents may be overfitting and memorizing specific trajectories rather than learning a general set of skills. In an attempt to remedy this, in this post OpenAI introduces Procgen Benchmark, 16 procedurally-generated video game environments used to measure how quickly a reinforcement learning agent learns generalizable skills. 
The authors conduct several experiments using the benchmark. Notably, they discover that:
- Agents strongly overfit to small training sets and need access to as many as 10,000 levels to generalize appropriately.
- After a certain threshold, training performance improves as the training set grows, counter to trends in other supervised learning tasks.
- Using a fixed series of levels for each training sample (as other benchmarks do) makes agents fail to generalize to randomly generated series of levels at test time.
- Larger models improve sample efficiency and generalization.</v>
      </c>
      <c r="K1614" t="str">
        <f>IFERROR(__xludf.DUMMYFUNCTION("""COMPUTED_VALUE"""),"This seems like a useful benchmark. I find it particularly interesting that their experiment testing non-procedurally generated levels as training samples implies huge overfitting effects in existing agents trained in video-game environments.")</f>
        <v>This seems like a useful benchmark. I find it particularly interesting that their experiment testing non-procedurally generated levels as training samples implies huge overfitting effects in existing agents trained in video-game environments.</v>
      </c>
      <c r="M1614" s="3" t="str">
        <f>IFERROR(__xludf.DUMMYFUNCTION("""COMPUTED_VALUE"""),"Paper: Leveraging Procedural Generation to Benchmark Reinforcement Learning")</f>
        <v>Paper: Leveraging Procedural Generation to Benchmark Reinforcement Learning</v>
      </c>
    </row>
    <row r="1615">
      <c r="A1615" t="str">
        <f>IFERROR(__xludf.DUMMYFUNCTION("""COMPUTED_VALUE"""),"Reinforcement learning")</f>
        <v>Reinforcement learning</v>
      </c>
      <c r="B1615" t="str">
        <f>IFERROR(__xludf.DUMMYFUNCTION("""COMPUTED_VALUE"""),"")</f>
        <v/>
      </c>
      <c r="C1615" s="3" t="str">
        <f>IFERROR(__xludf.DUMMYFUNCTION("""COMPUTED_VALUE"""),"Learning to Predict Without Looking Ahead: World Models Without Forward Prediction")</f>
        <v>Learning to Predict Without Looking Ahead: World Models Without Forward Prediction</v>
      </c>
      <c r="D1615" t="str">
        <f>IFERROR(__xludf.DUMMYFUNCTION("""COMPUTED_VALUE"""),"C. Daniel Freeman, Luke Metz, David Ha")</f>
        <v>C. Daniel Freeman, Luke Metz, David Ha</v>
      </c>
      <c r="E1615" t="str">
        <f>IFERROR(__xludf.DUMMYFUNCTION("""COMPUTED_VALUE"""),"NeurIPS 2019")</f>
        <v>NeurIPS 2019</v>
      </c>
      <c r="F1615">
        <f>IFERROR(__xludf.DUMMYFUNCTION("""COMPUTED_VALUE"""),2019.0)</f>
        <v>2019</v>
      </c>
      <c r="H1615" s="3" t="str">
        <f>IFERROR(__xludf.DUMMYFUNCTION("""COMPUTED_VALUE"""),"AN #75")</f>
        <v>AN #75</v>
      </c>
      <c r="I1615" t="str">
        <f>IFERROR(__xludf.DUMMYFUNCTION("""COMPUTED_VALUE"""),"Sudhanshu")</f>
        <v>Sudhanshu</v>
      </c>
      <c r="J1615" t="str">
        <f>IFERROR(__xludf.DUMMYFUNCTION("""COMPUTED_VALUE"""),"One [critique](https://twitter.com/shimon8282/status/979344417961250817) of the &lt;@World Models@&gt;(@Recurrent World Models Facilitate Policy Evolution@) paper was that in any realistic setting, you only want to learn the features that are important for the "&amp;"task under consideration, while the VAE used in the paper would learn features for state reconstruction. This paper instead studies world models that are trained directly from reward, rather than by supervised learning on observed future states, which sho"&amp;"uld lead to models that only focus on task-relevant features. Specifically, they use _observational dropout_ on the environment percepts, where the true state is passed to the policy with a peek probability _p_, while a neural network, **M**, generates a "&amp;"proxy state with probability _1 - p_. At the next time-step, **M**  takes the same input as the policy, plus the policy's action, and generates the next proxy state, which then may get passed to the controller, again with probability _1 - p_.
They invest"&amp;"igate whether the emergent 'world model' **M** behaves like a good forward predictive model. They find that even with very low peek probability e.g. _p_ = 5%, **M** learns a good enough world model that enables the policy to perform reasonably well. Addit"&amp;"ionally, they find that world models thus learned can be used to train policies that sometimes transfer well to the real environment. They claim that the world model only learns features that are useful for task performance, but also note that interpretab"&amp;"ility of those features depends on inductive biases such as the network architecture.")</f>
        <v>One [critique](https://twitter.com/shimon8282/status/979344417961250817) of the &lt;@World Models@&gt;(@Recurrent World Models Facilitate Policy Evolution@) paper was that in any realistic setting, you only want to learn the features that are important for the task under consideration, while the VAE used in the paper would learn features for state reconstruction. This paper instead studies world models that are trained directly from reward, rather than by supervised learning on observed future states, which should lead to models that only focus on task-relevant features. Specifically, they use _observational dropout_ on the environment percepts, where the true state is passed to the policy with a peek probability _p_, while a neural network, **M**, generates a proxy state with probability _1 - p_. At the next time-step, **M**  takes the same input as the policy, plus the policy's action, and generates the next proxy state, which then may get passed to the controller, again with probability _1 - p_.
They investigate whether the emergent 'world model' **M** behaves like a good forward predictive model. They find that even with very low peek probability e.g. _p_ = 5%, **M** learns a good enough world model that enables the policy to perform reasonably well. Additionally, they find that world models thus learned can be used to train policies that sometimes transfer well to the real environment. They claim that the world model only learns features that are useful for task performance, but also note that interpretability of those features depends on inductive biases such as the network architecture.</v>
      </c>
      <c r="K1615" t="str">
        <f>IFERROR(__xludf.DUMMYFUNCTION("""COMPUTED_VALUE"""),"This work warrants a visit for the easy-to-absorb animations and charts. On the other hand, they make a few innocent-sounding observations that made me uncomfortable because they weren't rigourously proved nor labelled as speculation, e.g. a) ""At higher "&amp;"peek probabilities, the learned dynamics model is not needed to solve the task thus is never learned."", and b) ""Here, the world model clearly only learns reliable transition maps for moving down and to the right, which is sufficient.""
While this is a "&amp;"neat bit of work well presented, it is nevertheless still unlikely this (and most other current work in deep model-based RL) will scale to more complex alignment problems such as &lt;@Embedded World-Models@&gt;; these world models do not capture the notion of a"&amp;"n agent, and do not model the agent as an entity making long-horizon plans in the environment.")</f>
        <v>This work warrants a visit for the easy-to-absorb animations and charts. On the other hand, they make a few innocent-sounding observations that made me uncomfortable because they weren't rigourously proved nor labelled as speculation, e.g. a) "At higher peek probabilities, the learned dynamics model is not needed to solve the task thus is never learned.", and b) "Here, the world model clearly only learns reliable transition maps for moving down and to the right, which is sufficient."
While this is a neat bit of work well presented, it is nevertheless still unlikely this (and most other current work in deep model-based RL) will scale to more complex alignment problems such as &lt;@Embedded World-Models@&gt;; these world models do not capture the notion of an agent, and do not model the agent as an entity making long-horizon plans in the environment.</v>
      </c>
    </row>
    <row r="1616">
      <c r="A1616" t="str">
        <f>IFERROR(__xludf.DUMMYFUNCTION("""COMPUTED_VALUE"""),"Reinforcement learning")</f>
        <v>Reinforcement learning</v>
      </c>
      <c r="B1616" t="str">
        <f>IFERROR(__xludf.DUMMYFUNCTION("""COMPUTED_VALUE"""),"")</f>
        <v/>
      </c>
      <c r="C1616" s="3" t="str">
        <f>IFERROR(__xludf.DUMMYFUNCTION("""COMPUTED_VALUE"""),"Superhuman AI for multiplayer poker")</f>
        <v>Superhuman AI for multiplayer poker</v>
      </c>
      <c r="D1616" t="str">
        <f>IFERROR(__xludf.DUMMYFUNCTION("""COMPUTED_VALUE"""),"Noam Brown, Tuomas Sandholm")</f>
        <v>Noam Brown, Tuomas Sandholm</v>
      </c>
      <c r="E1616" t="str">
        <f>IFERROR(__xludf.DUMMYFUNCTION("""COMPUTED_VALUE"""),"Science")</f>
        <v>Science</v>
      </c>
      <c r="F1616">
        <f>IFERROR(__xludf.DUMMYFUNCTION("""COMPUTED_VALUE"""),2019.0)</f>
        <v>2019</v>
      </c>
      <c r="H1616" s="3" t="str">
        <f>IFERROR(__xludf.DUMMYFUNCTION("""COMPUTED_VALUE"""),"AN #74")</f>
        <v>AN #74</v>
      </c>
      <c r="I1616" t="str">
        <f>IFERROR(__xludf.DUMMYFUNCTION("""COMPUTED_VALUE"""),"Matthew")</f>
        <v>Matthew</v>
      </c>
      <c r="J1616" t="str">
        <f>IFERROR(__xludf.DUMMYFUNCTION("""COMPUTED_VALUE"""),"In July, this paper presented the first AI that can play six-player no-limit Texas hold’em poker better than professional players. Rather than using deep learning, it works by precomputing a blueprint strategy using a novel variant of Monte Carlo linear c"&amp;"ounterfactual regret minimization, an iterative self-play algorithm. To traverse the enormous game tree, the AI buckets moves by abstracting information in the game. During play, the AI adapts its strategy by modifying its abstractions according to how th"&amp;"e opponents play, and by performing real-time search through the game tree. It used the equivalent of $144 of cloud compute to calculate the blueprint strategy and two server grade CPUs, which was much less hardware than what prior AI game milesones requi"&amp;"red.")</f>
        <v>In July, this paper presented the first AI that can play six-player no-limit Texas hold’em poker better than professional players. Rather than using deep learning, it works by precomputing a blueprint strategy using a novel variant of Monte Carlo linear counterfactual regret minimization, an iterative self-play algorithm. To traverse the enormous game tree, the AI buckets moves by abstracting information in the game. During play, the AI adapts its strategy by modifying its abstractions according to how the opponents play, and by performing real-time search through the game tree. It used the equivalent of $144 of cloud compute to calculate the blueprint strategy and two server grade CPUs, which was much less hardware than what prior AI game milesones required.</v>
      </c>
      <c r="K1616" t="str">
        <f>IFERROR(__xludf.DUMMYFUNCTION("""COMPUTED_VALUE"""),"From what I understand, much of the difficulty of poker lies in being careful not to reveal information. For decades, computers have already had an upper hand in being silent, computing probabilities, and choosing unpredictable strategies, which makes me "&amp;"a bit surprised that this result took so long. Nonetheless, I found it interesting how little compute was required to accomplish superhuman play.")</f>
        <v>From what I understand, much of the difficulty of poker lies in being careful not to reveal information. For decades, computers have already had an upper hand in being silent, computing probabilities, and choosing unpredictable strategies, which makes me a bit surprised that this result took so long. Nonetheless, I found it interesting how little compute was required to accomplish superhuman play.</v>
      </c>
      <c r="M1616" s="3" t="str">
        <f>IFERROR(__xludf.DUMMYFUNCTION("""COMPUTED_VALUE"""),"Let's Read: Superhuman AI for multiplayer poker")</f>
        <v>Let's Read: Superhuman AI for multiplayer poker</v>
      </c>
    </row>
    <row r="1617">
      <c r="A1617" t="str">
        <f>IFERROR(__xludf.DUMMYFUNCTION("""COMPUTED_VALUE"""),"Reinforcement learning")</f>
        <v>Reinforcement learning</v>
      </c>
      <c r="B1617" t="str">
        <f>IFERROR(__xludf.DUMMYFUNCTION("""COMPUTED_VALUE"""),"")</f>
        <v/>
      </c>
      <c r="C1617" s="3" t="str">
        <f>IFERROR(__xludf.DUMMYFUNCTION("""COMPUTED_VALUE"""),"AlphaStar: Grandmaster level in StarCraft II using multi-agent reinforcement learning")</f>
        <v>AlphaStar: Grandmaster level in StarCraft II using multi-agent reinforcement learning</v>
      </c>
      <c r="D1617" t="str">
        <f>IFERROR(__xludf.DUMMYFUNCTION("""COMPUTED_VALUE"""),"AlphaStar Team")</f>
        <v>AlphaStar Team</v>
      </c>
      <c r="E1617" t="str">
        <f>IFERROR(__xludf.DUMMYFUNCTION("""COMPUTED_VALUE"""),"DeepMind Blog")</f>
        <v>DeepMind Blog</v>
      </c>
      <c r="F1617">
        <f>IFERROR(__xludf.DUMMYFUNCTION("""COMPUTED_VALUE"""),2019.0)</f>
        <v>2019</v>
      </c>
      <c r="H1617" s="3" t="str">
        <f>IFERROR(__xludf.DUMMYFUNCTION("""COMPUTED_VALUE"""),"AN #73")</f>
        <v>AN #73</v>
      </c>
      <c r="I1617" t="str">
        <f>IFERROR(__xludf.DUMMYFUNCTION("""COMPUTED_VALUE"""),"Nicholas")</f>
        <v>Nicholas</v>
      </c>
      <c r="J1617" t="str">
        <f>IFERROR(__xludf.DUMMYFUNCTION("""COMPUTED_VALUE"""),"&lt;@AlphaStar@&gt;(@AlphaStar: Mastering the Real-Time Strategy Game StarCraft II@), DeepMind’s StarCraft II AI, has now defeated a top professional player and is better than 99.8% of players. While previous versions were limited to only a subset of the game, "&amp;"it now plays the full game and has limitations on how quickly it can take actions similar to top human players. It was trained initially via supervised learning on human players and then afterwards trained using RL.
A challenge in learning StarCraft via "&amp;"self-play is that strategies exhibit non-transitivity: Stalker units beat Void Rays, Void Rays beat Immortals, but Immortals beat Stalkers. This can lead to training getting stuck in cycles. In order to avoid this, they set up a League of exploiter agents"&amp;" and main agents. The exploiter agents train only against the current iteration of main agents, so they can learn specific counter-strategies. The main agents then train against a mixture of current main agents, past main agents, and exploiters, prioritiz"&amp;"ing opponents that they have a lower win rate against.")</f>
        <v>&lt;@AlphaStar@&gt;(@AlphaStar: Mastering the Real-Time Strategy Game StarCraft II@), DeepMind’s StarCraft II AI, has now defeated a top professional player and is better than 99.8% of players. While previous versions were limited to only a subset of the game, it now plays the full game and has limitations on how quickly it can take actions similar to top human players. It was trained initially via supervised learning on human players and then afterwards trained using RL.
A challenge in learning StarCraft via self-play is that strategies exhibit non-transitivity: Stalker units beat Void Rays, Void Rays beat Immortals, but Immortals beat Stalkers. This can lead to training getting stuck in cycles. In order to avoid this, they set up a League of exploiter agents and main agents. The exploiter agents train only against the current iteration of main agents, so they can learn specific counter-strategies. The main agents then train against a mixture of current main agents, past main agents, and exploiters, prioritizing opponents that they have a lower win rate against.</v>
      </c>
      <c r="K1617" t="str">
        <f>IFERROR(__xludf.DUMMYFUNCTION("""COMPUTED_VALUE"""),"I think this is a very impressive display of how powerful current ML methods are at a very complex game. StarCraft poses many challenges that are not present in board games such as chess and go, such as limited visibility, a large state and action space, "&amp;"and strategies that play out over very long time horizons. I found it particularly interesting how they used imitation learning and human examples to avoid trying to find new strategies by exploration, but then attained higher performance by training on t"&amp;"op of that.  
I do believe progress on games is becoming less correlated with progress on AGI. Most of the key innovations in this paper revolve around the League training, which seems quite specific to StarCraft. In order to continue making progress tow"&amp;"ards AGI, I think we need to focus on being able to learn in the real world on tasks that are not as easy to simulate.")</f>
        <v>I think this is a very impressive display of how powerful current ML methods are at a very complex game. StarCraft poses many challenges that are not present in board games such as chess and go, such as limited visibility, a large state and action space, and strategies that play out over very long time horizons. I found it particularly interesting how they used imitation learning and human examples to avoid trying to find new strategies by exploration, but then attained higher performance by training on top of that.  
I do believe progress on games is becoming less correlated with progress on AGI. Most of the key innovations in this paper revolve around the League training, which seems quite specific to StarCraft. In order to continue making progress towards AGI, I think we need to focus on being able to learn in the real world on tasks that are not as easy to simulate.</v>
      </c>
      <c r="M1617" s="3" t="str">
        <f>IFERROR(__xludf.DUMMYFUNCTION("""COMPUTED_VALUE"""),"Paper: Grandmaster level in StarCraft II using multi-agent reinforcement learning")</f>
        <v>Paper: Grandmaster level in StarCraft II using multi-agent reinforcement learning</v>
      </c>
    </row>
    <row r="1618">
      <c r="A1618" t="str">
        <f>IFERROR(__xludf.DUMMYFUNCTION("""COMPUTED_VALUE"""),"Reinforcement learning")</f>
        <v>Reinforcement learning</v>
      </c>
      <c r="B1618" t="str">
        <f>IFERROR(__xludf.DUMMYFUNCTION("""COMPUTED_VALUE"""),"")</f>
        <v/>
      </c>
      <c r="C1618" s="3" t="str">
        <f>IFERROR(__xludf.DUMMYFUNCTION("""COMPUTED_VALUE"""),"Deep Dynamics Models for Dexterous Manipulation")</f>
        <v>Deep Dynamics Models for Dexterous Manipulation</v>
      </c>
      <c r="D1618" t="str">
        <f>IFERROR(__xludf.DUMMYFUNCTION("""COMPUTED_VALUE"""),"Anusha Nagabandi, Kurt Konoglie, Sergey Levine, Vikash Kumar")</f>
        <v>Anusha Nagabandi, Kurt Konoglie, Sergey Levine, Vikash Kumar</v>
      </c>
      <c r="E1618" t="str">
        <f>IFERROR(__xludf.DUMMYFUNCTION("""COMPUTED_VALUE"""),"arXiv")</f>
        <v>arXiv</v>
      </c>
      <c r="F1618">
        <f>IFERROR(__xludf.DUMMYFUNCTION("""COMPUTED_VALUE"""),2019.0)</f>
        <v>2019</v>
      </c>
      <c r="H1618" s="3" t="str">
        <f>IFERROR(__xludf.DUMMYFUNCTION("""COMPUTED_VALUE"""),"AN #73")</f>
        <v>AN #73</v>
      </c>
      <c r="I1618" t="str">
        <f>IFERROR(__xludf.DUMMYFUNCTION("""COMPUTED_VALUE"""),"Flo")</f>
        <v>Flo</v>
      </c>
      <c r="J1618" t="str">
        <f>IFERROR(__xludf.DUMMYFUNCTION("""COMPUTED_VALUE"""),"For hard robotic tasks like manipulating a screwdriver, model-free RL requires large amounts of data that are hard to generate with real-world hardware. So, we might want to use the more sample-efficient model-based RL, which has the additional advantage "&amp;"that the model can be reused for similar tasks with different rewards. This paper uses an ensemble of neural networks to predict state transitions, and plans by sampling trajectories for different policies. With this, they train a real anthropomorphic rob"&amp;"ot hand to be able to rotate two balls in its hand somewhat reliably within a few hours. They also trained for the same task in a simulation and were able to reuse the resulting model to move a single ball to a target location.")</f>
        <v>For hard robotic tasks like manipulating a screwdriver, model-free RL requires large amounts of data that are hard to generate with real-world hardware. So, we might want to use the more sample-efficient model-based RL, which has the additional advantage that the model can be reused for similar tasks with different rewards. This paper uses an ensemble of neural networks to predict state transitions, and plans by sampling trajectories for different policies. With this, they train a real anthropomorphic robot hand to be able to rotate two balls in its hand somewhat reliably within a few hours. They also trained for the same task in a simulation and were able to reuse the resulting model to move a single ball to a target location.</v>
      </c>
      <c r="K1618" t="str">
        <f>IFERROR(__xludf.DUMMYFUNCTION("""COMPUTED_VALUE"""),"The videos look impressive, even though the robot hand still has some clunkiness to it. My intuition is that model-based approaches can be very useful in robotics and similar domains, where the randomness in transitions can easily be approximated by Gauss"&amp;"ians. In other tasks where transitions follow more complicated, multimodal distributions, I am more sceptical. ")</f>
        <v>The videos look impressive, even though the robot hand still has some clunkiness to it. My intuition is that model-based approaches can be very useful in robotics and similar domains, where the randomness in transitions can easily be approximated by Gaussians. In other tasks where transitions follow more complicated, multimodal distributions, I am more sceptical. </v>
      </c>
    </row>
    <row r="1619">
      <c r="A1619" t="str">
        <f>IFERROR(__xludf.DUMMYFUNCTION("""COMPUTED_VALUE"""),"Reinforcement learning")</f>
        <v>Reinforcement learning</v>
      </c>
      <c r="B1619" t="str">
        <f>IFERROR(__xludf.DUMMYFUNCTION("""COMPUTED_VALUE"""),"")</f>
        <v/>
      </c>
      <c r="C1619" s="3" t="str">
        <f>IFERROR(__xludf.DUMMYFUNCTION("""COMPUTED_VALUE"""),"Let's Discuss OpenAI's Rubik's Cube Result")</f>
        <v>Let's Discuss OpenAI's Rubik's Cube Result</v>
      </c>
      <c r="D1619" t="str">
        <f>IFERROR(__xludf.DUMMYFUNCTION("""COMPUTED_VALUE"""),"Alex Irpan")</f>
        <v>Alex Irpan</v>
      </c>
      <c r="E1619" t="str">
        <f>IFERROR(__xludf.DUMMYFUNCTION("""COMPUTED_VALUE"""),"Author's Website")</f>
        <v>Author's Website</v>
      </c>
      <c r="F1619">
        <f>IFERROR(__xludf.DUMMYFUNCTION("""COMPUTED_VALUE"""),2019.0)</f>
        <v>2019</v>
      </c>
      <c r="H1619" s="3" t="str">
        <f>IFERROR(__xludf.DUMMYFUNCTION("""COMPUTED_VALUE"""),"AN #72")</f>
        <v>AN #72</v>
      </c>
      <c r="I1619" t="str">
        <f>IFERROR(__xludf.DUMMYFUNCTION("""COMPUTED_VALUE"""),"Rohin")</f>
        <v>Rohin</v>
      </c>
      <c r="J1619" t="str">
        <f>IFERROR(__xludf.DUMMYFUNCTION("""COMPUTED_VALUE"""),"This post makes many points about &lt;@OpenAI's Rubik's cube result@&gt;(@Solving Rubik’s Cube with a Robot Hand@), but I'm only going to focus on two. First, the result is a major success for OpenAI's focus on design decisions that encourage long-term research"&amp;" success. In particular, it relied heavily on the engineering-heavy model surgery and policy distillation capabilities that allow them to modify e.g. the architecture in the middle of a training run (which we've seen with &lt;@OpenAI Five@&gt;(@OpenAI Five Benc"&amp;"hmark: Results@)). Second, the domain randomization doesn't help as much as you might think: OpenAI needed to put a significant amount of effort into improving the simulation to get these results, tripling the number of successes on a face rotation task. "&amp;"Intuitively, we still need to put in a lot of effort to getting the simulation to be ""near"" reality, and then domain randomization can take care of the last little bit needed to robustly transfer to reality. Given that domain randomization isn't doing t"&amp;"hat much, it's not clear if the paradigm of zero-shot sim-to-real transfer is the right one to pursue. To quote the post's conclusion:  _I see two endgames here. In one, robot learning reduces to building rich simulators that are well-instrumented for ran"&amp;"domization, then using ludicrous amounts of compute across those simulators. In the other, randomization is never good enough to be more than a bootstrapping step before real robot data, no matter what the compute situation looks like. Both seem plausible"&amp;" to me, and we’ll see how things shake out._")</f>
        <v>This post makes many points about &lt;@OpenAI's Rubik's cube result@&gt;(@Solving Rubik’s Cube with a Robot Hand@), but I'm only going to focus on two. First, the result is a major success for OpenAI's focus on design decisions that encourage long-term research success. In particular, it relied heavily on the engineering-heavy model surgery and policy distillation capabilities that allow them to modify e.g. the architecture in the middle of a training run (which we've seen with &lt;@OpenAI Five@&gt;(@OpenAI Five Benchmark: Results@)). Second, the domain randomization doesn't help as much as you might think: OpenAI needed to put a significant amount of effort into improving the simulation to get these results, tripling the number of successes on a face rotation task. Intuitively, we still need to put in a lot of effort to getting the simulation to be "near" reality, and then domain randomization can take care of the last little bit needed to robustly transfer to reality. Given that domain randomization isn't doing that much, it's not clear if the paradigm of zero-shot sim-to-real transfer is the right one to pursue. To quote the post's conclusion:  _I see two endgames here. In one, robot learning reduces to building rich simulators that are well-instrumented for randomization, then using ludicrous amounts of compute across those simulators. In the other, randomization is never good enough to be more than a bootstrapping step before real robot data, no matter what the compute situation looks like. Both seem plausible to me, and we’ll see how things shake out._</v>
      </c>
      <c r="K1619" t="str">
        <f>IFERROR(__xludf.DUMMYFUNCTION("""COMPUTED_VALUE"""),"As usual, Alex's analysis is spot on, and I have nothing to add beyond strong agreement.")</f>
        <v>As usual, Alex's analysis is spot on, and I have nothing to add beyond strong agreement.</v>
      </c>
    </row>
    <row r="1620">
      <c r="A1620" t="str">
        <f>IFERROR(__xludf.DUMMYFUNCTION("""COMPUTED_VALUE"""),"Reinforcement learning")</f>
        <v>Reinforcement learning</v>
      </c>
      <c r="B1620" t="str">
        <f>IFERROR(__xludf.DUMMYFUNCTION("""COMPUTED_VALUE"""),"")</f>
        <v/>
      </c>
      <c r="C1620" s="3" t="str">
        <f>IFERROR(__xludf.DUMMYFUNCTION("""COMPUTED_VALUE"""),"Solving Rubik’s Cube with a Robot Hand")</f>
        <v>Solving Rubik’s Cube with a Robot Hand</v>
      </c>
      <c r="D1620" t="str">
        <f>IFERROR(__xludf.DUMMYFUNCTION("""COMPUTED_VALUE"""),"OpenAI")</f>
        <v>OpenAI</v>
      </c>
      <c r="E1620" t="str">
        <f>IFERROR(__xludf.DUMMYFUNCTION("""COMPUTED_VALUE"""),"OpenAI Blog")</f>
        <v>OpenAI Blog</v>
      </c>
      <c r="F1620">
        <f>IFERROR(__xludf.DUMMYFUNCTION("""COMPUTED_VALUE"""),2019.0)</f>
        <v>2019</v>
      </c>
      <c r="H1620" s="3" t="str">
        <f>IFERROR(__xludf.DUMMYFUNCTION("""COMPUTED_VALUE"""),"AN #70")</f>
        <v>AN #70</v>
      </c>
      <c r="I1620" t="str">
        <f>IFERROR(__xludf.DUMMYFUNCTION("""COMPUTED_VALUE"""),"Asya")</f>
        <v>Asya</v>
      </c>
      <c r="J1620" t="str">
        <f>IFERROR(__xludf.DUMMYFUNCTION("""COMPUTED_VALUE"""),"Historically, researchers have had limited success making general purpose robot hands. Now, OpenAI has successfully trained a pair of neural networks to solve a Rubik's cube with a human-like robot hand (the learned portion of the problem is manipulating "&amp;"the hand -- solving the Rubik's cube is specified via a classical algorithm). The hand is able to solve the Rubik's cube even under a variety of perturbations, including having some of its fingers tied together, or having its view of the cube partially oc"&amp;"cluded. The primary innovation presented is a new method called _Automatic Domain Randomization_ (ADR). ADR automatically generates progressively more difficult environments to train on in simulation that are diverse enough to capture the physics of the r"&amp;"eal world. ADR performs better than existing domain randomization methods, which require manually specifying randomization ranges. The post speculates that ADR is actually leading to _emergent meta-learning_, where the network learns a learning algorithm "&amp;"that allows itself to rapidly adapt its behavior to its environment.")</f>
        <v>Historically, researchers have had limited success making general purpose robot hands. Now, OpenAI has successfully trained a pair of neural networks to solve a Rubik's cube with a human-like robot hand (the learned portion of the problem is manipulating the hand -- solving the Rubik's cube is specified via a classical algorithm). The hand is able to solve the Rubik's cube even under a variety of perturbations, including having some of its fingers tied together, or having its view of the cube partially occluded. The primary innovation presented is a new method called _Automatic Domain Randomization_ (ADR). ADR automatically generates progressively more difficult environments to train on in simulation that are diverse enough to capture the physics of the real world. ADR performs better than existing domain randomization methods, which require manually specifying randomization ranges. The post speculates that ADR is actually leading to _emergent meta-learning_, where the network learns a learning algorithm that allows itself to rapidly adapt its behavior to its environment.</v>
      </c>
      <c r="K1620" t="str">
        <f>IFERROR(__xludf.DUMMYFUNCTION("""COMPUTED_VALUE"""),"My impression is that this is a very impressive robotics result, largely because the problem of transferring training in simulation to real life (""sim2real"") is extremly difficult. I also think it's quite novel if as the authors hypothesize, the system "&amp;"is exhibiting emergent meta-learning. It's worth noting that the hand is still not quite at human-level -- in the hardest configurations, it only succeeds 20% of the time, and for most experiments, the hand gets some of the state of the cube via Bluetooth"&amp;" sensors inside the cube, not just via vision.")</f>
        <v>My impression is that this is a very impressive robotics result, largely because the problem of transferring training in simulation to real life ("sim2real") is extremly difficult. I also think it's quite novel if as the authors hypothesize, the system is exhibiting emergent meta-learning. It's worth noting that the hand is still not quite at human-level -- in the hardest configurations, it only succeeds 20% of the time, and for most experiments, the hand gets some of the state of the cube via Bluetooth sensors inside the cube, not just via vision.</v>
      </c>
      <c r="M1620" s="3" t="str">
        <f>IFERROR(__xludf.DUMMYFUNCTION("""COMPUTED_VALUE"""),"Vox: Watch this robot solve a Rubik’s Cube one-handed")</f>
        <v>Vox: Watch this robot solve a Rubik’s Cube one-handed</v>
      </c>
    </row>
    <row r="1621">
      <c r="A1621" t="str">
        <f>IFERROR(__xludf.DUMMYFUNCTION("""COMPUTED_VALUE"""),"Reinforcement learning")</f>
        <v>Reinforcement learning</v>
      </c>
      <c r="B1621" t="str">
        <f>IFERROR(__xludf.DUMMYFUNCTION("""COMPUTED_VALUE"""),"")</f>
        <v/>
      </c>
      <c r="C1621" s="3" t="str">
        <f>IFERROR(__xludf.DUMMYFUNCTION("""COMPUTED_VALUE"""),"Emergent Tool Use from Multi-Agent Interaction")</f>
        <v>Emergent Tool Use from Multi-Agent Interaction</v>
      </c>
      <c r="D1621" t="str">
        <f>IFERROR(__xludf.DUMMYFUNCTION("""COMPUTED_VALUE"""),"Bowen Baker, Ingmar Kanitscheider, Todor Markov, Yi Wu, Glenn Powell, Bob McGrew, Igor Mordatch")</f>
        <v>Bowen Baker, Ingmar Kanitscheider, Todor Markov, Yi Wu, Glenn Powell, Bob McGrew, Igor Mordatch</v>
      </c>
      <c r="E1621" t="str">
        <f>IFERROR(__xludf.DUMMYFUNCTION("""COMPUTED_VALUE"""),"OpenAI Blog")</f>
        <v>OpenAI Blog</v>
      </c>
      <c r="F1621">
        <f>IFERROR(__xludf.DUMMYFUNCTION("""COMPUTED_VALUE"""),2019.0)</f>
        <v>2019</v>
      </c>
      <c r="H1621" s="3" t="str">
        <f>IFERROR(__xludf.DUMMYFUNCTION("""COMPUTED_VALUE"""),"AN #65")</f>
        <v>AN #65</v>
      </c>
      <c r="I1621" t="str">
        <f>IFERROR(__xludf.DUMMYFUNCTION("""COMPUTED_VALUE"""),"Rohin")</f>
        <v>Rohin</v>
      </c>
      <c r="J1621" t="str">
        <f>IFERROR(__xludf.DUMMYFUNCTION("""COMPUTED_VALUE"""),"We have such a vast diversity of organisms and behaviors on Earth because of evolution: every time a new strategy evolved, it created new pressures and incentives for other organisms, leading to new behaviors. The multiagent competition led to an _autocur"&amp;"riculum_. This work harnesses this effect: they design a multiagent environment and task, and then use standard RL algorithms to learn several interesting behaviors. Their task is hide-and-seek, where the agents are able to move boxes, walls and ramps, an"&amp;"d lock objects in place. The agents find _six_ different strategies, each emerging from incentives created by the previous strategy: seekers chasing hiders, hiders building shelters, seekers using ramps to get into shelters, hiders locking ramps away from"&amp;" seekers, seekers surfing boxes to hiders, and hiders locking both boxes and ramps.
The hope is that this can be used to learn general skills that can then be used for specific tasks. This makes it a form of unsupervised learning, with a similar goal as "&amp;"e.g. &lt;@curiosity@&gt;(@Large-Scale Study of Curiosity-Driven Learning@). We might hope that multiagent autocurricula would do better than curiosity, because they automatically tend to use features that are important for control in the environment (such as ra"&amp;"mps and boxes), while intrinsic motivation methods often end up focusing on features we wouldn't think are particularly important. They empirically test this by designing five tasks in the environment and checking whether finetuning the agents from the mu"&amp;"ltiagent autocurricula learns faster than direct training and finetuning curiosity-based agents. They find that the multiagent autocurricula agents do best, but only slightly. To explain this, they hypothesize that the learned skill representations are st"&amp;"ill highly entangled and so are hard to finetune, whereas learned feature representations transfer more easily.")</f>
        <v>We have such a vast diversity of organisms and behaviors on Earth because of evolution: every time a new strategy evolved, it created new pressures and incentives for other organisms, leading to new behaviors. The multiagent competition led to an _autocurriculum_. This work harnesses this effect: they design a multiagent environment and task, and then use standard RL algorithms to learn several interesting behaviors. Their task is hide-and-seek, where the agents are able to move boxes, walls and ramps, and lock objects in place. The agents find _six_ different strategies, each emerging from incentives created by the previous strategy: seekers chasing hiders, hiders building shelters, seekers using ramps to get into shelters, hiders locking ramps away from seekers, seekers surfing boxes to hiders, and hiders locking both boxes and ramps.
The hope is that this can be used to learn general skills that can then be used for specific tasks. This makes it a form of unsupervised learning, with a similar goal as e.g. &lt;@curiosity@&gt;(@Large-Scale Study of Curiosity-Driven Learning@). We might hope that multiagent autocurricula would do better than curiosity, because they automatically tend to use features that are important for control in the environment (such as ramps and boxes), while intrinsic motivation methods often end up focusing on features we wouldn't think are particularly important. They empirically test this by designing five tasks in the environment and checking whether finetuning the agents from the multiagent autocurricula learns faster than direct training and finetuning curiosity-based agents. They find that the multiagent autocurricula agents do best, but only slightly. To explain this, they hypothesize that the learned skill representations are still highly entangled and so are hard to finetune, whereas learned feature representations transfer more easily.</v>
      </c>
      <c r="K1621" t="str">
        <f>IFERROR(__xludf.DUMMYFUNCTION("""COMPUTED_VALUE"""),"This is somewhat similar to &lt;@AI-GAs@&gt;(@AI-GAs: AI-generating algorithms, an alternate paradigm for producing general artificial intelligence@): both depend on _environment design_, which so far has been relatively neglected. However, AI-GAs are hoping to"&amp;" create _learning algorithms_, while multiagent autocurricula leads to _tool use_, at least in this case. Another point of similarity is that they both require vast amounts of compute, as discovering new strategies can take significant exploration. That s"&amp;"aid, it seems that we might be able to drastically decrease the amount of compute needed by solving the exploration problem using e.g. human play data or demonstrations (discussed in two different papers above).
More speculatively, I hypothesize that it "&amp;"will be useful to have environments where you need to identify _what strategy your opponent is using_. In this environment, each strategy has the property that it beats _all_ of the strategies that preceded it. As a result, it was fine for the agent to un"&amp;"dergo catastrophic forgetting: even though it was trained against past agents, it only needed to learn the current strategy well; it didn't need to remember previous strategies. As a result, it may have forgotten prior strategies and skills, which might h"&amp;"ave reduced its ability to learn new tasks quickly.")</f>
        <v>This is somewhat similar to &lt;@AI-GAs@&gt;(@AI-GAs: AI-generating algorithms, an alternate paradigm for producing general artificial intelligence@): both depend on _environment design_, which so far has been relatively neglected. However, AI-GAs are hoping to create _learning algorithms_, while multiagent autocurricula leads to _tool use_, at least in this case. Another point of similarity is that they both require vast amounts of compute, as discovering new strategies can take significant exploration. That said, it seems that we might be able to drastically decrease the amount of compute needed by solving the exploration problem using e.g. human play data or demonstrations (discussed in two different papers above).
More speculatively, I hypothesize that it will be useful to have environments where you need to identify _what strategy your opponent is using_. In this environment, each strategy has the property that it beats _all_ of the strategies that preceded it. As a result, it was fine for the agent to undergo catastrophic forgetting: even though it was trained against past agents, it only needed to learn the current strategy well; it didn't need to remember previous strategies. As a result, it may have forgotten prior strategies and skills, which might have reduced its ability to learn new tasks quickly.</v>
      </c>
      <c r="M1621" t="str">
        <f>IFERROR(__xludf.DUMMYFUNCTION("""COMPUTED_VALUE"""),"[Paper: Emergent Tool Use from Multi-Agent Autocurricula](https://d4mucfpksywv.cloudfront.net/emergent-tool-use/paper/Multi_Agent_Emergence_2019.pdf), [Vox: Watch an AI learn to play hide-and-seek](https://www.vox.com/future-perfect/2019/9/20/20872672/ai-"&amp;"learn-play-hide-and-seek)")</f>
        <v>[Paper: Emergent Tool Use from Multi-Agent Autocurricula](https://d4mucfpksywv.cloudfront.net/emergent-tool-use/paper/Multi_Agent_Emergence_2019.pdf), [Vox: Watch an AI learn to play hide-and-seek](https://www.vox.com/future-perfect/2019/9/20/20872672/ai-learn-play-hide-and-seek)</v>
      </c>
    </row>
    <row r="1622">
      <c r="A1622" t="str">
        <f>IFERROR(__xludf.DUMMYFUNCTION("""COMPUTED_VALUE"""),"Reinforcement learning")</f>
        <v>Reinforcement learning</v>
      </c>
      <c r="B1622" t="str">
        <f>IFERROR(__xludf.DUMMYFUNCTION("""COMPUTED_VALUE"""),"")</f>
        <v/>
      </c>
      <c r="C1622" s="3" t="str">
        <f>IFERROR(__xludf.DUMMYFUNCTION("""COMPUTED_VALUE"""),"A Survey of Reinforcement Learning Informed by Natural Language")</f>
        <v>A Survey of Reinforcement Learning Informed by Natural Language</v>
      </c>
      <c r="D1622" t="str">
        <f>IFERROR(__xludf.DUMMYFUNCTION("""COMPUTED_VALUE"""),"Jelena Luketina, Nantas Nardelli, Gregory Farquhar, Jakob Foerster, Jacob Andreas, Edward Grefenstette, Shimon Whiteson, Tim Rocktäschel")</f>
        <v>Jelena Luketina, Nantas Nardelli, Gregory Farquhar, Jakob Foerster, Jacob Andreas, Edward Grefenstette, Shimon Whiteson, Tim Rocktäschel</v>
      </c>
      <c r="E1622" t="str">
        <f>IFERROR(__xludf.DUMMYFUNCTION("""COMPUTED_VALUE"""),"IJCAI 2019")</f>
        <v>IJCAI 2019</v>
      </c>
      <c r="F1622">
        <f>IFERROR(__xludf.DUMMYFUNCTION("""COMPUTED_VALUE"""),2019.0)</f>
        <v>2019</v>
      </c>
      <c r="H1622" s="3" t="str">
        <f>IFERROR(__xludf.DUMMYFUNCTION("""COMPUTED_VALUE"""),"AN #58")</f>
        <v>AN #58</v>
      </c>
      <c r="I1622" t="str">
        <f>IFERROR(__xludf.DUMMYFUNCTION("""COMPUTED_VALUE"""),"Cody")</f>
        <v>Cody</v>
      </c>
      <c r="J1622" t="str">
        <f>IFERROR(__xludf.DUMMYFUNCTION("""COMPUTED_VALUE"""),"Humans use language as a way of efficiently storing knowledge of the world and instructions for handling new scenarios; this paper is written from the perspective that it would be potentially hugely valuable if RL agents could leverage information stored "&amp;"in language in similar ways. They look at both the case where language is an inherent part of the task (example: the goal is parameterized by a language instruction) and where language is used to give auxiliary information (example: parts of the environme"&amp;"nt are described using language). Overall, the authors push for more work in this area, and, in particular, more work using external-corpus-pretrained language models and with research designs that use human-generated rather than synthetically-generated l"&amp;"anguage; the latter is typically preferred for the sake of speed, but the former has particular challenges we'll need to tackle to actually use existing sources of human language data. ")</f>
        <v>Humans use language as a way of efficiently storing knowledge of the world and instructions for handling new scenarios; this paper is written from the perspective that it would be potentially hugely valuable if RL agents could leverage information stored in language in similar ways. They look at both the case where language is an inherent part of the task (example: the goal is parameterized by a language instruction) and where language is used to give auxiliary information (example: parts of the environment are described using language). Overall, the authors push for more work in this area, and, in particular, more work using external-corpus-pretrained language models and with research designs that use human-generated rather than synthetically-generated language; the latter is typically preferred for the sake of speed, but the former has particular challenges we'll need to tackle to actually use existing sources of human language data. </v>
      </c>
      <c r="K1622" t="str">
        <f>IFERROR(__xludf.DUMMYFUNCTION("""COMPUTED_VALUE"""),"This article is a solid and useful version of what I would expect out of a review article: mostly useful as a way to get thinking in the direction of the intersection of RL and language, and makes me more interested in digging more into some of the mentio"&amp;"ned techniques, since by design this review didn't go very deep into any of them. ")</f>
        <v>This article is a solid and useful version of what I would expect out of a review article: mostly useful as a way to get thinking in the direction of the intersection of RL and language, and makes me more interested in digging more into some of the mentioned techniques, since by design this review didn't go very deep into any of them. </v>
      </c>
    </row>
    <row r="1623">
      <c r="A1623" t="str">
        <f>IFERROR(__xludf.DUMMYFUNCTION("""COMPUTED_VALUE"""),"Reinforcement learning")</f>
        <v>Reinforcement learning</v>
      </c>
      <c r="B1623" t="str">
        <f>IFERROR(__xludf.DUMMYFUNCTION("""COMPUTED_VALUE"""),"")</f>
        <v/>
      </c>
      <c r="C1623" s="3" t="str">
        <f>IFERROR(__xludf.DUMMYFUNCTION("""COMPUTED_VALUE"""),"NeurIPS 2019 Competition: The MineRL Competition on Sample Efficient Reinforcement Learning using Human Priors")</f>
        <v>NeurIPS 2019 Competition: The MineRL Competition on Sample Efficient Reinforcement Learning using Human Priors</v>
      </c>
      <c r="D1623" t="str">
        <f>IFERROR(__xludf.DUMMYFUNCTION("""COMPUTED_VALUE"""),"William H. Guss, Cayden Codel, Katja Hofmann, Brandon Houghton, Noboru Kuno, Stephanie Milani, Sharada Mohanty, Diego Perez Liebana, Ruslan Salakhutdinov, Nicholay Topin, Manuela Veloso, Phillip Wang")</f>
        <v>William H. Guss, Cayden Codel, Katja Hofmann, Brandon Houghton, Noboru Kuno, Stephanie Milani, Sharada Mohanty, Diego Perez Liebana, Ruslan Salakhutdinov, Nicholay Topin, Manuela Veloso, Phillip Wang</v>
      </c>
      <c r="E1623" t="str">
        <f>IFERROR(__xludf.DUMMYFUNCTION("""COMPUTED_VALUE"""),"arXiv")</f>
        <v>arXiv</v>
      </c>
      <c r="F1623">
        <f>IFERROR(__xludf.DUMMYFUNCTION("""COMPUTED_VALUE"""),2019.0)</f>
        <v>2019</v>
      </c>
      <c r="H1623" s="3" t="str">
        <f>IFERROR(__xludf.DUMMYFUNCTION("""COMPUTED_VALUE"""),"AN #56")</f>
        <v>AN #56</v>
      </c>
      <c r="I1623" t="str">
        <f>IFERROR(__xludf.DUMMYFUNCTION("""COMPUTED_VALUE"""),"Rohin")</f>
        <v>Rohin</v>
      </c>
      <c r="J1623" t="str">
        <f>IFERROR(__xludf.DUMMYFUNCTION("""COMPUTED_VALUE"""),"In this challenge which is slated to start on June 1, competitors will try to build agents that obtain a diamond in Minecraft, without using too much environment interaction. This is an incredibly difficult task: in order to make this feasible, the compet"&amp;"ition also provides a large amount of human demonstrations. They also have a list of simpler tasks that will likely be prerequisites to obtaining a diamond, such as navigating, chopping trees, obtaining an iron pickaxe, and obtaining cooked meat, for whic"&amp;"h they also collect demonstrations of human gameplay. As the name suggests, the authors hope that the competition will spur researchers into **embedding human priors into general algorithms in order to get sample efficient learning**.")</f>
        <v>In this challenge which is slated to start on June 1, competitors will try to build agents that obtain a diamond in Minecraft, without using too much environment interaction. This is an incredibly difficult task: in order to make this feasible, the competition also provides a large amount of human demonstrations. They also have a list of simpler tasks that will likely be prerequisites to obtaining a diamond, such as navigating, chopping trees, obtaining an iron pickaxe, and obtaining cooked meat, for which they also collect demonstrations of human gameplay. As the name suggests, the authors hope that the competition will spur researchers into **embedding human priors into general algorithms in order to get sample efficient learning**.</v>
      </c>
      <c r="K1623" t="str">
        <f>IFERROR(__xludf.DUMMYFUNCTION("""COMPUTED_VALUE"""),"I really like the potential of Minecraft as a deep RL research environment, and I'm glad that there's finally a benchmark / competition that takes advantage of Minecraft being very open world and hierarchical. The tasks that they define are very challengi"&amp;"ng; there are ways in which it is harder than Dota (no self-play curriculum, learning from pixels instead of states, more explicit hierarchy) and ways in which it is easier (slightly shorter episodes, smaller action space, don't have to be adaptive based "&amp;"on opponents). Of course, the hope is that with demonstrations of human gameplay, it will not be necessary to use as much compute as was necessary to &lt;@solve Dota@&gt;(@How to Train Your OpenAI Five@).
I also like the emphasis on how to leverage human prior"&amp;"s within general learning algorithms: I share the authors' intuition that human priors can lead to significant gains in sample efficiency. I suspect that, at least for the near future, many of the most important applications of AI will either involve hard"&amp;"coded structure imposed by humans, or will involve general algorithms that leverage human priors, rather than being learned ""from scratch"" via e.g. RL.")</f>
        <v>I really like the potential of Minecraft as a deep RL research environment, and I'm glad that there's finally a benchmark / competition that takes advantage of Minecraft being very open world and hierarchical. The tasks that they define are very challenging; there are ways in which it is harder than Dota (no self-play curriculum, learning from pixels instead of states, more explicit hierarchy) and ways in which it is easier (slightly shorter episodes, smaller action space, don't have to be adaptive based on opponents). Of course, the hope is that with demonstrations of human gameplay, it will not be necessary to use as much compute as was necessary to &lt;@solve Dota@&gt;(@How to Train Your OpenAI Five@).
I also like the emphasis on how to leverage human priors within general learning algorithms: I share the authors' intuition that human priors can lead to significant gains in sample efficiency. I suspect that, at least for the near future, many of the most important applications of AI will either involve hardcoded structure imposed by humans, or will involve general algorithms that leverage human priors, rather than being learned "from scratch" via e.g. RL.</v>
      </c>
    </row>
    <row r="1624">
      <c r="A1624" t="str">
        <f>IFERROR(__xludf.DUMMYFUNCTION("""COMPUTED_VALUE"""),"Reinforcement learning")</f>
        <v>Reinforcement learning</v>
      </c>
      <c r="B1624" t="str">
        <f>IFERROR(__xludf.DUMMYFUNCTION("""COMPUTED_VALUE"""),"")</f>
        <v/>
      </c>
      <c r="C1624" s="3" t="str">
        <f>IFERROR(__xludf.DUMMYFUNCTION("""COMPUTED_VALUE"""),"How to Train Your OpenAI Five")</f>
        <v>How to Train Your OpenAI Five</v>
      </c>
      <c r="D1624" t="str">
        <f>IFERROR(__xludf.DUMMYFUNCTION("""COMPUTED_VALUE"""),"OpenAI")</f>
        <v>OpenAI</v>
      </c>
      <c r="E1624" t="str">
        <f>IFERROR(__xludf.DUMMYFUNCTION("""COMPUTED_VALUE"""),"OpenAI Blog")</f>
        <v>OpenAI Blog</v>
      </c>
      <c r="F1624">
        <f>IFERROR(__xludf.DUMMYFUNCTION("""COMPUTED_VALUE"""),2019.0)</f>
        <v>2019</v>
      </c>
      <c r="H1624" s="3" t="str">
        <f>IFERROR(__xludf.DUMMYFUNCTION("""COMPUTED_VALUE"""),"AN #54")</f>
        <v>AN #54</v>
      </c>
      <c r="I1624" t="str">
        <f>IFERROR(__xludf.DUMMYFUNCTION("""COMPUTED_VALUE"""),"Rohin")</f>
        <v>Rohin</v>
      </c>
      <c r="J1624" t="str">
        <f>IFERROR(__xludf.DUMMYFUNCTION("""COMPUTED_VALUE"""),"&lt;@OpenAI Five@&gt; has now beaten the Dota world champions 2-0, after training for 8x longer, for a total of 800 petaflop/s-days or 45000 years of Dota self-play experience. During this insanely long training run, OpenAI grew the LSTM to 4096 units, added bu"&amp;"ybacks to the game, and switched versions twice. Interestingly, they found it hard to add in new heroes: they could bring a few new heroes up to 95th percentile of humans, but it didn't look like they would train fast enough to reach pro level. This could"&amp;" be because the other heroes were already so capable that it was too hard to learn, since the new heroes would constantly be beaten. The resulting team was also able to play cooperatively with humans, even though they had never been trained with humans.
"&amp;"As usual, I like [Alex Irpan's thoughts](https://www.alexirpan.com/2019/04/14/openai-finals.html). On the Dota side, he found Five's reaction times more believable, but was disappointed by the limited hero pool. He also predicted that with [OpenAI Five Ar"&amp;"ena](https://arena.openai.com/), which allowed anyone to play either alongside Five, or against Five, at least one of the _many_ teams would figure out a strategy that could reliably beat Five. He was right: while Five had a 99.4% win rate, one team was a"&amp;"ble to beat it [10 times in a row](https://arena.openai.com/#/results), another beat it thrice in a row, and two teams beat it twice in a row.")</f>
        <v>&lt;@OpenAI Five@&gt; has now beaten the Dota world champions 2-0, after training for 8x longer, for a total of 800 petaflop/s-days or 45000 years of Dota self-play experience. During this insanely long training run, OpenAI grew the LSTM to 4096 units, added buybacks to the game, and switched versions twice. Interestingly, they found it hard to add in new heroes: they could bring a few new heroes up to 95th percentile of humans, but it didn't look like they would train fast enough to reach pro level. This could be because the other heroes were already so capable that it was too hard to learn, since the new heroes would constantly be beaten. The resulting team was also able to play cooperatively with humans, even though they had never been trained with humans.
As usual, I like [Alex Irpan's thoughts](https://www.alexirpan.com/2019/04/14/openai-finals.html). On the Dota side, he found Five's reaction times more believable, but was disappointed by the limited hero pool. He also predicted that with [OpenAI Five Arena](https://arena.openai.com/), which allowed anyone to play either alongside Five, or against Five, at least one of the _many_ teams would figure out a strategy that could reliably beat Five. He was right: while Five had a 99.4% win rate, one team was able to beat it [10 times in a row](https://arena.openai.com/#/results), another beat it thrice in a row, and two teams beat it twice in a row.</v>
      </c>
      <c r="K1624" t="str">
        <f>IFERROR(__xludf.DUMMYFUNCTION("""COMPUTED_VALUE"""),"In this era of scaling up compute via parallelism, it was quite surprising to see OpenAI scaling up compute simply by training for almost a year. That feels like one of the last resorts to scale up compute, so maybe we're seeing the limits of the trend id"&amp;"entified in &lt;@AI and Compute@&gt;?
Back when OpenAI Five beat a strong team in their &lt;@Benchmark@&gt;(@OpenAI Five Benchmark: Results@), I and a few others predicted that the team would be able to beat Five after playing a few games against it. I think this pr"&amp;"ediction has been somewhat validated, given that four teams figured out how to beat a much stronger version of the bot. Of course, humans played over 7000 games against Five, not just a few, so this could be that enough random search finds a weakness. Sti"&amp;"ll, I'd expect pros to be able to do this in tens, maybe hundreds of games, and probably this would have been much easier at the time of the Benchmark.
The underlying model here is that Dota has an extremely large space of strategies, and neither Five no"&amp;"r humans have explored it all. However, pros have a better (lower-dimensional) representation of strategy space (concepts like ""split-push"") that allow them to update quickly when seeing a better opponent. I don't know what it would take to have AI syst"&amp;"ems learn these sorts of low-dimensional representations, but it seems key to having AI systems that can adapt quickly like humans can.")</f>
        <v>In this era of scaling up compute via parallelism, it was quite surprising to see OpenAI scaling up compute simply by training for almost a year. That feels like one of the last resorts to scale up compute, so maybe we're seeing the limits of the trend identified in &lt;@AI and Compute@&gt;?
Back when OpenAI Five beat a strong team in their &lt;@Benchmark@&gt;(@OpenAI Five Benchmark: Results@), I and a few others predicted that the team would be able to beat Five after playing a few games against it. I think this prediction has been somewhat validated, given that four teams figured out how to beat a much stronger version of the bot. Of course, humans played over 7000 games against Five, not just a few, so this could be that enough random search finds a weakness. Still, I'd expect pros to be able to do this in tens, maybe hundreds of games, and probably this would have been much easier at the time of the Benchmark.
The underlying model here is that Dota has an extremely large space of strategies, and neither Five nor humans have explored it all. However, pros have a better (lower-dimensional) representation of strategy space (concepts like "split-push") that allow them to update quickly when seeing a better opponent. I don't know what it would take to have AI systems learn these sorts of low-dimensional representations, but it seems key to having AI systems that can adapt quickly like humans can.</v>
      </c>
      <c r="M1624" s="3" t="str">
        <f>IFERROR(__xludf.DUMMYFUNCTION("""COMPUTED_VALUE"""),"Vox: AI triumphs against the world’s top pro team in strategy game Dota 2")</f>
        <v>Vox: AI triumphs against the world’s top pro team in strategy game Dota 2</v>
      </c>
    </row>
    <row r="1625">
      <c r="A1625" t="str">
        <f>IFERROR(__xludf.DUMMYFUNCTION("""COMPUTED_VALUE"""),"Reinforcement learning")</f>
        <v>Reinforcement learning</v>
      </c>
      <c r="B1625" t="str">
        <f>IFERROR(__xludf.DUMMYFUNCTION("""COMPUTED_VALUE"""),"")</f>
        <v/>
      </c>
      <c r="C1625" s="3" t="str">
        <f>IFERROR(__xludf.DUMMYFUNCTION("""COMPUTED_VALUE"""),"Eighteen Months of RL Research at Google Brain in Montreal")</f>
        <v>Eighteen Months of RL Research at Google Brain in Montreal</v>
      </c>
      <c r="D1625" t="str">
        <f>IFERROR(__xludf.DUMMYFUNCTION("""COMPUTED_VALUE"""),"Marc Bellemare")</f>
        <v>Marc Bellemare</v>
      </c>
      <c r="E1625" t="str">
        <f>IFERROR(__xludf.DUMMYFUNCTION("""COMPUTED_VALUE"""),"Marc Bellemare's Website")</f>
        <v>Marc Bellemare's Website</v>
      </c>
      <c r="F1625">
        <f>IFERROR(__xludf.DUMMYFUNCTION("""COMPUTED_VALUE"""),2019.0)</f>
        <v>2019</v>
      </c>
      <c r="H1625" s="3" t="str">
        <f>IFERROR(__xludf.DUMMYFUNCTION("""COMPUTED_VALUE"""),"AN #51")</f>
        <v>AN #51</v>
      </c>
      <c r="I1625" t="str">
        <f>IFERROR(__xludf.DUMMYFUNCTION("""COMPUTED_VALUE"""),"Rohin")</f>
        <v>Rohin</v>
      </c>
      <c r="J1625" t="str">
        <f>IFERROR(__xludf.DUMMYFUNCTION("""COMPUTED_VALUE"""),"One approach to reinforcement learning is to predict the entire distribution of rewards from taking an action, instead of predicting just the expected reward. Empirically, this works better, even though in both cases we choose the action with highest expe"&amp;"cted reward. This blog post provides an overview of work at Google Brain Montreal that attempts to understand this phenomenon. I'm only summarizing the part that most interested me.
First, they found that in theory, distributional RL performs on par with"&amp;" or worse than standard RL when using either a tabular representation or linear features. They then tested this empirically on Cartpole, and found similar results: distributional RL performed worse when using tabular or linear representations, but better "&amp;"when using a deep neural net. This suggests that distributional RL ""learns better representations"". So, they visualize representations for RL on the four-room environment, and find that distributional RL captures more structured representations. Similar"&amp;"ly this [paper](https://arxiv.org/abs/1902.0686) showed that predicting value functions for multiple discount rates is an effective way to produce auxiliary tasks for Atari.")</f>
        <v>One approach to reinforcement learning is to predict the entire distribution of rewards from taking an action, instead of predicting just the expected reward. Empirically, this works better, even though in both cases we choose the action with highest expected reward. This blog post provides an overview of work at Google Brain Montreal that attempts to understand this phenomenon. I'm only summarizing the part that most interested me.
First, they found that in theory, distributional RL performs on par with or worse than standard RL when using either a tabular representation or linear features. They then tested this empirically on Cartpole, and found similar results: distributional RL performed worse when using tabular or linear representations, but better when using a deep neural net. This suggests that distributional RL "learns better representations". So, they visualize representations for RL on the four-room environment, and find that distributional RL captures more structured representations. Similarly this [paper](https://arxiv.org/abs/1902.0686) showed that predicting value functions for multiple discount rates is an effective way to produce auxiliary tasks for Atari.</v>
      </c>
      <c r="K1625" t="str">
        <f>IFERROR(__xludf.DUMMYFUNCTION("""COMPUTED_VALUE"""),"This is a really interesting mystery with deep RL, and after reading this post I have a story for it. Note I am far from an expert in this field and it's quite plausible that if I read the papers cited in this post I could tell this story is false, but he"&amp;"re's the story anyway. As we saw with PreQN earlier in this issue, one of the most important aspects of deep RL is how information about one (s, a) pair is used to generalize to other (s, a) pairs. I'd guess that the benefit from distributional RL is prim"&amp;"arily that you get ""good representations"" that let you do this generalization well. With a tabular representation you don't do any generalization, and with a linear feature space the representation is hand-designed by humans to do this generalization we"&amp;"ll, so distributional RL doesn't help in those cases.
But why does distributional RL learn good representations? I claim that it provides stronger supervision given the same amount of experience. With normal expected RL, the final layer of the neural net"&amp;" need only be useful for predicting the expected reward, but with distributional RL they must be useful for predicting all of the quantiles of the reward distribution. There may be ""shortcuts"" or ""heuristics"" that allow you to predict expected reward "&amp;"well because of spurious correlations in your environment, but it's less likely that those heuristics work well for all of the quantiles of the reward distribution. As a result, having to predict more things enforces a stronger constraint on what represen"&amp;"tations your neural net must have, and thus you are more likely to find good representations. This perspective also explains why predicting value functions for multiple discount rates helps with Atari, and why adding auxiliary tasks is often helpful (as l"&amp;"ong as the auxiliary task is relevant to the main task).
The important aspect here is that all of the quantiles are forcing the same neural net to learn good representations. If you instead have different neural nets predicting each quantile, each neural"&amp;" net has roughly the same amount of supervision as in expected RL, so I'd expect that to work about as well as expected RL, maybe a little worse since quantiles are probably harder to predict than means. If anyone actually runs this experiment, please do "&amp;"let me know the result!")</f>
        <v>This is a really interesting mystery with deep RL, and after reading this post I have a story for it. Note I am far from an expert in this field and it's quite plausible that if I read the papers cited in this post I could tell this story is false, but here's the story anyway. As we saw with PreQN earlier in this issue, one of the most important aspects of deep RL is how information about one (s, a) pair is used to generalize to other (s, a) pairs. I'd guess that the benefit from distributional RL is primarily that you get "good representations" that let you do this generalization well. With a tabular representation you don't do any generalization, and with a linear feature space the representation is hand-designed by humans to do this generalization well, so distributional RL doesn't help in those cases.
But why does distributional RL learn good representations? I claim that it provides stronger supervision given the same amount of experience. With normal expected RL, the final layer of the neural net need only be useful for predicting the expected reward, but with distributional RL they must be useful for predicting all of the quantiles of the reward distribution. There may be "shortcuts" or "heuristics" that allow you to predict expected reward well because of spurious correlations in your environment, but it's less likely that those heuristics work well for all of the quantiles of the reward distribution. As a result, having to predict more things enforces a stronger constraint on what representations your neural net must have, and thus you are more likely to find good representations. This perspective also explains why predicting value functions for multiple discount rates helps with Atari, and why adding auxiliary tasks is often helpful (as long as the auxiliary task is relevant to the main task).
The important aspect here is that all of the quantiles are forcing the same neural net to learn good representations. If you instead have different neural nets predicting each quantile, each neural net has roughly the same amount of supervision as in expected RL, so I'd expect that to work about as well as expected RL, maybe a little worse since quantiles are probably harder to predict than means. If anyone actually runs this experiment, please do let me know the result!</v>
      </c>
    </row>
    <row r="1626">
      <c r="A1626" t="str">
        <f>IFERROR(__xludf.DUMMYFUNCTION("""COMPUTED_VALUE"""),"Reinforcement learning")</f>
        <v>Reinforcement learning</v>
      </c>
      <c r="B1626" t="str">
        <f>IFERROR(__xludf.DUMMYFUNCTION("""COMPUTED_VALUE"""),"")</f>
        <v/>
      </c>
      <c r="C1626" s="3" t="str">
        <f>IFERROR(__xludf.DUMMYFUNCTION("""COMPUTED_VALUE"""),"An Overdue Post on AlphaStar")</f>
        <v>An Overdue Post on AlphaStar</v>
      </c>
      <c r="D1626" t="str">
        <f>IFERROR(__xludf.DUMMYFUNCTION("""COMPUTED_VALUE"""),"Alex Irpan")</f>
        <v>Alex Irpan</v>
      </c>
      <c r="E1626" t="str">
        <f>IFERROR(__xludf.DUMMYFUNCTION("""COMPUTED_VALUE"""),"Sorta Insightful")</f>
        <v>Sorta Insightful</v>
      </c>
      <c r="F1626">
        <f>IFERROR(__xludf.DUMMYFUNCTION("""COMPUTED_VALUE"""),2019.0)</f>
        <v>2019</v>
      </c>
      <c r="H1626" s="3" t="str">
        <f>IFERROR(__xludf.DUMMYFUNCTION("""COMPUTED_VALUE"""),"AN #47")</f>
        <v>AN #47</v>
      </c>
      <c r="I1626" t="str">
        <f>IFERROR(__xludf.DUMMYFUNCTION("""COMPUTED_VALUE"""),"Rohin")</f>
        <v>Rohin</v>
      </c>
      <c r="J1626" t="str">
        <f>IFERROR(__xludf.DUMMYFUNCTION("""COMPUTED_VALUE"""),"The [first post](https://www.alexirpan.com/2019/02/22/alphastar.html) in this two-parter talks about the impact of [AlphaStar](https://deepmind.com/blog/alphastar-mastering-real-time-strategy-game-starcraft-ii/) ([AN #43](https://mailchi.mp/768a8130013f/a"&amp;"lignment-newsletter-43)) on the StarCraft community and broader public. I'm focusing on the second one, which talks about AlphaStar's technical details and implications. Some of this post overlaps with my summary of AlphaStar, but those parts are better f"&amp;"leshed out and have more details.
First, imitation learning is a surprisingly good base policy, getting to the level of a Gold player. It's surprising because you might expect the [DAgger](https://www.ri.cmu.edu/pub_files/2011/4/Ross-AISTATS11-NoRegret.p"&amp;"df) problem to be extreme: since there are so many actions in a StarCraft game, your imitation learning policy will make some errors, and those errors will then compound over the very long remainder of the episode as they take the policy further away from"&amp;" normal human play into states that the policy wasn't trained on.
Second, population-based training is probably crucial and will be important in the future, because it allows for exploring the full strategy space.
Third, the major challenge is making RL"&amp;" achieve okay performance, and after that they very quickly become great. It took years of research to get Dota and StarCraft bots reach decent play, and then a few days of more training got them to be world class. Fun quote: ""although OpenAI’s DotA 2 ag"&amp;"ent lost against a pro team, [they were able to beat their old agent 80% of the time with 10 days of training](https://twitter.com/openai/status/1037765547427954688)"".
Fourth, there were a lot of research results that went into AlphaStar. This suggests "&amp;"that there are large gains to be had by throwing a lot of techniques together and seeing how well they work, which doesn't happen very much currently. There are good reasons for this: it's much easier to evaluate a technique if its built upon a simple, st"&amp;"andard algorithm rather than having to consider all of its interactions with other techniques which you may or may not be able to properly compare against. Still, there are going to be some cool results that we could do now if we just threw the right thin"&amp;"gs together, and this sort of work also lets us test techniques in new settings to see which ones actually work in general, as opposed to only in the original evaluation.")</f>
        <v>The [first post](https://www.alexirpan.com/2019/02/22/alphastar.html) in this two-parter talks about the impact of [AlphaStar](https://deepmind.com/blog/alphastar-mastering-real-time-strategy-game-starcraft-ii/) ([AN #43](https://mailchi.mp/768a8130013f/alignment-newsletter-43)) on the StarCraft community and broader public. I'm focusing on the second one, which talks about AlphaStar's technical details and implications. Some of this post overlaps with my summary of AlphaStar, but those parts are better fleshed out and have more details.
First, imitation learning is a surprisingly good base policy, getting to the level of a Gold player. It's surprising because you might expect the [DAgger](https://www.ri.cmu.edu/pub_files/2011/4/Ross-AISTATS11-NoRegret.pdf) problem to be extreme: since there are so many actions in a StarCraft game, your imitation learning policy will make some errors, and those errors will then compound over the very long remainder of the episode as they take the policy further away from normal human play into states that the policy wasn't trained on.
Second, population-based training is probably crucial and will be important in the future, because it allows for exploring the full strategy space.
Third, the major challenge is making RL achieve okay performance, and after that they very quickly become great. It took years of research to get Dota and StarCraft bots reach decent play, and then a few days of more training got them to be world class. Fun quote: "although OpenAI’s DotA 2 agent lost against a pro team, [they were able to beat their old agent 80% of the time with 10 days of training](https://twitter.com/openai/status/1037765547427954688)".
Fourth, there were a lot of research results that went into AlphaStar. This suggests that there are large gains to be had by throwing a lot of techniques together and seeing how well they work, which doesn't happen very much currently. There are good reasons for this: it's much easier to evaluate a technique if its built upon a simple, standard algorithm rather than having to consider all of its interactions with other techniques which you may or may not be able to properly compare against. Still, there are going to be some cool results that we could do now if we just threw the right things together, and this sort of work also lets us test techniques in new settings to see which ones actually work in general, as opposed to only in the original evaluation.</v>
      </c>
      <c r="K1626" t="str">
        <f>IFERROR(__xludf.DUMMYFUNCTION("""COMPUTED_VALUE"""),"I really like this post, and agree with almost everything in it. On the imitation learning point, I also found it surprising how well imitation learning worked. Alex suggests that it could be that human data has enough variation that the agent can learn h"&amp;"ow to recover from incorrect decisions it could make. I think this is a partial explanation at best -- there is a huge combinatorial explosion, it's not clear why you don't need a much larger dataset to cover the entire space. Maybe there are ""natural"" "&amp;"representations in any realistic complex environment that you start to accurately learn at the level of compute that they're using, and once you have those then imitation learning with sufficient variation can work well.
On the last point about tossing t"&amp;"echniques together, I think this might sometimes be worth doing but often may not be. It makes sense to do this with any real task, since that's a test of the technique against reality. (Here StarCraft counts as a ""real"" task while Atari does not; the c"&amp;"riterion is something like ""if the task is successfully automated we are impressed regardless of how it is solved"".) I'm less keen on tossing techniques together for artificial benchmarks. I think typically these techniques improve the sample efficiency"&amp;" by a constant multiplicative factor by adding something akin to a good inductive bias; in that case throwing them together may let us solve the artificial benchmark sooner but it doesn't give us great evidence that the ""inductive bias"" will be good for"&amp;" realistic tasks. I think I don't actually disagree with Alex very much on the object-level recommendations, I would just frame them differently.")</f>
        <v>I really like this post, and agree with almost everything in it. On the imitation learning point, I also found it surprising how well imitation learning worked. Alex suggests that it could be that human data has enough variation that the agent can learn how to recover from incorrect decisions it could make. I think this is a partial explanation at best -- there is a huge combinatorial explosion, it's not clear why you don't need a much larger dataset to cover the entire space. Maybe there are "natural" representations in any realistic complex environment that you start to accurately learn at the level of compute that they're using, and once you have those then imitation learning with sufficient variation can work well.
On the last point about tossing techniques together, I think this might sometimes be worth doing but often may not be. It makes sense to do this with any real task, since that's a test of the technique against reality. (Here StarCraft counts as a "real" task while Atari does not; the criterion is something like "if the task is successfully automated we are impressed regardless of how it is solved".) I'm less keen on tossing techniques together for artificial benchmarks. I think typically these techniques improve the sample efficiency by a constant multiplicative factor by adding something akin to a good inductive bias; in that case throwing them together may let us solve the artificial benchmark sooner but it doesn't give us great evidence that the "inductive bias" will be good for realistic tasks. I think I don't actually disagree with Alex very much on the object-level recommendations, I would just frame them differently.</v>
      </c>
    </row>
    <row r="1627">
      <c r="A1627" t="str">
        <f>IFERROR(__xludf.DUMMYFUNCTION("""COMPUTED_VALUE"""),"Reinforcement learning")</f>
        <v>Reinforcement learning</v>
      </c>
      <c r="B1627" t="str">
        <f>IFERROR(__xludf.DUMMYFUNCTION("""COMPUTED_VALUE"""),"")</f>
        <v/>
      </c>
      <c r="C1627" s="3" t="str">
        <f>IFERROR(__xludf.DUMMYFUNCTION("""COMPUTED_VALUE"""),"Introducing PlaNet: A Deep Planning Network for Reinforcement Learning")</f>
        <v>Introducing PlaNet: A Deep Planning Network for Reinforcement Learning</v>
      </c>
      <c r="D1627" t="str">
        <f>IFERROR(__xludf.DUMMYFUNCTION("""COMPUTED_VALUE"""),"Danijar Hafner, Student Researcher, Google AI")</f>
        <v>Danijar Hafner, Student Researcher, Google AI</v>
      </c>
      <c r="E1627" t="str">
        <f>IFERROR(__xludf.DUMMYFUNCTION("""COMPUTED_VALUE"""),"Google AI Blog")</f>
        <v>Google AI Blog</v>
      </c>
      <c r="F1627">
        <f>IFERROR(__xludf.DUMMYFUNCTION("""COMPUTED_VALUE"""),2019.0)</f>
        <v>2019</v>
      </c>
      <c r="H1627" s="3" t="str">
        <f>IFERROR(__xludf.DUMMYFUNCTION("""COMPUTED_VALUE"""),"AN #46")</f>
        <v>AN #46</v>
      </c>
    </row>
    <row r="1628">
      <c r="A1628" t="str">
        <f>IFERROR(__xludf.DUMMYFUNCTION("""COMPUTED_VALUE"""),"Reinforcement learning")</f>
        <v>Reinforcement learning</v>
      </c>
      <c r="B1628" t="str">
        <f>IFERROR(__xludf.DUMMYFUNCTION("""COMPUTED_VALUE"""),"")</f>
        <v/>
      </c>
      <c r="C1628" s="3" t="str">
        <f>IFERROR(__xludf.DUMMYFUNCTION("""COMPUTED_VALUE"""),"Soft Actor-Critic: Deep Reinforcement Learning for Robotics")</f>
        <v>Soft Actor-Critic: Deep Reinforcement Learning for Robotics</v>
      </c>
      <c r="D1628" t="str">
        <f>IFERROR(__xludf.DUMMYFUNCTION("""COMPUTED_VALUE"""),"Tuomas Haarnoja, Student Researcher and Sergey Levine, Faculty Advisor, Robotics at Google")</f>
        <v>Tuomas Haarnoja, Student Researcher and Sergey Levine, Faculty Advisor, Robotics at Google</v>
      </c>
      <c r="E1628" t="str">
        <f>IFERROR(__xludf.DUMMYFUNCTION("""COMPUTED_VALUE"""),"Google AI Blog")</f>
        <v>Google AI Blog</v>
      </c>
      <c r="F1628">
        <f>IFERROR(__xludf.DUMMYFUNCTION("""COMPUTED_VALUE"""),2019.0)</f>
        <v>2019</v>
      </c>
      <c r="H1628" s="3" t="str">
        <f>IFERROR(__xludf.DUMMYFUNCTION("""COMPUTED_VALUE"""),"AN #42")</f>
        <v>AN #42</v>
      </c>
    </row>
    <row r="1629">
      <c r="A1629" t="str">
        <f>IFERROR(__xludf.DUMMYFUNCTION("""COMPUTED_VALUE"""),"Reinforcement learning")</f>
        <v>Reinforcement learning</v>
      </c>
      <c r="B1629" t="str">
        <f>IFERROR(__xludf.DUMMYFUNCTION("""COMPUTED_VALUE"""),"")</f>
        <v/>
      </c>
      <c r="C1629" s="3" t="str">
        <f>IFERROR(__xludf.DUMMYFUNCTION("""COMPUTED_VALUE"""),"Off-Policy Deep Reinforcement Learning without Exploration")</f>
        <v>Off-Policy Deep Reinforcement Learning without Exploration</v>
      </c>
      <c r="D1629" t="str">
        <f>IFERROR(__xludf.DUMMYFUNCTION("""COMPUTED_VALUE"""),"Scott Fujimoto, David Meger, Doina Precup")</f>
        <v>Scott Fujimoto, David Meger, Doina Precup</v>
      </c>
      <c r="E1629" t="str">
        <f>IFERROR(__xludf.DUMMYFUNCTION("""COMPUTED_VALUE"""),"NIPS 2018")</f>
        <v>NIPS 2018</v>
      </c>
      <c r="F1629">
        <f>IFERROR(__xludf.DUMMYFUNCTION("""COMPUTED_VALUE"""),2018.0)</f>
        <v>2018</v>
      </c>
      <c r="H1629" s="3" t="str">
        <f>IFERROR(__xludf.DUMMYFUNCTION("""COMPUTED_VALUE"""),"AN #37")</f>
        <v>AN #37</v>
      </c>
      <c r="I1629" t="str">
        <f>IFERROR(__xludf.DUMMYFUNCTION("""COMPUTED_VALUE"""),"Richard")</f>
        <v>Richard</v>
      </c>
      <c r="J1629" t="str">
        <f>IFERROR(__xludf.DUMMYFUNCTION("""COMPUTED_VALUE"""),"This paper discusses off-policy batch reinforcement learning, in which an agent is trying to learn a policy from data which is not based on its own policy, and without the opportunity to collect more data during training. The authors demonstrate that stan"&amp;"dard RL algorithms do badly in this setting because they give unseen state-action pairs unrealistically high values, and lack the opportunity to update them. They  proposes to address this problem by only selecting actions from previously seen state-actio"&amp;"n pairs; they prove various optimality results for this algorithm in the MDP setting. To adapt this approach to the continuous control case, the authors train a generative model to produce likely actions (conditional on the state and the data batch) and t"&amp;"hen only select from the top n actions. Their batch-conditional q-learning algorithm (BCQ) consists of that generative model, a perturbation model to slightly alter the top actions, and a value network and critic to perform the selection. When n = 0, BCQ "&amp;"resembles behavioural cloning, and when n -&gt; ∞, it resembles Q-learning. BCQ with n=10 handily outperformed DQN and DDPG on some Mujoco experiments using batch data.")</f>
        <v>This paper discusses off-policy batch reinforcement learning, in which an agent is trying to learn a policy from data which is not based on its own policy, and without the opportunity to collect more data during training. The authors demonstrate that standard RL algorithms do badly in this setting because they give unseen state-action pairs unrealistically high values, and lack the opportunity to update them. They  proposes to address this problem by only selecting actions from previously seen state-action pairs; they prove various optimality results for this algorithm in the MDP setting. To adapt this approach to the continuous control case, the authors train a generative model to produce likely actions (conditional on the state and the data batch) and then only select from the top n actions. Their batch-conditional q-learning algorithm (BCQ) consists of that generative model, a perturbation model to slightly alter the top actions, and a value network and critic to perform the selection. When n = 0, BCQ resembles behavioural cloning, and when n -&gt; ∞, it resembles Q-learning. BCQ with n=10 handily outperformed DQN and DDPG on some Mujoco experiments using batch data.</v>
      </c>
      <c r="K1629" t="str">
        <f>IFERROR(__xludf.DUMMYFUNCTION("""COMPUTED_VALUE"""),"This is an interesting paper, with a good balance of intuitive motivations, theoretical proofs, and empirical results. While it's not directly safety-related, the broad direction of combining imitation learning and reinforcement learning seems like it mig"&amp;"ht have promise. Relatedly, I wish the authors had discussed in more depth what assumptions can or should be made about the source of batch data. For example, BCQ would presumably perform worse than DQN when data is collected from an expert trying to mini"&amp;"mise reward, and (from the paper’s experiments) performs worse than behavioural cloning when data is collected from an expert trying to maximise reward. Most human data an advanced AI might learn from is presumably somewhere in between those two extremes,"&amp;" and so understanding how well algorithms like BCQ would work on it may be valuable.")</f>
        <v>This is an interesting paper, with a good balance of intuitive motivations, theoretical proofs, and empirical results. While it's not directly safety-related, the broad direction of combining imitation learning and reinforcement learning seems like it might have promise. Relatedly, I wish the authors had discussed in more depth what assumptions can or should be made about the source of batch data. For example, BCQ would presumably perform worse than DQN when data is collected from an expert trying to minimise reward, and (from the paper’s experiments) performs worse than behavioural cloning when data is collected from an expert trying to maximise reward. Most human data an advanced AI might learn from is presumably somewhere in between those two extremes, and so understanding how well algorithms like BCQ would work on it may be valuable.</v>
      </c>
    </row>
    <row r="1630">
      <c r="A1630" t="str">
        <f>IFERROR(__xludf.DUMMYFUNCTION("""COMPUTED_VALUE"""),"Reinforcement learning")</f>
        <v>Reinforcement learning</v>
      </c>
      <c r="B1630" t="str">
        <f>IFERROR(__xludf.DUMMYFUNCTION("""COMPUTED_VALUE"""),"")</f>
        <v/>
      </c>
      <c r="C1630" s="3" t="str">
        <f>IFERROR(__xludf.DUMMYFUNCTION("""COMPUTED_VALUE"""),"Visual Model-Based Reinforcement Learning as a Path towards Generalist Robots")</f>
        <v>Visual Model-Based Reinforcement Learning as a Path towards Generalist Robots</v>
      </c>
      <c r="D1630" t="str">
        <f>IFERROR(__xludf.DUMMYFUNCTION("""COMPUTED_VALUE"""),"Frederik Ebert, Chelsea Finn, Sudeep Dasari, Annie Xie, Alex Lee, and Sergey Levine")</f>
        <v>Frederik Ebert, Chelsea Finn, Sudeep Dasari, Annie Xie, Alex Lee, and Sergey Levine</v>
      </c>
      <c r="E1630" t="str">
        <f>IFERROR(__xludf.DUMMYFUNCTION("""COMPUTED_VALUE"""),"BAIR Blog")</f>
        <v>BAIR Blog</v>
      </c>
      <c r="F1630">
        <f>IFERROR(__xludf.DUMMYFUNCTION("""COMPUTED_VALUE"""),2018.0)</f>
        <v>2018</v>
      </c>
      <c r="H1630" s="3" t="str">
        <f>IFERROR(__xludf.DUMMYFUNCTION("""COMPUTED_VALUE"""),"AN #36")</f>
        <v>AN #36</v>
      </c>
      <c r="I1630" t="str">
        <f>IFERROR(__xludf.DUMMYFUNCTION("""COMPUTED_VALUE"""),"Rohin")</f>
        <v>Rohin</v>
      </c>
      <c r="J1630" t="str">
        <f>IFERROR(__xludf.DUMMYFUNCTION("""COMPUTED_VALUE"""),"How can we get general robots that can perform a diverse array of tasks? We could collect a lot of data from robots acting randomly, train a dynamics model on pixels, and then use model-predictive control to plan. The dynamics model is a neural net traine"&amp;"d to predict the next image given the current image and action. It helps to use temporal skip connections, because this allows the robot to get some object permanence since it can now ""remember"" objects it saw in the past that are currently blocked by s"&amp;"omething else. Model predictive control then samples sequences of actions (called plans), predicts the final image achieved, chooses the plan that best achieves the goal, and takes the first action of that plan. This is then repeated to choose subsequent "&amp;"actions. (Their method is slightly more sophisticated but this is the basic idea.) We can specify the goal by choosing a particular pixel and asking that the object at that pixel be moved to some other pixel. Alternatively, [Few-Shot Goal Inference for Vi"&amp;"suomotor Learning and Planning](https://arxiv.org/abs/1810.00482) ([AN #27](https://mailchi.mp/0212425e5544/alignment-newsletter-27)) trains a classifier that can take a few demonstrations and output a goal.")</f>
        <v>How can we get general robots that can perform a diverse array of tasks? We could collect a lot of data from robots acting randomly, train a dynamics model on pixels, and then use model-predictive control to plan. The dynamics model is a neural net trained to predict the next image given the current image and action. It helps to use temporal skip connections, because this allows the robot to get some object permanence since it can now "remember" objects it saw in the past that are currently blocked by something else. Model predictive control then samples sequences of actions (called plans), predicts the final image achieved, chooses the plan that best achieves the goal, and takes the first action of that plan. This is then repeated to choose subsequent actions. (Their method is slightly more sophisticated but this is the basic idea.) We can specify the goal by choosing a particular pixel and asking that the object at that pixel be moved to some other pixel. Alternatively, [Few-Shot Goal Inference for Visuomotor Learning and Planning](https://arxiv.org/abs/1810.00482) ([AN #27](https://mailchi.mp/0212425e5544/alignment-newsletter-27)) trains a classifier that can take a few demonstrations and output a goal.</v>
      </c>
      <c r="K1630" t="str">
        <f>IFERROR(__xludf.DUMMYFUNCTION("""COMPUTED_VALUE"""),"This is probably the easiest way to get a robot to do interesting things, since you just need it to collect experience autonomously with very little human involvement, you don't need to have good object detection, and in many cases goal specification can "&amp;"be done without too much effort. I'm surprised that using random actions is enough -- how does the robot get enough examples of picking up an object with random actions? Maybe the robot's random strategy is actually coded up in such a way that it is parti"&amp;"cularly likely to do interesting things like picking up an object.
It does seem like this approach will need something else in order to scale to more advanced capabilities, especially hierarchical tasks -- for example, you'll never have an example of pic"&amp;"king up a napkin, getting it wet, and wiping down a table. But perhaps we can iterate the process, where after we learn how to grasp and push, we start collecting data again using grasping and pushing instead of random low-level actions. Safe exploration "&amp;"would become more of a concern here.")</f>
        <v>This is probably the easiest way to get a robot to do interesting things, since you just need it to collect experience autonomously with very little human involvement, you don't need to have good object detection, and in many cases goal specification can be done without too much effort. I'm surprised that using random actions is enough -- how does the robot get enough examples of picking up an object with random actions? Maybe the robot's random strategy is actually coded up in such a way that it is particularly likely to do interesting things like picking up an object.
It does seem like this approach will need something else in order to scale to more advanced capabilities, especially hierarchical tasks -- for example, you'll never have an example of picking up a napkin, getting it wet, and wiping down a table. But perhaps we can iterate the process, where after we learn how to grasp and push, we start collecting data again using grasping and pushing instead of random low-level actions. Safe exploration would become more of a concern here.</v>
      </c>
    </row>
    <row r="1631">
      <c r="A1631" t="str">
        <f>IFERROR(__xludf.DUMMYFUNCTION("""COMPUTED_VALUE"""),"Reinforcement learning")</f>
        <v>Reinforcement learning</v>
      </c>
      <c r="B1631" t="str">
        <f>IFERROR(__xludf.DUMMYFUNCTION("""COMPUTED_VALUE"""),"")</f>
        <v/>
      </c>
      <c r="C1631" s="3" t="str">
        <f>IFERROR(__xludf.DUMMYFUNCTION("""COMPUTED_VALUE"""),"AlphaZero: Shedding new light on the grand games of chess, shogi and Go")</f>
        <v>AlphaZero: Shedding new light on the grand games of chess, shogi and Go</v>
      </c>
      <c r="D1631" t="str">
        <f>IFERROR(__xludf.DUMMYFUNCTION("""COMPUTED_VALUE"""),"David Silver, Thomas Hubert, Julian Schrittwieser, and Demis Hassabis")</f>
        <v>David Silver, Thomas Hubert, Julian Schrittwieser, and Demis Hassabis</v>
      </c>
      <c r="E1631" t="str">
        <f>IFERROR(__xludf.DUMMYFUNCTION("""COMPUTED_VALUE"""),"DeepMind Blog")</f>
        <v>DeepMind Blog</v>
      </c>
      <c r="F1631">
        <f>IFERROR(__xludf.DUMMYFUNCTION("""COMPUTED_VALUE"""),2018.0)</f>
        <v>2018</v>
      </c>
      <c r="H1631" s="3" t="str">
        <f>IFERROR(__xludf.DUMMYFUNCTION("""COMPUTED_VALUE"""),"AN #36")</f>
        <v>AN #36</v>
      </c>
      <c r="I1631" t="str">
        <f>IFERROR(__xludf.DUMMYFUNCTION("""COMPUTED_VALUE"""),"Rohin")</f>
        <v>Rohin</v>
      </c>
      <c r="J1631" t="str">
        <f>IFERROR(__xludf.DUMMYFUNCTION("""COMPUTED_VALUE"""),"If you didn't already believe that AlphaZero is excellent at Go, Chess and Shogi, this post and the associated paper show it more clearly with a detailed evaluation. A few highlights:
- AlphaZero can beat Stockfish starting from common human openings, sug"&amp;"gesting that it generalizes well
- The amount of computation given to AlphaZero to choose a move has a larger effect on the win probability than I was expecting
- I always wondered why they use MCTS and not alpha-beta search. They speculate that alpha-bet"&amp;"a search with a neural net evaluation function succumbs to the [winner's curse](https://www.investopedia.com/terms/w/winnerscurse.asp) since alpha-beta involves a lot of maxes and mins, whereas MCTS averages over evaluations and so is more robust. In cont"&amp;"rast, evaluation functions designed by humans are much more likely to generalize well, and alpha-beta outperforms MCTS.")</f>
        <v>If you didn't already believe that AlphaZero is excellent at Go, Chess and Shogi, this post and the associated paper show it more clearly with a detailed evaluation. A few highlights:
- AlphaZero can beat Stockfish starting from common human openings, suggesting that it generalizes well
- The amount of computation given to AlphaZero to choose a move has a larger effect on the win probability than I was expecting
- I always wondered why they use MCTS and not alpha-beta search. They speculate that alpha-beta search with a neural net evaluation function succumbs to the [winner's curse](https://www.investopedia.com/terms/w/winnerscurse.asp) since alpha-beta involves a lot of maxes and mins, whereas MCTS averages over evaluations and so is more robust. In contrast, evaluation functions designed by humans are much more likely to generalize well, and alpha-beta outperforms MCTS.</v>
      </c>
    </row>
    <row r="1632">
      <c r="A1632" t="str">
        <f>IFERROR(__xludf.DUMMYFUNCTION("""COMPUTED_VALUE"""),"Reinforcement learning")</f>
        <v>Reinforcement learning</v>
      </c>
      <c r="B1632" t="str">
        <f>IFERROR(__xludf.DUMMYFUNCTION("""COMPUTED_VALUE"""),"")</f>
        <v/>
      </c>
      <c r="C1632" s="3" t="str">
        <f>IFERROR(__xludf.DUMMYFUNCTION("""COMPUTED_VALUE"""),"Learning Actionable Representations with Goal-Conditioned Policies")</f>
        <v>Learning Actionable Representations with Goal-Conditioned Policies</v>
      </c>
      <c r="D1632" t="str">
        <f>IFERROR(__xludf.DUMMYFUNCTION("""COMPUTED_VALUE"""),"Dibya Ghosh")</f>
        <v>Dibya Ghosh</v>
      </c>
      <c r="E1632" t="str">
        <f>IFERROR(__xludf.DUMMYFUNCTION("""COMPUTED_VALUE"""),"International Conference on Artificial Intelligence in Education 2018")</f>
        <v>International Conference on Artificial Intelligence in Education 2018</v>
      </c>
      <c r="F1632">
        <f>IFERROR(__xludf.DUMMYFUNCTION("""COMPUTED_VALUE"""),2018.0)</f>
        <v>2018</v>
      </c>
      <c r="H1632" s="3" t="str">
        <f>IFERROR(__xludf.DUMMYFUNCTION("""COMPUTED_VALUE"""),"AN #35")</f>
        <v>AN #35</v>
      </c>
    </row>
    <row r="1633">
      <c r="A1633" t="str">
        <f>IFERROR(__xludf.DUMMYFUNCTION("""COMPUTED_VALUE"""),"Reinforcement learning")</f>
        <v>Reinforcement learning</v>
      </c>
      <c r="B1633" t="str">
        <f>IFERROR(__xludf.DUMMYFUNCTION("""COMPUTED_VALUE"""),"")</f>
        <v/>
      </c>
      <c r="C1633" s="3" t="str">
        <f>IFERROR(__xludf.DUMMYFUNCTION("""COMPUTED_VALUE"""),"Open Sourcing Active Question Reformulation with Reinforcement Learning")</f>
        <v>Open Sourcing Active Question Reformulation with Reinforcement Learning</v>
      </c>
      <c r="D1633" t="str">
        <f>IFERROR(__xludf.DUMMYFUNCTION("""COMPUTED_VALUE"""),"Michelle Chen Huebscher and Rodrigo Nogueira")</f>
        <v>Michelle Chen Huebscher and Rodrigo Nogueira</v>
      </c>
      <c r="E1633" t="str">
        <f>IFERROR(__xludf.DUMMYFUNCTION("""COMPUTED_VALUE"""),"Google AI Blog")</f>
        <v>Google AI Blog</v>
      </c>
      <c r="F1633">
        <f>IFERROR(__xludf.DUMMYFUNCTION("""COMPUTED_VALUE"""),2018.0)</f>
        <v>2018</v>
      </c>
      <c r="H1633" s="3" t="str">
        <f>IFERROR(__xludf.DUMMYFUNCTION("""COMPUTED_VALUE"""),"AN #28")</f>
        <v>AN #28</v>
      </c>
      <c r="I1633" t="str">
        <f>IFERROR(__xludf.DUMMYFUNCTION("""COMPUTED_VALUE"""),"Rohin")</f>
        <v>Rohin</v>
      </c>
      <c r="J1633" t="str">
        <f>IFERROR(__xludf.DUMMYFUNCTION("""COMPUTED_VALUE"""),"Given a question-answering (QA) system, we can get better performance by reformulating a question into a format that is better processed by that system. (A real-world example is [google-fu](https://en.wiktionary.org/wiki/Google-fu), especially several yea"&amp;"rs ago when using the right search terms was more important.) This blog post and accompanying paper consider doing this using reinforcement learning -- try a question reformulation, see if gives a good answer, and if so increase the probability of generat"&amp;"ing that reformulation. For this to work at all, the neural net generating reformulations has to be pretrained to output sensible questions (otherwise it is an _extremely_ sparse reward problem). They do this by training an English-English machine transla"&amp;"tion system. The generated reformulations are quite interesting -- 99.8% start with ""what is name"", and many of them repeat words. Presumably the repetition of words is meant to tell the underlying QA system that the word is particularly important.")</f>
        <v>Given a question-answering (QA) system, we can get better performance by reformulating a question into a format that is better processed by that system. (A real-world example is [google-fu](https://en.wiktionary.org/wiki/Google-fu), especially several years ago when using the right search terms was more important.) This blog post and accompanying paper consider doing this using reinforcement learning -- try a question reformulation, see if gives a good answer, and if so increase the probability of generating that reformulation. For this to work at all, the neural net generating reformulations has to be pretrained to output sensible questions (otherwise it is an _extremely_ sparse reward problem). They do this by training an English-English machine translation system. The generated reformulations are quite interesting -- 99.8% start with "what is name", and many of them repeat words. Presumably the repetition of words is meant to tell the underlying QA system that the word is particularly important.</v>
      </c>
      <c r="K1633" t="str">
        <f>IFERROR(__xludf.DUMMYFUNCTION("""COMPUTED_VALUE"""),"I like how this demonstrates the faults of our current QA systems -- for example, instead of understanding the semantic content of a question, they instead focus on terms that are repeated multiple times. In fact, this might be a great way to tell whether"&amp;" our systems are ""actually understanding"" the question (as opposed to, say, learning a heuristic of searching for sentences with similar words and taking the last noun phrase of that sentence and returning it as the answer). For a good QA system, one wo"&amp;"uld hope that the optimal question reformulation is just to ask the same question again. However, this won't work exactly as stated, since the RL system could learn the answers itself, which could allow it to ""reformulate"" the question such that the ans"&amp;"wer is obvious, for example reformulating ""In what year did India gain independence?"" to ""What is 1946 + 1?"" Unless the QA system is perfectly optimal, there will be some questions where the RL system could memorize the answer this way to improve perf"&amp;"ormance.")</f>
        <v>I like how this demonstrates the faults of our current QA systems -- for example, instead of understanding the semantic content of a question, they instead focus on terms that are repeated multiple times. In fact, this might be a great way to tell whether our systems are "actually understanding" the question (as opposed to, say, learning a heuristic of searching for sentences with similar words and taking the last noun phrase of that sentence and returning it as the answer). For a good QA system, one would hope that the optimal question reformulation is just to ask the same question again. However, this won't work exactly as stated, since the RL system could learn the answers itself, which could allow it to "reformulate" the question such that the answer is obvious, for example reformulating "In what year did India gain independence?" to "What is 1946 + 1?" Unless the QA system is perfectly optimal, there will be some questions where the RL system could memorize the answer this way to improve performance.</v>
      </c>
    </row>
    <row r="1634">
      <c r="A1634" t="str">
        <f>IFERROR(__xludf.DUMMYFUNCTION("""COMPUTED_VALUE"""),"Reinforcement learning")</f>
        <v>Reinforcement learning</v>
      </c>
      <c r="B1634" t="str">
        <f>IFERROR(__xludf.DUMMYFUNCTION("""COMPUTED_VALUE"""),"")</f>
        <v/>
      </c>
      <c r="C1634" s="3" t="str">
        <f>IFERROR(__xludf.DUMMYFUNCTION("""COMPUTED_VALUE"""),"Near-Optimal Representation Learning for Hierarchical Reinforcement Learning ")</f>
        <v>Near-Optimal Representation Learning for Hierarchical Reinforcement Learning </v>
      </c>
      <c r="D1634" t="str">
        <f>IFERROR(__xludf.DUMMYFUNCTION("""COMPUTED_VALUE"""),"Ofir Nachum, Shixiang Gu, Honglak Lee, Sergey Levine")</f>
        <v>Ofir Nachum, Shixiang Gu, Honglak Lee, Sergey Levine</v>
      </c>
      <c r="E1634" t="str">
        <f>IFERROR(__xludf.DUMMYFUNCTION("""COMPUTED_VALUE"""),"NIPS 2018")</f>
        <v>NIPS 2018</v>
      </c>
      <c r="F1634">
        <f>IFERROR(__xludf.DUMMYFUNCTION("""COMPUTED_VALUE"""),2018.0)</f>
        <v>2018</v>
      </c>
      <c r="H1634" s="3" t="str">
        <f>IFERROR(__xludf.DUMMYFUNCTION("""COMPUTED_VALUE"""),"AN #27")</f>
        <v>AN #27</v>
      </c>
      <c r="I1634" t="str">
        <f>IFERROR(__xludf.DUMMYFUNCTION("""COMPUTED_VALUE"""),"Richard")</f>
        <v>Richard</v>
      </c>
      <c r="J1634" t="str">
        <f>IFERROR(__xludf.DUMMYFUNCTION("""COMPUTED_VALUE"""),"This paper discusses the use of learned representations in hierarchical RL. In the setting where a higher-level policy chooses goals which lower-level policies are rewarded for reaching, how bad is it when the goal representation isn't able to express all"&amp;" possible states? The authors define a metric for a representation's lossiness based on how close to optimal the policies which can be learned using that representation are, and prove that using a certain objective function, representations with bounded l"&amp;"ossiness can be learned. They note a similarity between this objective function and those of mutual information estimators.
The authors test their learner on the MuJoCo Ant Maze environment, achieving compelling results.")</f>
        <v>This paper discusses the use of learned representations in hierarchical RL. In the setting where a higher-level policy chooses goals which lower-level policies are rewarded for reaching, how bad is it when the goal representation isn't able to express all possible states? The authors define a metric for a representation's lossiness based on how close to optimal the policies which can be learned using that representation are, and prove that using a certain objective function, representations with bounded lossiness can be learned. They note a similarity between this objective function and those of mutual information estimators.
The authors test their learner on the MuJoCo Ant Maze environment, achieving compelling results.</v>
      </c>
      <c r="K1634" t="str">
        <f>IFERROR(__xludf.DUMMYFUNCTION("""COMPUTED_VALUE"""),"This is a fairly mathematical paper and I didn't entirely follow the proofs, so I'm not sure how dependent they are on the particular choice of objective function. However, the empirical results using that objective seem very impressive, and significantly"&amp;" outperform alternative methods of learning representations.")</f>
        <v>This is a fairly mathematical paper and I didn't entirely follow the proofs, so I'm not sure how dependent they are on the particular choice of objective function. However, the empirical results using that objective seem very impressive, and significantly outperform alternative methods of learning representations.</v>
      </c>
    </row>
    <row r="1635">
      <c r="A1635" t="str">
        <f>IFERROR(__xludf.DUMMYFUNCTION("""COMPUTED_VALUE"""),"Reinforcement learning")</f>
        <v>Reinforcement learning</v>
      </c>
      <c r="B1635" t="str">
        <f>IFERROR(__xludf.DUMMYFUNCTION("""COMPUTED_VALUE"""),"")</f>
        <v/>
      </c>
      <c r="C1635" s="3" t="str">
        <f>IFERROR(__xludf.DUMMYFUNCTION("""COMPUTED_VALUE"""),"Learning Robust Real-Time Cultural Transmission without Human Data")</f>
        <v>Learning Robust Real-Time Cultural Transmission without Human Data</v>
      </c>
      <c r="D1635" t="str">
        <f>IFERROR(__xludf.DUMMYFUNCTION("""COMPUTED_VALUE"""),"Cultural General Intelligence Team, Avishkar Bhoopchand, Bethanie Brownfield, Adrian Collister, Agustin Dal Lago, Ashley Edwards, Richard Everett, Alexandre Frechette, Yanko Gitahy Oliveira, Edward Hughes, Kory W. Mathewson, Piermaria Mendolicchio, Julia "&amp;"Pawar, Miruna Pislar, Alex Platonov, Evan Senter, Sukhdeep Singh, Alexander Zacherl, Lei M. Zhang")</f>
        <v>Cultural General Intelligence Team, Avishkar Bhoopchand, Bethanie Brownfield, Adrian Collister, Agustin Dal Lago, Ashley Edwards, Richard Everett, Alexandre Frechette, Yanko Gitahy Oliveira, Edward Hughes, Kory W. Mathewson, Piermaria Mendolicchio, Julia Pawar, Miruna Pislar, Alex Platonov, Evan Senter, Sukhdeep Singh, Alexander Zacherl, Lei M. Zhang</v>
      </c>
      <c r="E1635" t="str">
        <f>IFERROR(__xludf.DUMMYFUNCTION("""COMPUTED_VALUE"""),"arXiv")</f>
        <v>arXiv</v>
      </c>
      <c r="F1635">
        <f>IFERROR(__xludf.DUMMYFUNCTION("""COMPUTED_VALUE"""),2022.0)</f>
        <v>2022</v>
      </c>
      <c r="H1635" t="str">
        <f>IFERROR(__xludf.DUMMYFUNCTION("""COMPUTED_VALUE"""),"AN #173")</f>
        <v>AN #173</v>
      </c>
      <c r="I1635" t="str">
        <f>IFERROR(__xludf.DUMMYFUNCTION("""COMPUTED_VALUE"""),"Rohin")</f>
        <v>Rohin</v>
      </c>
      <c r="J1635" t="str">
        <f>IFERROR(__xludf.DUMMYFUNCTION("""COMPUTED_VALUE"""),"Let’s consider a 3D RL environment with obstacles and bumpy terrain, in which an agent is rewarded for visiting colored spheres in a specific order (that the agent does not initially know). Even after the agent learns how to navigate at all in the environ"&amp;"ment (non-trivial in its own right), it still has to learn to try the various orderings of spheres. In other words, it must solve a hard exploration problem _within every episode_.
How do humans solve such problems? Often we simply learn from other peopl"&amp;"e who already know what to do, that is, we rely on **cultural transmission**. This paper investigates what it would take to get agents that learn through cultural transmission. We’ll assume that there is an expert bot that visits the spheres in the correc"&amp;"t order. Given that, this paper identifies **MEDAL-ADR** as the necessary ingredients for cultural transmission:
1. **(M)emory:** Memory is needed for the agent to retain information it is not currently observing.
2. **(E)xpert (D)ropout:** There need to"&amp;" be some training episodes in which the expert is only present for part of the episode. If the expert was always present, then there’s no incentive to actually _learn_: you can just follow the expert forever.
3. **(A)ttention (L)oss:** It turns out that v"&amp;"anilla RL by itself isn’t enough for the agent to learn to follow the expert. There needs to be an auxiliary task of predicting the relative position of other agents in the world, which encourages the agent to learn representations about the expert bot’s "&amp;"position, which then makes it easier for RL to learn to follow the expert.
These ingredients by themselves are already enough to train an agent that learns through cultural transmission. However, if you then put the agent in a new environment, it does no"&amp;"t perform very well. To get agents that generalize well to previously unseen test environments, we also need:
4. **(A)utomatic (D)omain (R)andomization:** The training environments are procedurally generated, and the parameters are randomized during each"&amp;" episode. There is a curriculum that automatically increases the difficulty of the environments in lockstep with the agent’s capabilities.
With all of these ingredients, the resulting agent can even culturally learn from a human player, despite only enco"&amp;"untering bots during training.")</f>
        <v>Let’s consider a 3D RL environment with obstacles and bumpy terrain, in which an agent is rewarded for visiting colored spheres in a specific order (that the agent does not initially know). Even after the agent learns how to navigate at all in the environment (non-trivial in its own right), it still has to learn to try the various orderings of spheres. In other words, it must solve a hard exploration problem _within every episode_.
How do humans solve such problems? Often we simply learn from other people who already know what to do, that is, we rely on **cultural transmission**. This paper investigates what it would take to get agents that learn through cultural transmission. We’ll assume that there is an expert bot that visits the spheres in the correct order. Given that, this paper identifies **MEDAL-ADR** as the necessary ingredients for cultural transmission:
1. **(M)emory:** Memory is needed for the agent to retain information it is not currently observing.
2. **(E)xpert (D)ropout:** There need to be some training episodes in which the expert is only present for part of the episode. If the expert was always present, then there’s no incentive to actually _learn_: you can just follow the expert forever.
3. **(A)ttention (L)oss:** It turns out that vanilla RL by itself isn’t enough for the agent to learn to follow the expert. There needs to be an auxiliary task of predicting the relative position of other agents in the world, which encourages the agent to learn representations about the expert bot’s position, which then makes it easier for RL to learn to follow the expert.
These ingredients by themselves are already enough to train an agent that learns through cultural transmission. However, if you then put the agent in a new environment, it does not perform very well. To get agents that generalize well to previously unseen test environments, we also need:
4. **(A)utomatic (D)omain (R)andomization:** The training environments are procedurally generated, and the parameters are randomized during each episode. There is a curriculum that automatically increases the difficulty of the environments in lockstep with the agent’s capabilities.
With all of these ingredients, the resulting agent can even culturally learn from a human player, despite only encountering bots during training.</v>
      </c>
      <c r="K1635" t="str">
        <f>IFERROR(__xludf.DUMMYFUNCTION("""COMPUTED_VALUE"""),"I liked the focus of this paper on identifying the ingredients for cultural transmission, as well as the many ablations and experiments to understand what was going on, many of which I haven’t summarized here. For example, you might be interested in the f"&amp;"our phases of learning of MEDAL without ADR (random behavior, expert following, cultural learning, and solo learning), or the cultural transmission metric they use, or the “social neurons” they identified which detect whether the expert bot is present.")</f>
        <v>I liked the focus of this paper on identifying the ingredients for cultural transmission, as well as the many ablations and experiments to understand what was going on, many of which I haven’t summarized here. For example, you might be interested in the four phases of learning of MEDAL without ADR (random behavior, expert following, cultural learning, and solo learning), or the cultural transmission metric they use, or the “social neurons” they identified which detect whether the expert bot is present.</v>
      </c>
    </row>
    <row r="1636">
      <c r="A1636" t="str">
        <f>IFERROR(__xludf.DUMMYFUNCTION("""COMPUTED_VALUE"""),"Reinforcement learning")</f>
        <v>Reinforcement learning</v>
      </c>
      <c r="B1636" t="str">
        <f>IFERROR(__xludf.DUMMYFUNCTION("""COMPUTED_VALUE"""),"")</f>
        <v/>
      </c>
      <c r="C1636" s="3" t="str">
        <f>IFERROR(__xludf.DUMMYFUNCTION("""COMPUTED_VALUE"""),"Offline Reinforcement Learning: Tutorial, Review, and Perspectives on Open Problems")</f>
        <v>Offline Reinforcement Learning: Tutorial, Review, and Perspectives on Open Problems</v>
      </c>
      <c r="D1636" t="str">
        <f>IFERROR(__xludf.DUMMYFUNCTION("""COMPUTED_VALUE"""),"Sergey Levine, Aviral Kumar, George Tucker, Justin Fu")</f>
        <v>Sergey Levine, Aviral Kumar, George Tucker, Justin Fu</v>
      </c>
      <c r="E1636" t="str">
        <f>IFERROR(__xludf.DUMMYFUNCTION("""COMPUTED_VALUE"""),"arXiv")</f>
        <v>arXiv</v>
      </c>
      <c r="F1636">
        <f>IFERROR(__xludf.DUMMYFUNCTION("""COMPUTED_VALUE"""),2020.0)</f>
        <v>2020</v>
      </c>
      <c r="H1636" s="3" t="str">
        <f>IFERROR(__xludf.DUMMYFUNCTION("""COMPUTED_VALUE"""),"AN #120")</f>
        <v>AN #120</v>
      </c>
      <c r="I1636" t="str">
        <f>IFERROR(__xludf.DUMMYFUNCTION("""COMPUTED_VALUE"""),"Zach")</f>
        <v>Zach</v>
      </c>
      <c r="J1636" t="str">
        <f>IFERROR(__xludf.DUMMYFUNCTION("""COMPUTED_VALUE"""),"The authors in this paper give an overview of offline-reinforcement learning with the aim that readers gain enough familiarity to start thinking about how to make contributions in this area. The utility of a fully offline RL framework is significant: just"&amp;" as supervised learning methods have been able to utilize data for generalizable and powerful pattern recognition, offline RL methods could enable data to be funneled into decision-making machines for applications such as health-care, robotics, and recomm"&amp;"ender systems. The organization of the article is split into a section on formulation and another on benchmarks, followed by a section on applications and a general discussion.
In the formulation portion of the review, the authors give an overview of the"&amp;" offline learning problem and then discuss a number of approaches. Broadly speaking, the biggest challenge is the need for counterfactual reasoning because the agent must learn using data by another agent. Thus, the agent is forced to reason about what wo"&amp;"uld happen if a different decision was used. Importance sampling, approximate dynamic programming, and offline model-based approaches are discussed as possible approaches to this counterfactual reasoning problem. In the benchmarks section, the authors rev"&amp;"iew evaluation techniques for offline RL methods. While the authors find that there are many domain-specific evaluations, general benchmarking is less well established. A major issue in creating benchmarks is deciding whether or not to use diverse traject"&amp;"ories/replay buffer data, or only the final expert policy.
In the discussion, the authors argue that while importance sampling and dynamic programming work on low-dimensional and short-horizon tasks, they struggle to integrate well with function approxim"&amp;"ators. On the other hand, the authors see approaches that constrain the space of policies to be near the dataset as a promising direction to mitigate the effects of distributional shift. However, the authors acknowledge that it may ultimately take more sy"&amp;"stematic datasets to push the field forward. ")</f>
        <v>The authors in this paper give an overview of offline-reinforcement learning with the aim that readers gain enough familiarity to start thinking about how to make contributions in this area. The utility of a fully offline RL framework is significant: just as supervised learning methods have been able to utilize data for generalizable and powerful pattern recognition, offline RL methods could enable data to be funneled into decision-making machines for applications such as health-care, robotics, and recommender systems. The organization of the article is split into a section on formulation and another on benchmarks, followed by a section on applications and a general discussion.
In the formulation portion of the review, the authors give an overview of the offline learning problem and then discuss a number of approaches. Broadly speaking, the biggest challenge is the need for counterfactual reasoning because the agent must learn using data by another agent. Thus, the agent is forced to reason about what would happen if a different decision was used. Importance sampling, approximate dynamic programming, and offline model-based approaches are discussed as possible approaches to this counterfactual reasoning problem. In the benchmarks section, the authors review evaluation techniques for offline RL methods. While the authors find that there are many domain-specific evaluations, general benchmarking is less well established. A major issue in creating benchmarks is deciding whether or not to use diverse trajectories/replay buffer data, or only the final expert policy.
In the discussion, the authors argue that while importance sampling and dynamic programming work on low-dimensional and short-horizon tasks, they struggle to integrate well with function approximators. On the other hand, the authors see approaches that constrain the space of policies to be near the dataset as a promising direction to mitigate the effects of distributional shift. However, the authors acknowledge that it may ultimately take more systematic datasets to push the field forward. </v>
      </c>
      <c r="K1636" t="str">
        <f>IFERROR(__xludf.DUMMYFUNCTION("""COMPUTED_VALUE"""),"This was a great overview of the state of the field. A recurring theme that the authors highlight is that offline RL requires counterfactual reasoning which may be fundamentally difficult to achieve because of distributional shift. Some results shown in t"&amp;"he paper suggest that offline RL may just be fundamentally hard. However, I find myself sharing optimism with the authors on the subject of policy constraint techniques and the inevitable importance of better datasets.")</f>
        <v>This was a great overview of the state of the field. A recurring theme that the authors highlight is that offline RL requires counterfactual reasoning which may be fundamentally difficult to achieve because of distributional shift. Some results shown in the paper suggest that offline RL may just be fundamentally hard. However, I find myself sharing optimism with the authors on the subject of policy constraint techniques and the inevitable importance of better datasets.</v>
      </c>
    </row>
    <row r="1637">
      <c r="A1637" t="str">
        <f>IFERROR(__xludf.DUMMYFUNCTION("""COMPUTED_VALUE"""),"Reinforcement learning")</f>
        <v>Reinforcement learning</v>
      </c>
      <c r="B1637" t="str">
        <f>IFERROR(__xludf.DUMMYFUNCTION("""COMPUTED_VALUE"""),"")</f>
        <v/>
      </c>
      <c r="C1637" s="3" t="str">
        <f>IFERROR(__xludf.DUMMYFUNCTION("""COMPUTED_VALUE"""),"The Animal-AI Testbed and Competition")</f>
        <v>The Animal-AI Testbed and Competition</v>
      </c>
      <c r="D1637" t="str">
        <f>IFERROR(__xludf.DUMMYFUNCTION("""COMPUTED_VALUE"""),"Matthew Crosby, Benjamin Beyret, Murray Shanahan, José Hernández-Orallo, Lucy Cheke, Marta Halina")</f>
        <v>Matthew Crosby, Benjamin Beyret, Murray Shanahan, José Hernández-Orallo, Lucy Cheke, Marta Halina</v>
      </c>
      <c r="E1637" t="str">
        <f>IFERROR(__xludf.DUMMYFUNCTION("""COMPUTED_VALUE"""),"NeurIPS 2019 Competition and Demonstration Track")</f>
        <v>NeurIPS 2019 Competition and Demonstration Track</v>
      </c>
      <c r="F1637">
        <f>IFERROR(__xludf.DUMMYFUNCTION("""COMPUTED_VALUE"""),2020.0)</f>
        <v>2020</v>
      </c>
      <c r="G1637" t="str">
        <f>IFERROR(__xludf.DUMMYFUNCTION("""COMPUTED_VALUE"""),"Haydn Belfield")</f>
        <v>Haydn Belfield</v>
      </c>
      <c r="H1637" s="3" t="str">
        <f>IFERROR(__xludf.DUMMYFUNCTION("""COMPUTED_VALUE"""),"AN #117")</f>
        <v>AN #117</v>
      </c>
      <c r="I1637" t="str">
        <f>IFERROR(__xludf.DUMMYFUNCTION("""COMPUTED_VALUE"""),"Rohin")</f>
        <v>Rohin</v>
      </c>
      <c r="J1637" t="str">
        <f>IFERROR(__xludf.DUMMYFUNCTION("""COMPUTED_VALUE"""),"The Animal-AI testbed tests agents on the ability to solve the sorts of tasks that are used to test animal cognition: for example, is the agent able to reach around a transparent obstacle in order to obtain the food inside. This has a few benefits over st"&amp;"andard RL environments:
1. The Animal-AI testbed is designed to test for specific abilities, unlike environments based on existing games like Atari.
2. A single agent is evaluated on multiple hidden tasks, preventing overfitting. In contrast, in typical "&amp;"RL environments the test setting is identical to the train setting, and so overfitting would count as a valid solution.
The authors ran a competition at NeurIPS 2019 in which submissions were tested on a wide variety of hidden tasks. The winning submissi"&amp;"on used an iterative method to design the agent: after using PPO to train an agent with the current reward and environment suite, the designer would analyze the behavior of the resulting agent, and tweak the reward and environments and then continue train"&amp;"ing, in order to increase robustness. However, it still falls far short of the perfect 100% that the author can achieve on the tests (though the author is not seeing the tests for the first time, as the agents are).")</f>
        <v>The Animal-AI testbed tests agents on the ability to solve the sorts of tasks that are used to test animal cognition: for example, is the agent able to reach around a transparent obstacle in order to obtain the food inside. This has a few benefits over standard RL environments:
1. The Animal-AI testbed is designed to test for specific abilities, unlike environments based on existing games like Atari.
2. A single agent is evaluated on multiple hidden tasks, preventing overfitting. In contrast, in typical RL environments the test setting is identical to the train setting, and so overfitting would count as a valid solution.
The authors ran a competition at NeurIPS 2019 in which submissions were tested on a wide variety of hidden tasks. The winning submission used an iterative method to design the agent: after using PPO to train an agent with the current reward and environment suite, the designer would analyze the behavior of the resulting agent, and tweak the reward and environments and then continue training, in order to increase robustness. However, it still falls far short of the perfect 100% that the author can achieve on the tests (though the author is not seeing the tests for the first time, as the agents are).</v>
      </c>
      <c r="K1637" t="str">
        <f>IFERROR(__xludf.DUMMYFUNCTION("""COMPUTED_VALUE"""),"I’m not sure that the path to general intelligence needs to go through replicating embodied animal intelligence. Nonetheless, I really like this benchmark, because its evaluation setup involves new, unseen tasks in order to prevent overfitting, and becaus"&amp;"e of its focus on learning multiple different skills. These features seem important for RL benchmarks regardless of whether we are replicating animal intelligence or not.")</f>
        <v>I’m not sure that the path to general intelligence needs to go through replicating embodied animal intelligence. Nonetheless, I really like this benchmark, because its evaluation setup involves new, unseen tasks in order to prevent overfitting, and because of its focus on learning multiple different skills. These features seem important for RL benchmarks regardless of whether we are replicating animal intelligence or not.</v>
      </c>
      <c r="M1637" s="3" t="str">
        <f>IFERROR(__xludf.DUMMYFUNCTION("""COMPUTED_VALUE"""),"Building Thinking Machines by Solving Animal Cognition Tasks")</f>
        <v>Building Thinking Machines by Solving Animal Cognition Tasks</v>
      </c>
    </row>
    <row r="1638">
      <c r="A1638" t="str">
        <f>IFERROR(__xludf.DUMMYFUNCTION("""COMPUTED_VALUE"""),"Reinforcement learning")</f>
        <v>Reinforcement learning</v>
      </c>
      <c r="B1638" t="str">
        <f>IFERROR(__xludf.DUMMYFUNCTION("""COMPUTED_VALUE"""),"")</f>
        <v/>
      </c>
      <c r="C1638" s="3" t="str">
        <f>IFERROR(__xludf.DUMMYFUNCTION("""COMPUTED_VALUE"""),"Combining Deep Reinforcement Learning and Search for Imperfect-Information Games")</f>
        <v>Combining Deep Reinforcement Learning and Search for Imperfect-Information Games</v>
      </c>
      <c r="D1638" t="str">
        <f>IFERROR(__xludf.DUMMYFUNCTION("""COMPUTED_VALUE"""),"Noam Brown*, Anton Bakhtin*, Adam Lerer, Qucheng Gong")</f>
        <v>Noam Brown*, Anton Bakhtin*, Adam Lerer, Qucheng Gong</v>
      </c>
      <c r="E1638" t="str">
        <f>IFERROR(__xludf.DUMMYFUNCTION("""COMPUTED_VALUE"""),"arXiv")</f>
        <v>arXiv</v>
      </c>
      <c r="F1638">
        <f>IFERROR(__xludf.DUMMYFUNCTION("""COMPUTED_VALUE"""),2020.0)</f>
        <v>2020</v>
      </c>
      <c r="H1638" s="3" t="str">
        <f>IFERROR(__xludf.DUMMYFUNCTION("""COMPUTED_VALUE"""),"AN #115")</f>
        <v>AN #115</v>
      </c>
      <c r="I1638" t="str">
        <f>IFERROR(__xludf.DUMMYFUNCTION("""COMPUTED_VALUE"""),"Rohin")</f>
        <v>Rohin</v>
      </c>
      <c r="J1638" t="str">
        <f>IFERROR(__xludf.DUMMYFUNCTION("""COMPUTED_VALUE"""),"&lt;@AlphaZero@&gt;(@AlphaZero: Shedding new light on the grand games of chess, shogi and Go@) and its predecessors have achieved impressive results in zero-sum two-player perfect-information games, by using a combination of search (MCTS) and RL. This paper pro"&amp;"vides the first combination of search and deep RL for _imperfect-information_ games like poker. (Prior work like &lt;@Pluribus@&gt;(@Superhuman AI for multiplayer poker@) did use search, but didn’t combine it with deep RL, instead relying on significant expert "&amp;"information about poker.)
The key idea that makes AlphaZero work is that we can estimate the value of a state independently of other states without any interaction effects. For any given state s, we can simulate possible future rollouts of the game, and "&amp;"propagate the values of the resulting new states back up to s. In contrast, for imperfect information games, this approach does not work since you cannot estimate the value of a state independently of the policy you used to get to that state. The solution"&amp;" is to instead estimate values for _public belief states_, which capture the public common knowledge that all players have. Once this is done, it is possible to once again use the strategy of backing up values from simulated future states to the current s"&amp;"tate, and to train a value network and policy network based on this.")</f>
        <v>&lt;@AlphaZero@&gt;(@AlphaZero: Shedding new light on the grand games of chess, shogi and Go@) and its predecessors have achieved impressive results in zero-sum two-player perfect-information games, by using a combination of search (MCTS) and RL. This paper provides the first combination of search and deep RL for _imperfect-information_ games like poker. (Prior work like &lt;@Pluribus@&gt;(@Superhuman AI for multiplayer poker@) did use search, but didn’t combine it with deep RL, instead relying on significant expert information about poker.)
The key idea that makes AlphaZero work is that we can estimate the value of a state independently of other states without any interaction effects. For any given state s, we can simulate possible future rollouts of the game, and propagate the values of the resulting new states back up to s. In contrast, for imperfect information games, this approach does not work since you cannot estimate the value of a state independently of the policy you used to get to that state. The solution is to instead estimate values for _public belief states_, which capture the public common knowledge that all players have. Once this is done, it is possible to once again use the strategy of backing up values from simulated future states to the current state, and to train a value network and policy network based on this.</v>
      </c>
    </row>
    <row r="1639">
      <c r="A1639" t="str">
        <f>IFERROR(__xludf.DUMMYFUNCTION("""COMPUTED_VALUE"""),"Reinforcement learning")</f>
        <v>Reinforcement learning</v>
      </c>
      <c r="B1639" t="str">
        <f>IFERROR(__xludf.DUMMYFUNCTION("""COMPUTED_VALUE"""),"")</f>
        <v/>
      </c>
      <c r="C1639" s="3" t="str">
        <f>IFERROR(__xludf.DUMMYFUNCTION("""COMPUTED_VALUE"""),"Curriculum Learning for Reinforcement Learning Domains: A Framework and Survey")</f>
        <v>Curriculum Learning for Reinforcement Learning Domains: A Framework and Survey</v>
      </c>
      <c r="D1639" t="str">
        <f>IFERROR(__xludf.DUMMYFUNCTION("""COMPUTED_VALUE"""),"Sanmit Narvekar, Bei Peng, Matteo Leonetti, Jivko Sinapov, Matthew E. Taylor, Peter Stone")</f>
        <v>Sanmit Narvekar, Bei Peng, Matteo Leonetti, Jivko Sinapov, Matthew E. Taylor, Peter Stone</v>
      </c>
      <c r="E1639" t="str">
        <f>IFERROR(__xludf.DUMMYFUNCTION("""COMPUTED_VALUE"""),"arXiv")</f>
        <v>arXiv</v>
      </c>
      <c r="F1639">
        <f>IFERROR(__xludf.DUMMYFUNCTION("""COMPUTED_VALUE"""),2020.0)</f>
        <v>2020</v>
      </c>
      <c r="H1639" s="3" t="str">
        <f>IFERROR(__xludf.DUMMYFUNCTION("""COMPUTED_VALUE"""),"AN #114")</f>
        <v>AN #114</v>
      </c>
      <c r="I1639" t="str">
        <f>IFERROR(__xludf.DUMMYFUNCTION("""COMPUTED_VALUE"""),"Zach")</f>
        <v>Zach</v>
      </c>
      <c r="J1639" t="str">
        <f>IFERROR(__xludf.DUMMYFUNCTION("""COMPUTED_VALUE"""),"For a variety of learning problems, the training process is organized so that new concepts and tasks leverage previously learned information. This can serve as a broad definition of curriculum learning. This paper gives an overview of curriculum learning "&amp;"and a framework to organize various approaches to the curriculum learning problem. One central difficulty is that there is a broad class of methods that can be considered curricula. At one extreme, we have curricula where new tasks are created to speed up"&amp;" learning. At another extreme, some curricula simply reorder experience samples. For example, the prioritized replay buffer is one such reordering method. Thus, to cover as much of the literature as possible the authors outline a framework for curriculum "&amp;"learning and then use that structure to classify various approaches. In general, the definition, learning, construction, and the evaluation of curricula are all covered in this work. This is done by breaking the curriculum learning problem into three step"&amp;"s: task generation, sequencing, and transfer learning. Using this problem decomposition the authors give an overview of work addressing each component.")</f>
        <v>For a variety of learning problems, the training process is organized so that new concepts and tasks leverage previously learned information. This can serve as a broad definition of curriculum learning. This paper gives an overview of curriculum learning and a framework to organize various approaches to the curriculum learning problem. One central difficulty is that there is a broad class of methods that can be considered curricula. At one extreme, we have curricula where new tasks are created to speed up learning. At another extreme, some curricula simply reorder experience samples. For example, the prioritized replay buffer is one such reordering method. Thus, to cover as much of the literature as possible the authors outline a framework for curriculum learning and then use that structure to classify various approaches. In general, the definition, learning, construction, and the evaluation of curricula are all covered in this work. This is done by breaking the curriculum learning problem into three steps: task generation, sequencing, and transfer learning. Using this problem decomposition the authors give an overview of work addressing each component.</v>
      </c>
      <c r="K1639" t="str">
        <f>IFERROR(__xludf.DUMMYFUNCTION("""COMPUTED_VALUE"""),"Before I read this, I thought of curricula as 'hacks' used to improve training. However, the authors' presentation of connections with transfer learning and experience replay has significantly changed my opinion. In particular, the phrasing of curriculum "&amp;"learning as a kind of 'meta-MDP seems particularly interesting to me. Moreover, there seem to be interesting challenges in this field. One such challenge is that there does not seem to be a great amount of theory about *why* curricula work which could ind"&amp;"icate a point of departure for people interested in safety research. Knowing more about theory could help answer safety questions. For example, how do we design curricula so that we can guarantee/check the agent is behaving correctly at each step?")</f>
        <v>Before I read this, I thought of curricula as 'hacks' used to improve training. However, the authors' presentation of connections with transfer learning and experience replay has significantly changed my opinion. In particular, the phrasing of curriculum learning as a kind of 'meta-MDP seems particularly interesting to me. Moreover, there seem to be interesting challenges in this field. One such challenge is that there does not seem to be a great amount of theory about *why* curricula work which could indicate a point of departure for people interested in safety research. Knowing more about theory could help answer safety questions. For example, how do we design curricula so that we can guarantee/check the agent is behaving correctly at each step?</v>
      </c>
    </row>
    <row r="1640">
      <c r="A1640" t="str">
        <f>IFERROR(__xludf.DUMMYFUNCTION("""COMPUTED_VALUE"""),"Reinforcement learning")</f>
        <v>Reinforcement learning</v>
      </c>
      <c r="B1640" t="str">
        <f>IFERROR(__xludf.DUMMYFUNCTION("""COMPUTED_VALUE"""),"")</f>
        <v/>
      </c>
      <c r="C1640" s="3" t="str">
        <f>IFERROR(__xludf.DUMMYFUNCTION("""COMPUTED_VALUE"""),"Suphx: Mastering Mahjong with Deep Reinforcement Learning")</f>
        <v>Suphx: Mastering Mahjong with Deep Reinforcement Learning</v>
      </c>
      <c r="D1640" t="str">
        <f>IFERROR(__xludf.DUMMYFUNCTION("""COMPUTED_VALUE"""),"Junjie Li, Sotetsu Koyamada, Qiwei Ye, Guoqing Liu, Chao Wang, Ruihan Yang, Li Zhao, Tao Qin, Tie-Yan Liu, Hsiao-Wuen Hon")</f>
        <v>Junjie Li, Sotetsu Koyamada, Qiwei Ye, Guoqing Liu, Chao Wang, Ruihan Yang, Li Zhao, Tao Qin, Tie-Yan Liu, Hsiao-Wuen Hon</v>
      </c>
      <c r="E1640" t="str">
        <f>IFERROR(__xludf.DUMMYFUNCTION("""COMPUTED_VALUE"""),"arXiv")</f>
        <v>arXiv</v>
      </c>
      <c r="F1640">
        <f>IFERROR(__xludf.DUMMYFUNCTION("""COMPUTED_VALUE"""),2020.0)</f>
        <v>2020</v>
      </c>
      <c r="H1640" s="3" t="str">
        <f>IFERROR(__xludf.DUMMYFUNCTION("""COMPUTED_VALUE"""),"AN #102")</f>
        <v>AN #102</v>
      </c>
      <c r="I1640" t="str">
        <f>IFERROR(__xludf.DUMMYFUNCTION("""COMPUTED_VALUE"""),"Rohin")</f>
        <v>Rohin</v>
      </c>
      <c r="J1640" t="str">
        <f>IFERROR(__xludf.DUMMYFUNCTION("""COMPUTED_VALUE"""),"Mahjong is a large imperfect information game with complex rules where turn order can be interrupted. This makes it challenging to solve with existing techniques like MCTS and counterfactual regret minimization. This paper details what was necessary to bu"&amp;"ild _Suphx_, an AI system that is stronger than 99.99% of humans. Some highlights:
- Like the original AlphaGo, they first learned from human gameplay and then finetuned using reinforcement learning, with deep CNNs as their models. They learned both acti"&amp;"on models as well as value models. They added an entropy bonus to ensure that the policy remained stochastic enough to continue learning over the course of RL.
- They have _five_ learned action models, corresponding to five different decisions that need t"&amp;"o be made in Mahjong, as well as a rule-based system for deciding whether or not to declare a winning hand.
- To handle imperfect information, they first train an _oracle agent_ that gets access to all information, and then slowly reduce the amount of inf"&amp;"ormation that it gets to observe.
- They could use search to improve the performance online, but did not do so in their evaluation (since Suphx was playing on a website with time constraints). Suphx with search would probably be significantly stronger.")</f>
        <v>Mahjong is a large imperfect information game with complex rules where turn order can be interrupted. This makes it challenging to solve with existing techniques like MCTS and counterfactual regret minimization. This paper details what was necessary to build _Suphx_, an AI system that is stronger than 99.99% of humans. Some highlights:
- Like the original AlphaGo, they first learned from human gameplay and then finetuned using reinforcement learning, with deep CNNs as their models. They learned both action models as well as value models. They added an entropy bonus to ensure that the policy remained stochastic enough to continue learning over the course of RL.
- They have _five_ learned action models, corresponding to five different decisions that need to be made in Mahjong, as well as a rule-based system for deciding whether or not to declare a winning hand.
- To handle imperfect information, they first train an _oracle agent_ that gets access to all information, and then slowly reduce the amount of information that it gets to observe.
- They could use search to improve the performance online, but did not do so in their evaluation (since Suphx was playing on a website with time constraints). Suphx with search would probably be significantly stronger.</v>
      </c>
      <c r="K1640" t="str">
        <f>IFERROR(__xludf.DUMMYFUNCTION("""COMPUTED_VALUE"""),"I am a bit curious how they removed observations from the oracle agent, given that you usually have to keep the structure of the input to a neural net constant. Perhaps they simply zeroed out the observations they didn't want?")</f>
        <v>I am a bit curious how they removed observations from the oracle agent, given that you usually have to keep the structure of the input to a neural net constant. Perhaps they simply zeroed out the observations they didn't want?</v>
      </c>
    </row>
    <row r="1641">
      <c r="A1641" t="str">
        <f>IFERROR(__xludf.DUMMYFUNCTION("""COMPUTED_VALUE"""),"Reinforcement learning")</f>
        <v>Reinforcement learning</v>
      </c>
      <c r="B1641" t="str">
        <f>IFERROR(__xludf.DUMMYFUNCTION("""COMPUTED_VALUE"""),"")</f>
        <v/>
      </c>
      <c r="C1641" s="3" t="str">
        <f>IFERROR(__xludf.DUMMYFUNCTION("""COMPUTED_VALUE"""),"Mastering Complex Control in MOBA Games with Deep Reinforcement Learning")</f>
        <v>Mastering Complex Control in MOBA Games with Deep Reinforcement Learning</v>
      </c>
      <c r="D1641" t="str">
        <f>IFERROR(__xludf.DUMMYFUNCTION("""COMPUTED_VALUE"""),"Deheng Ye, Zhao Liu, Mingfei Sun, Bei Shi, Peilin Zhao, Hao Wu, Hongsheng Yu, Shaojie Yang, Xipeng Wu, Qingwei Guo, Qiaobo Chen, Yinyuting Yin, Hao Zhang, Tengfei Shi, Liang Wang, Qiang Fu, Wei Yang, Lanxiao Huang")</f>
        <v>Deheng Ye, Zhao Liu, Mingfei Sun, Bei Shi, Peilin Zhao, Hao Wu, Hongsheng Yu, Shaojie Yang, Xipeng Wu, Qingwei Guo, Qiaobo Chen, Yinyuting Yin, Hao Zhang, Tengfei Shi, Liang Wang, Qiang Fu, Wei Yang, Lanxiao Huang</v>
      </c>
      <c r="E1641" t="str">
        <f>IFERROR(__xludf.DUMMYFUNCTION("""COMPUTED_VALUE"""),"AAAI 2020")</f>
        <v>AAAI 2020</v>
      </c>
      <c r="F1641">
        <f>IFERROR(__xludf.DUMMYFUNCTION("""COMPUTED_VALUE"""),2019.0)</f>
        <v>2019</v>
      </c>
      <c r="H1641" s="3" t="str">
        <f>IFERROR(__xludf.DUMMYFUNCTION("""COMPUTED_VALUE"""),"AN #102")</f>
        <v>AN #102</v>
      </c>
      <c r="I1641" t="str">
        <f>IFERROR(__xludf.DUMMYFUNCTION("""COMPUTED_VALUE"""),"Rohin")</f>
        <v>Rohin</v>
      </c>
      <c r="J1641" t="str">
        <f>IFERROR(__xludf.DUMMYFUNCTION("""COMPUTED_VALUE"""),"This paper presents an AI system that can play the Multi-player Online Battle Arena (MOBA) game _Honor of Kings_. They are inspired by &lt;@OpenAI Five@&gt; (and Honor of Kings sounds quite similar to Dota, though it is 1v1 instead of 5v5), and have a similar l"&amp;"earning setup: reinforcement learning using PPO. Their architecture requires an off-policy algorithm (I’m not sure why, maybe they have stale parameters across their rollout servers), so they add an importance sampling correction to the PPO objective, as "&amp;"well as an additional type of gradient clipping. The input is a combination of the image and underlying game state info. The resulting agents are able to beat top human players, and in an event with the public, the AI system lost only 4 out of 2100 matche"&amp;"s. Unlike OpenAI Five, this required only around 100 hours to train (though it’s unclear how much compute was used).")</f>
        <v>This paper presents an AI system that can play the Multi-player Online Battle Arena (MOBA) game _Honor of Kings_. They are inspired by &lt;@OpenAI Five@&gt; (and Honor of Kings sounds quite similar to Dota, though it is 1v1 instead of 5v5), and have a similar learning setup: reinforcement learning using PPO. Their architecture requires an off-policy algorithm (I’m not sure why, maybe they have stale parameters across their rollout servers), so they add an importance sampling correction to the PPO objective, as well as an additional type of gradient clipping. The input is a combination of the image and underlying game state info. The resulting agents are able to beat top human players, and in an event with the public, the AI system lost only 4 out of 2100 matches. Unlike OpenAI Five, this required only around 100 hours to train (though it’s unclear how much compute was used).</v>
      </c>
    </row>
    <row r="1642">
      <c r="A1642" t="str">
        <f>IFERROR(__xludf.DUMMYFUNCTION("""COMPUTED_VALUE"""),"Reinforcement learning")</f>
        <v>Reinforcement learning</v>
      </c>
      <c r="B1642" t="str">
        <f>IFERROR(__xludf.DUMMYFUNCTION("""COMPUTED_VALUE"""),"")</f>
        <v/>
      </c>
      <c r="C1642" s="3" t="str">
        <f>IFERROR(__xludf.DUMMYFUNCTION("""COMPUTED_VALUE"""),"""Other-Play"" for Zero-Shot Coordination")</f>
        <v>"Other-Play" for Zero-Shot Coordination</v>
      </c>
      <c r="D1642" t="str">
        <f>IFERROR(__xludf.DUMMYFUNCTION("""COMPUTED_VALUE"""),"Hengyuan Hu, Adam Lerer, Alex Peysakhovich, Jakob Foerster")</f>
        <v>Hengyuan Hu, Adam Lerer, Alex Peysakhovich, Jakob Foerster</v>
      </c>
      <c r="E1642" t="str">
        <f>IFERROR(__xludf.DUMMYFUNCTION("""COMPUTED_VALUE"""),"arXiv")</f>
        <v>arXiv</v>
      </c>
      <c r="F1642">
        <f>IFERROR(__xludf.DUMMYFUNCTION("""COMPUTED_VALUE"""),2020.0)</f>
        <v>2020</v>
      </c>
      <c r="H1642" s="3" t="str">
        <f>IFERROR(__xludf.DUMMYFUNCTION("""COMPUTED_VALUE"""),"AN #100")</f>
        <v>AN #100</v>
      </c>
      <c r="I1642" t="str">
        <f>IFERROR(__xludf.DUMMYFUNCTION("""COMPUTED_VALUE"""),"Rohin")</f>
        <v>Rohin</v>
      </c>
      <c r="J1642" t="str">
        <f>IFERROR(__xludf.DUMMYFUNCTION("""COMPUTED_VALUE"""),"How can we build AI systems that can _coordinate_ with humans? While &lt;@past@&gt;(@Collaborating with Humans Requires Understanding Them@) &lt;@work@&gt;(@Learning Existing Social Conventions via Observationally Augmented Self-Play@) has assumed access to some amou"&amp;"nt of human data, this paper aims to coordinate _without any human data at all_, which they call _zero-shot coordination_. In order to develop an algorithm, they assume that their partner is also ""trained"" for zero-shot coordination.
Their key idea is "&amp;"that in zero-shot coordination, since you can't break symmetries by agreeing upon a protocol in advance (i.e. you can't agree on things like ""we'll drive on the left, not the right""), you need a policy that is _robust to relabelings that preserve these "&amp;"symmetries_. This is easy to train for: you just train in self-play, but randomly relabel the states, actions and observations separately for each side in a way that preserves the MDP structure (i.e. uses one of the symmetries). Thus, each side must play "&amp;"a policy that works well _without knowing how the other agent's observations and actions have been relabeled_. In practice, for an N-player game you only need to randomize N-1 of the relabelings, and so in the two player games they consider they only rand"&amp;"omly relabel one side of the self-play.
They evaluate this in Hanabi (where the game is invariant to relabeling of the colors), and show that the resulting agents are better at playing with other agents trained on different seeds or with slightly differe"&amp;"nt architectures, and also that they play better with humans, achieving an average score of 15.75 with non-expert human players, compared to 9.15 for agents trained via regular self-play.")</f>
        <v>How can we build AI systems that can _coordinate_ with humans? While &lt;@past@&gt;(@Collaborating with Humans Requires Understanding Them@) &lt;@work@&gt;(@Learning Existing Social Conventions via Observationally Augmented Self-Play@) has assumed access to some amount of human data, this paper aims to coordinate _without any human data at all_, which they call _zero-shot coordination_. In order to develop an algorithm, they assume that their partner is also "trained" for zero-shot coordination.
Their key idea is that in zero-shot coordination, since you can't break symmetries by agreeing upon a protocol in advance (i.e. you can't agree on things like "we'll drive on the left, not the right"), you need a policy that is _robust to relabelings that preserve these symmetries_. This is easy to train for: you just train in self-play, but randomly relabel the states, actions and observations separately for each side in a way that preserves the MDP structure (i.e. uses one of the symmetries). Thus, each side must play a policy that works well _without knowing how the other agent's observations and actions have been relabeled_. In practice, for an N-player game you only need to randomize N-1 of the relabelings, and so in the two player games they consider they only randomly relabel one side of the self-play.
They evaluate this in Hanabi (where the game is invariant to relabeling of the colors), and show that the resulting agents are better at playing with other agents trained on different seeds or with slightly different architectures, and also that they play better with humans, achieving an average score of 15.75 with non-expert human players, compared to 9.15 for agents trained via regular self-play.</v>
      </c>
      <c r="K1642" t="str">
        <f>IFERROR(__xludf.DUMMYFUNCTION("""COMPUTED_VALUE"""),"For comparison, I think I get around 17-22 when playing with new players, out of a max of 25, so 15.75 is quite a healthy score given that it doesn't use _any_ human data. That being said, it seems hard to use this method in other settings -- even in the "&amp;"relatively simple &lt;@Overcooked environment@&gt;(@Collaborating with Humans Requires Understanding Them@), there aren't any obvious symmetries to use for such training. Perhaps future work will allow us to find approximate symmetries in games somehow, that we"&amp;" can then train to be robust to?")</f>
        <v>For comparison, I think I get around 17-22 when playing with new players, out of a max of 25, so 15.75 is quite a healthy score given that it doesn't use _any_ human data. That being said, it seems hard to use this method in other settings -- even in the relatively simple &lt;@Overcooked environment@&gt;(@Collaborating with Humans Requires Understanding Them@), there aren't any obvious symmetries to use for such training. Perhaps future work will allow us to find approximate symmetries in games somehow, that we can then train to be robust to?</v>
      </c>
    </row>
    <row r="1643">
      <c r="A1643" t="str">
        <f>IFERROR(__xludf.DUMMYFUNCTION("""COMPUTED_VALUE"""),"Reinforcement learning")</f>
        <v>Reinforcement learning</v>
      </c>
      <c r="B1643" t="str">
        <f>IFERROR(__xludf.DUMMYFUNCTION("""COMPUTED_VALUE"""),"")</f>
        <v/>
      </c>
      <c r="C1643" s="3" t="str">
        <f>IFERROR(__xludf.DUMMYFUNCTION("""COMPUTED_VALUE"""),"Building AI that can master complex cooperative games with hidden information")</f>
        <v>Building AI that can master complex cooperative games with hidden information</v>
      </c>
      <c r="D1643" t="str">
        <f>IFERROR(__xludf.DUMMYFUNCTION("""COMPUTED_VALUE"""),"Adam Lerer, Hengyuan Hu, Jakob Foerster, Noam Brown")</f>
        <v>Adam Lerer, Hengyuan Hu, Jakob Foerster, Noam Brown</v>
      </c>
      <c r="E1643" t="str">
        <f>IFERROR(__xludf.DUMMYFUNCTION("""COMPUTED_VALUE"""),"arXiv")</f>
        <v>arXiv</v>
      </c>
      <c r="F1643">
        <f>IFERROR(__xludf.DUMMYFUNCTION("""COMPUTED_VALUE"""),2019.0)</f>
        <v>2019</v>
      </c>
      <c r="H1643" s="3" t="str">
        <f>IFERROR(__xludf.DUMMYFUNCTION("""COMPUTED_VALUE"""),"AN #100")</f>
        <v>AN #100</v>
      </c>
      <c r="I1643" t="str">
        <f>IFERROR(__xludf.DUMMYFUNCTION("""COMPUTED_VALUE"""),"Flo")</f>
        <v>Flo</v>
      </c>
      <c r="J1643" t="str">
        <f>IFERROR(__xludf.DUMMYFUNCTION("""COMPUTED_VALUE"""),"This paper improves on the state of the art for AI agents playing &lt;@Hanabi@&gt;(@The Hanabi Challenge: A New Frontier for AI Research@), a cooperative multiplayer game that is challenging because of distributed hidden information and restricted communication"&amp;". 
The approach works by improving a baseline policy using search. In the simplest case, only one agent performs search while all other agents follow a fixed policy, such that the problem is reduced to search in a POMDP. This alone leads to relevant impr"&amp;"ovements, even when the search is very shallow. The fixed policies help because they allow the searching agent to correctly update its belief about hidden information when it sees other agents behaving (as it knows how other agents would behave given diff"&amp;"erent states of the hidden information). This idea can be generalized to the case where all agents perform search by letting the agents simulate each other's search process. This can get expensive quickly as agent A's beliefs in the second round also depe"&amp;"nd on agent B's search process in counterfactual scenarios in the first round, such that agent B's search in round two also has to simulate these counterfactuals.  A computation budget is introduced to make this computationally feasible and all agents kno"&amp;"w that the other agents will only use search in a turn if the cost of this is below the budget. 
As search can be performed on top of any policy and allows to leverage compute during inference, not just training, it nicely complements more direct approac"&amp;"hes using deep RL, which is a theme that has also been observed in Go and Poker.")</f>
        <v>This paper improves on the state of the art for AI agents playing &lt;@Hanabi@&gt;(@The Hanabi Challenge: A New Frontier for AI Research@), a cooperative multiplayer game that is challenging because of distributed hidden information and restricted communication. 
The approach works by improving a baseline policy using search. In the simplest case, only one agent performs search while all other agents follow a fixed policy, such that the problem is reduced to search in a POMDP. This alone leads to relevant improvements, even when the search is very shallow. The fixed policies help because they allow the searching agent to correctly update its belief about hidden information when it sees other agents behaving (as it knows how other agents would behave given different states of the hidden information). This idea can be generalized to the case where all agents perform search by letting the agents simulate each other's search process. This can get expensive quickly as agent A's beliefs in the second round also depend on agent B's search process in counterfactual scenarios in the first round, such that agent B's search in round two also has to simulate these counterfactuals.  A computation budget is introduced to make this computationally feasible and all agents know that the other agents will only use search in a turn if the cost of this is below the budget. 
As search can be performed on top of any policy and allows to leverage compute during inference, not just training, it nicely complements more direct approaches using deep RL, which is a theme that has also been observed in Go and Poker.</v>
      </c>
      <c r="K1643" t="str">
        <f>IFERROR(__xludf.DUMMYFUNCTION("""COMPUTED_VALUE"""),"This solution seems stunningly obvious in retrospect. While the authors informally report that their approach improves robustness to replacing other agents by humans, the example they give seems to indicate that this is because search prevents obvious mis"&amp;"takes in novel situations induced by human behaviour. Thus, I still expect (implicit) &lt;@human models@&gt;(@Thoughts on Human Models@) to be a vital component of human-machine cooperation.  ")</f>
        <v>This solution seems stunningly obvious in retrospect. While the authors informally report that their approach improves robustness to replacing other agents by humans, the example they give seems to indicate that this is because search prevents obvious mistakes in novel situations induced by human behaviour. Thus, I still expect (implicit) &lt;@human models@&gt;(@Thoughts on Human Models@) to be a vital component of human-machine cooperation.  </v>
      </c>
      <c r="M1643" s="3" t="str">
        <f>IFERROR(__xludf.DUMMYFUNCTION("""COMPUTED_VALUE"""),"Paper: Improving Policies via Search in Cooperative Partially Observable Games")</f>
        <v>Paper: Improving Policies via Search in Cooperative Partially Observable Games</v>
      </c>
    </row>
    <row r="1644">
      <c r="A1644" t="str">
        <f>IFERROR(__xludf.DUMMYFUNCTION("""COMPUTED_VALUE"""),"Reinforcement learning")</f>
        <v>Reinforcement learning</v>
      </c>
      <c r="B1644" t="str">
        <f>IFERROR(__xludf.DUMMYFUNCTION("""COMPUTED_VALUE"""),"")</f>
        <v/>
      </c>
      <c r="C1644" s="3" t="str">
        <f>IFERROR(__xludf.DUMMYFUNCTION("""COMPUTED_VALUE"""),"Learning to Explore with Meta-Policy Gradient")</f>
        <v>Learning to Explore with Meta-Policy Gradient</v>
      </c>
      <c r="E1644" t="str">
        <f>IFERROR(__xludf.DUMMYFUNCTION("""COMPUTED_VALUE"""),"NIPS 2018")</f>
        <v>NIPS 2018</v>
      </c>
      <c r="F1644">
        <f>IFERROR(__xludf.DUMMYFUNCTION("""COMPUTED_VALUE"""),2018.0)</f>
        <v>2018</v>
      </c>
      <c r="H1644" s="3" t="str">
        <f>IFERROR(__xludf.DUMMYFUNCTION("""COMPUTED_VALUE"""),"Recon #5")</f>
        <v>Recon #5</v>
      </c>
    </row>
    <row r="1645">
      <c r="A1645" t="str">
        <f>IFERROR(__xludf.DUMMYFUNCTION("""COMPUTED_VALUE"""),"Reinforcement learning")</f>
        <v>Reinforcement learning</v>
      </c>
      <c r="B1645" t="str">
        <f>IFERROR(__xludf.DUMMYFUNCTION("""COMPUTED_VALUE"""),"")</f>
        <v/>
      </c>
      <c r="C1645" s="3" t="str">
        <f>IFERROR(__xludf.DUMMYFUNCTION("""COMPUTED_VALUE"""),"Simple random search provides a competitive approach to reinforcement learning")</f>
        <v>Simple random search provides a competitive approach to reinforcement learning</v>
      </c>
      <c r="E1645" t="str">
        <f>IFERROR(__xludf.DUMMYFUNCTION("""COMPUTED_VALUE"""),"arXiv")</f>
        <v>arXiv</v>
      </c>
      <c r="F1645">
        <f>IFERROR(__xludf.DUMMYFUNCTION("""COMPUTED_VALUE"""),2018.0)</f>
        <v>2018</v>
      </c>
      <c r="H1645" s="3" t="str">
        <f>IFERROR(__xludf.DUMMYFUNCTION("""COMPUTED_VALUE"""),"Recon #5")</f>
        <v>Recon #5</v>
      </c>
    </row>
    <row r="1646">
      <c r="A1646" t="str">
        <f>IFERROR(__xludf.DUMMYFUNCTION("""COMPUTED_VALUE"""),"Reinforcement learning")</f>
        <v>Reinforcement learning</v>
      </c>
      <c r="B1646" t="str">
        <f>IFERROR(__xludf.DUMMYFUNCTION("""COMPUTED_VALUE"""),"")</f>
        <v/>
      </c>
      <c r="C1646" s="3" t="str">
        <f>IFERROR(__xludf.DUMMYFUNCTION("""COMPUTED_VALUE"""),"Thinking Fast and Slow with Deep Learning and Tree Search")</f>
        <v>Thinking Fast and Slow with Deep Learning and Tree Search</v>
      </c>
      <c r="E1646" t="str">
        <f>IFERROR(__xludf.DUMMYFUNCTION("""COMPUTED_VALUE"""),"arXiv")</f>
        <v>arXiv</v>
      </c>
      <c r="F1646">
        <f>IFERROR(__xludf.DUMMYFUNCTION("""COMPUTED_VALUE"""),2017.0)</f>
        <v>2017</v>
      </c>
      <c r="H1646" s="3" t="str">
        <f>IFERROR(__xludf.DUMMYFUNCTION("""COMPUTED_VALUE"""),"Recon #4")</f>
        <v>Recon #4</v>
      </c>
    </row>
    <row r="1647">
      <c r="A1647" t="str">
        <f>IFERROR(__xludf.DUMMYFUNCTION("""COMPUTED_VALUE"""),"Reinforcement learning")</f>
        <v>Reinforcement learning</v>
      </c>
      <c r="B1647" t="str">
        <f>IFERROR(__xludf.DUMMYFUNCTION("""COMPUTED_VALUE"""),"")</f>
        <v/>
      </c>
      <c r="C1647" s="3" t="str">
        <f>IFERROR(__xludf.DUMMYFUNCTION("""COMPUTED_VALUE"""),"Learning by Playing")</f>
        <v>Learning by Playing</v>
      </c>
      <c r="E1647" t="str">
        <f>IFERROR(__xludf.DUMMYFUNCTION("""COMPUTED_VALUE"""),"DeepMind Blog")</f>
        <v>DeepMind Blog</v>
      </c>
      <c r="F1647">
        <f>IFERROR(__xludf.DUMMYFUNCTION("""COMPUTED_VALUE"""),2018.0)</f>
        <v>2018</v>
      </c>
      <c r="H1647" s="3" t="str">
        <f>IFERROR(__xludf.DUMMYFUNCTION("""COMPUTED_VALUE"""),"Recon #4")</f>
        <v>Recon #4</v>
      </c>
    </row>
    <row r="1648">
      <c r="A1648" t="str">
        <f>IFERROR(__xludf.DUMMYFUNCTION("""COMPUTED_VALUE"""),"Reinforcement learning")</f>
        <v>Reinforcement learning</v>
      </c>
      <c r="B1648" t="str">
        <f>IFERROR(__xludf.DUMMYFUNCTION("""COMPUTED_VALUE"""),"")</f>
        <v/>
      </c>
      <c r="C1648" s="3" t="str">
        <f>IFERROR(__xludf.DUMMYFUNCTION("""COMPUTED_VALUE"""),"Rogue-Gym: A New Challenge for Generalization in Reinforcement Learning")</f>
        <v>Rogue-Gym: A New Challenge for Generalization in Reinforcement Learning</v>
      </c>
      <c r="D1648" t="str">
        <f>IFERROR(__xludf.DUMMYFUNCTION("""COMPUTED_VALUE"""),"Yuji Kanagawa, Tomoyuki Kaneko")</f>
        <v>Yuji Kanagawa, Tomoyuki Kaneko</v>
      </c>
      <c r="E1648" t="str">
        <f>IFERROR(__xludf.DUMMYFUNCTION("""COMPUTED_VALUE"""),"arXiv")</f>
        <v>arXiv</v>
      </c>
      <c r="F1648">
        <f>IFERROR(__xludf.DUMMYFUNCTION("""COMPUTED_VALUE"""),2019.0)</f>
        <v>2019</v>
      </c>
      <c r="H1648" t="str">
        <f>IFERROR(__xludf.DUMMYFUNCTION("""COMPUTED_VALUE"""),"N/A")</f>
        <v>N/A</v>
      </c>
    </row>
    <row r="1649">
      <c r="A1649" t="str">
        <f>IFERROR(__xludf.DUMMYFUNCTION("""COMPUTED_VALUE"""),"Reinforcement learning")</f>
        <v>Reinforcement learning</v>
      </c>
      <c r="B1649" t="str">
        <f>IFERROR(__xludf.DUMMYFUNCTION("""COMPUTED_VALUE"""),"")</f>
        <v/>
      </c>
      <c r="C1649" s="3" t="str">
        <f>IFERROR(__xludf.DUMMYFUNCTION("""COMPUTED_VALUE"""),"CURL: Contrastive Unsupervised Representations for Reinforcement Learning")</f>
        <v>CURL: Contrastive Unsupervised Representations for Reinforcement Learning</v>
      </c>
      <c r="D1649" t="str">
        <f>IFERROR(__xludf.DUMMYFUNCTION("""COMPUTED_VALUE"""),"Aravind Srinivas*, Michael Laskin*, Pieter Abbeel")</f>
        <v>Aravind Srinivas*, Michael Laskin*, Pieter Abbeel</v>
      </c>
      <c r="E1649" t="str">
        <f>IFERROR(__xludf.DUMMYFUNCTION("""COMPUTED_VALUE"""),"arXiv")</f>
        <v>arXiv</v>
      </c>
      <c r="F1649">
        <f>IFERROR(__xludf.DUMMYFUNCTION("""COMPUTED_VALUE"""),2020.0)</f>
        <v>2020</v>
      </c>
      <c r="H1649" s="3" t="str">
        <f>IFERROR(__xludf.DUMMYFUNCTION("""COMPUTED_VALUE"""),"AN #99")</f>
        <v>AN #99</v>
      </c>
      <c r="I1649" t="str">
        <f>IFERROR(__xludf.DUMMYFUNCTION("""COMPUTED_VALUE"""),"Rohin")</f>
        <v>Rohin</v>
      </c>
      <c r="J1649" t="str">
        <f>IFERROR(__xludf.DUMMYFUNCTION("""COMPUTED_VALUE"""),"This paper applies contrastive learning (discussed above) to reinforcement learning. In RL, rather than training in an initial unsupervised phase, the contrastive learning happens alongside the RL training, and so serves as an auxiliary objective to speed"&amp;" up learning. They use random crops for their data augmentation.")</f>
        <v>This paper applies contrastive learning (discussed above) to reinforcement learning. In RL, rather than training in an initial unsupervised phase, the contrastive learning happens alongside the RL training, and so serves as an auxiliary objective to speed up learning. They use random crops for their data augmentation.</v>
      </c>
    </row>
    <row r="1650">
      <c r="A1650" t="str">
        <f>IFERROR(__xludf.DUMMYFUNCTION("""COMPUTED_VALUE"""),"Reinforcement learning")</f>
        <v>Reinforcement learning</v>
      </c>
      <c r="B1650" t="str">
        <f>IFERROR(__xludf.DUMMYFUNCTION("""COMPUTED_VALUE"""),"")</f>
        <v/>
      </c>
      <c r="C1650" s="3" t="str">
        <f>IFERROR(__xludf.DUMMYFUNCTION("""COMPUTED_VALUE"""),"Reinforcement Learning with Augmented Data")</f>
        <v>Reinforcement Learning with Augmented Data</v>
      </c>
      <c r="D1650" t="str">
        <f>IFERROR(__xludf.DUMMYFUNCTION("""COMPUTED_VALUE"""),"Michael Laskin*, Kimin Lee*, Adam Stooke, Lerrel Pinto, Pieter Abbeel, Aravind Srinivas")</f>
        <v>Michael Laskin*, Kimin Lee*, Adam Stooke, Lerrel Pinto, Pieter Abbeel, Aravind Srinivas</v>
      </c>
      <c r="E1650" t="str">
        <f>IFERROR(__xludf.DUMMYFUNCTION("""COMPUTED_VALUE"""),"arXiv")</f>
        <v>arXiv</v>
      </c>
      <c r="F1650">
        <f>IFERROR(__xludf.DUMMYFUNCTION("""COMPUTED_VALUE"""),2020.0)</f>
        <v>2020</v>
      </c>
      <c r="H1650" s="3" t="str">
        <f>IFERROR(__xludf.DUMMYFUNCTION("""COMPUTED_VALUE"""),"AN #99")</f>
        <v>AN #99</v>
      </c>
      <c r="I1650" t="str">
        <f>IFERROR(__xludf.DUMMYFUNCTION("""COMPUTED_VALUE"""),"Rohin")</f>
        <v>Rohin</v>
      </c>
      <c r="J1650" t="str">
        <f>IFERROR(__xludf.DUMMYFUNCTION("""COMPUTED_VALUE"""),"While CURL (summarized above) applies contrastive learning in order to ensure the network is invariant to specific data augmentations, we can try something even simpler: what if we just run a regular RL algorithm on augmented observations (e.g. observatio"&amp;"ns that have been randomly cropped)? The authors term this approach RAD (RL with Augmented Data), and find that this actually _outperforms_ CURL, despite not using the contrastive learning objective. The authors speculate that CURL is handicapped by using"&amp;" the contrastive loss as an auxiliary objective, and so its representations are forced to be good both for the true task and for the contrastive prediction task, whereas RAD only trains on the true task.")</f>
        <v>While CURL (summarized above) applies contrastive learning in order to ensure the network is invariant to specific data augmentations, we can try something even simpler: what if we just run a regular RL algorithm on augmented observations (e.g. observations that have been randomly cropped)? The authors term this approach RAD (RL with Augmented Data), and find that this actually _outperforms_ CURL, despite not using the contrastive learning objective. The authors speculate that CURL is handicapped by using the contrastive loss as an auxiliary objective, and so its representations are forced to be good both for the true task and for the contrastive prediction task, whereas RAD only trains on the true task.</v>
      </c>
      <c r="K1650" t="str">
        <f>IFERROR(__xludf.DUMMYFUNCTION("""COMPUTED_VALUE"""),"I'd be interested in seeing a variant on CURL where the weight for the contrastive loss decays over time: if the author's speculation is correct, this should mitigate the problem with CURL, and one would hope that it would then be better than RAD.")</f>
        <v>I'd be interested in seeing a variant on CURL where the weight for the contrastive loss decays over time: if the author's speculation is correct, this should mitigate the problem with CURL, and one would hope that it would then be better than RAD.</v>
      </c>
      <c r="M1650" s="3" t="str">
        <f>IFERROR(__xludf.DUMMYFUNCTION("""COMPUTED_VALUE"""),"RAD Website")</f>
        <v>RAD Website</v>
      </c>
    </row>
    <row r="1651">
      <c r="A1651" t="str">
        <f>IFERROR(__xludf.DUMMYFUNCTION("""COMPUTED_VALUE"""),"Reinforcement learning")</f>
        <v>Reinforcement learning</v>
      </c>
      <c r="B1651" t="str">
        <f>IFERROR(__xludf.DUMMYFUNCTION("""COMPUTED_VALUE"""),"")</f>
        <v/>
      </c>
      <c r="C1651" s="3" t="str">
        <f>IFERROR(__xludf.DUMMYFUNCTION("""COMPUTED_VALUE"""),"Image Augmentation Is All You Need: Regularizing Deep Reinforcement Learning from Pixels")</f>
        <v>Image Augmentation Is All You Need: Regularizing Deep Reinforcement Learning from Pixels</v>
      </c>
      <c r="D1651" t="str">
        <f>IFERROR(__xludf.DUMMYFUNCTION("""COMPUTED_VALUE"""),"Ilya Kostrikov, Denis Yarats, Rob Fergus")</f>
        <v>Ilya Kostrikov, Denis Yarats, Rob Fergus</v>
      </c>
      <c r="E1651" t="str">
        <f>IFERROR(__xludf.DUMMYFUNCTION("""COMPUTED_VALUE"""),"arXiv")</f>
        <v>arXiv</v>
      </c>
      <c r="F1651">
        <f>IFERROR(__xludf.DUMMYFUNCTION("""COMPUTED_VALUE"""),2020.0)</f>
        <v>2020</v>
      </c>
      <c r="H1651" s="3" t="str">
        <f>IFERROR(__xludf.DUMMYFUNCTION("""COMPUTED_VALUE"""),"AN #99")</f>
        <v>AN #99</v>
      </c>
      <c r="I1651" t="str">
        <f>IFERROR(__xludf.DUMMYFUNCTION("""COMPUTED_VALUE"""),"Rohin")</f>
        <v>Rohin</v>
      </c>
      <c r="J1651" t="str">
        <f>IFERROR(__xludf.DUMMYFUNCTION("""COMPUTED_VALUE"""),"This paper applies data augmentation to Q-learning algorithms, again without a contrastive loss. Specifically, they suggest that the Q-values of states should be invariant to data augmentations (e.g. random translations, which is what they use), and so an"&amp;"y time we need to estimate a Q-value, we can reduce the variance of this estimate by sampling multiple data augmentations of the state, and averaging the predicted Q-values for each of them. They apply this to Soft Actor-Critic (SAC) and find that it sign"&amp;"ificantly improves results.")</f>
        <v>This paper applies data augmentation to Q-learning algorithms, again without a contrastive loss. Specifically, they suggest that the Q-values of states should be invariant to data augmentations (e.g. random translations, which is what they use), and so any time we need to estimate a Q-value, we can reduce the variance of this estimate by sampling multiple data augmentations of the state, and averaging the predicted Q-values for each of them. They apply this to Soft Actor-Critic (SAC) and find that it significantly improves results.</v>
      </c>
    </row>
    <row r="1652">
      <c r="A1652" t="str">
        <f>IFERROR(__xludf.DUMMYFUNCTION("""COMPUTED_VALUE"""),"Reinforcement learning")</f>
        <v>Reinforcement learning</v>
      </c>
      <c r="B1652" t="str">
        <f>IFERROR(__xludf.DUMMYFUNCTION("""COMPUTED_VALUE"""),"")</f>
        <v/>
      </c>
      <c r="C1652" s="3" t="str">
        <f>IFERROR(__xludf.DUMMYFUNCTION("""COMPUTED_VALUE"""),"The Ingredients of Real World Robotic Reinforcement Learning")</f>
        <v>The Ingredients of Real World Robotic Reinforcement Learning</v>
      </c>
      <c r="D1652" t="str">
        <f>IFERROR(__xludf.DUMMYFUNCTION("""COMPUTED_VALUE"""),"Henry Zhu*, Justin Yu*, Abhishek Gupta*, Dhruv Shah, Kristian Hartikainen, Avi Singh, Vikash Kumar, Sergey Levine")</f>
        <v>Henry Zhu*, Justin Yu*, Abhishek Gupta*, Dhruv Shah, Kristian Hartikainen, Avi Singh, Vikash Kumar, Sergey Levine</v>
      </c>
      <c r="E1652" t="str">
        <f>IFERROR(__xludf.DUMMYFUNCTION("""COMPUTED_VALUE"""),"ICLR 2020")</f>
        <v>ICLR 2020</v>
      </c>
      <c r="F1652">
        <f>IFERROR(__xludf.DUMMYFUNCTION("""COMPUTED_VALUE"""),2020.0)</f>
        <v>2020</v>
      </c>
      <c r="H1652" s="3" t="str">
        <f>IFERROR(__xludf.DUMMYFUNCTION("""COMPUTED_VALUE"""),"AN #98")</f>
        <v>AN #98</v>
      </c>
      <c r="I1652" t="str">
        <f>IFERROR(__xludf.DUMMYFUNCTION("""COMPUTED_VALUE"""),"Rohin")</f>
        <v>Rohin</v>
      </c>
      <c r="J1652" t="str">
        <f>IFERROR(__xludf.DUMMYFUNCTION("""COMPUTED_VALUE"""),"Suppose we wanted to train a robot to perform a task in the real world, and we didn't want to deal with the headache of sim-to-real transfer. Typically, since all of our experience must be collected in the real world, we would need a human to reset the ro"&amp;"bot to its initial state. The key idea of this paper is that the point of resets is to ensure that the robot explores a diversity of states causing it to learn a robust policy; this can be achieved by learning a _perturbation policy_ whose objective is to"&amp;" take the robot to states it hasn't visited before. They then combine this with representation learning (so that they can learn from pixels) and use a classifier that distinguishes goal states from non-goal states as the reward function, to get a fully au"&amp;"tomated setup where once you start the robot's training, it trains itself without any human in the loop.")</f>
        <v>Suppose we wanted to train a robot to perform a task in the real world, and we didn't want to deal with the headache of sim-to-real transfer. Typically, since all of our experience must be collected in the real world, we would need a human to reset the robot to its initial state. The key idea of this paper is that the point of resets is to ensure that the robot explores a diversity of states causing it to learn a robust policy; this can be achieved by learning a _perturbation policy_ whose objective is to take the robot to states it hasn't visited before. They then combine this with representation learning (so that they can learn from pixels) and use a classifier that distinguishes goal states from non-goal states as the reward function, to get a fully automated setup where once you start the robot's training, it trains itself without any human in the loop.</v>
      </c>
      <c r="K1652" t="str">
        <f>IFERROR(__xludf.DUMMYFUNCTION("""COMPUTED_VALUE"""),"This is a cool proof of concept, but the learned perturbation policy can only take you so far -- no learned perturbation policy is going to allow you to e.g. pick up an object after it is dropped, as you would want if you're training a robot to &lt;@manipula"&amp;"te a Rubik's cube@&gt;(@Solving Rubik’s Cube with a Robot Hand@). It seems hard to overcome this sort of problem in a fully automated and learned way (though perhaps you could use more classical techniques to have a ""hardcoded"" but still automated reset po"&amp;"licy).")</f>
        <v>This is a cool proof of concept, but the learned perturbation policy can only take you so far -- no learned perturbation policy is going to allow you to e.g. pick up an object after it is dropped, as you would want if you're training a robot to &lt;@manipulate a Rubik's cube@&gt;(@Solving Rubik’s Cube with a Robot Hand@). It seems hard to overcome this sort of problem in a fully automated and learned way (though perhaps you could use more classical techniques to have a "hardcoded" but still automated reset policy).</v>
      </c>
      <c r="M1652" s="3" t="str">
        <f>IFERROR(__xludf.DUMMYFUNCTION("""COMPUTED_VALUE"""),"Paper: The Ingredients of Real World Robotic Reinforcement Learning")</f>
        <v>Paper: The Ingredients of Real World Robotic Reinforcement Learning</v>
      </c>
    </row>
    <row r="1653">
      <c r="A1653" t="str">
        <f>IFERROR(__xludf.DUMMYFUNCTION("""COMPUTED_VALUE"""),"Reinforcement learning")</f>
        <v>Reinforcement learning</v>
      </c>
      <c r="B1653" t="str">
        <f>IFERROR(__xludf.DUMMYFUNCTION("""COMPUTED_VALUE"""),"")</f>
        <v/>
      </c>
      <c r="C1653" s="3" t="str">
        <f>IFERROR(__xludf.DUMMYFUNCTION("""COMPUTED_VALUE"""),"Massively Scaling Reinforcement Learning with SEED RL")</f>
        <v>Massively Scaling Reinforcement Learning with SEED RL</v>
      </c>
      <c r="D1653" t="str">
        <f>IFERROR(__xludf.DUMMYFUNCTION("""COMPUTED_VALUE"""),"Lasse Espeholt*, Raphaël Marinier*, Piotr Stanczyk*, Ke Wang, Marcin Michalski")</f>
        <v>Lasse Espeholt*, Raphaël Marinier*, Piotr Stanczyk*, Ke Wang, Marcin Michalski</v>
      </c>
      <c r="E1653" t="str">
        <f>IFERROR(__xludf.DUMMYFUNCTION("""COMPUTED_VALUE"""),"ICLR 2020")</f>
        <v>ICLR 2020</v>
      </c>
      <c r="F1653">
        <f>IFERROR(__xludf.DUMMYFUNCTION("""COMPUTED_VALUE"""),2020.0)</f>
        <v>2020</v>
      </c>
      <c r="H1653" s="3" t="str">
        <f>IFERROR(__xludf.DUMMYFUNCTION("""COMPUTED_VALUE"""),"AN #95")</f>
        <v>AN #95</v>
      </c>
      <c r="I1653" t="str">
        <f>IFERROR(__xludf.DUMMYFUNCTION("""COMPUTED_VALUE"""),"Nicholas")</f>
        <v>Nicholas</v>
      </c>
      <c r="J1653" t="str">
        <f>IFERROR(__xludf.DUMMYFUNCTION("""COMPUTED_VALUE"""),"Deep learning has &lt;@historically@&gt;(@AI and Compute@) seen many improvements as a result of scaling to larger models with larger amounts of computation, as with the months-long training of &lt;@OpenAI Five@&gt;(@Dota 2 with Large Scale Deep Reinforcement Learnin"&amp;"g@) and &lt;@AlphaStar@&gt;(@AlphaStar: Mastering the Real-Time Strategy Game StarCraft II@). SEED RL redesigns the architecture of distributed RL to enable better machine utilization and communication and achieves an order of magnitude improvement in training "&amp;"speed. 
Current distributed architectures typically separate machines into *actors* and *learners*. *Actors* are typically CPUs that simulate the environment, and run inference to predict agent actions. They then send *trajectories* to the *learners*. *L"&amp;"earners* are typically accelerators (GPUs or TPUs), which are responsible for training the model. They then send the updated model parameters to the *actors*. 
SEED RL addresses 3 main issues in this setup:
1. Inference could benefit from specialized acc"&amp;"elerators
2. Sending model parameters and states requires high bandwidth.
3. Environment simulation and inference are very different tasks and having them on the same machine makes it hard to utilize the resource efficiently. 
The solution is to instead "&amp;"have actors **only** simulate the environment. After each step, they send the resulting observation to the *learner*, which is responsible for both training and inference, possibly split on separate hardware). It then sends back just the actions to the en"&amp;"vironment. This enables each piece of hardware to be used for its designed purpose. Since they now need to communicate at each step, they use gRPC to minimize latency.")</f>
        <v>Deep learning has &lt;@historically@&gt;(@AI and Compute@) seen many improvements as a result of scaling to larger models with larger amounts of computation, as with the months-long training of &lt;@OpenAI Five@&gt;(@Dota 2 with Large Scale Deep Reinforcement Learning@) and &lt;@AlphaStar@&gt;(@AlphaStar: Mastering the Real-Time Strategy Game StarCraft II@). SEED RL redesigns the architecture of distributed RL to enable better machine utilization and communication and achieves an order of magnitude improvement in training speed. 
Current distributed architectures typically separate machines into *actors* and *learners*. *Actors* are typically CPUs that simulate the environment, and run inference to predict agent actions. They then send *trajectories* to the *learners*. *Learners* are typically accelerators (GPUs or TPUs), which are responsible for training the model. They then send the updated model parameters to the *actors*. 
SEED RL addresses 3 main issues in this setup:
1. Inference could benefit from specialized accelerators
2. Sending model parameters and states requires high bandwidth.
3. Environment simulation and inference are very different tasks and having them on the same machine makes it hard to utilize the resource efficiently. 
The solution is to instead have actors **only** simulate the environment. After each step, they send the resulting observation to the *learner*, which is responsible for both training and inference, possibly split on separate hardware). It then sends back just the actions to the environment. This enables each piece of hardware to be used for its designed purpose. Since they now need to communicate at each step, they use gRPC to minimize latency.</v>
      </c>
      <c r="K1653" t="str">
        <f>IFERROR(__xludf.DUMMYFUNCTION("""COMPUTED_VALUE"""),"Given how compute intensive deep RL is, I think it is quite useful to enable cheaper and faster training before these algorithms can be broadly useful. Their claimed speedup is quite impressive, and I like how well they can separate the training and infer"&amp;"ence from the simulation. I expect that specialized hardware for both training and inference will soon become the norm and SEED RL seems like it will scale well as those accelerators become faster. One thing to note is that this architecture seems very sp"&amp;"ecifically tuned to the problem of games where CPUs can efficiently simulate the environment and it does not improve the sample efficiency for situations where we can’t run lots of simulations.
**Rohin's opinion:** It was quite surprising to me that this"&amp;" worked as well as it did: this model requires communication across machines _at every timestep of the environment_, which intuitively means that latency should be a major bottleneck, while the standard model only requires communication once per batch of "&amp;"trajectories.")</f>
        <v>Given how compute intensive deep RL is, I think it is quite useful to enable cheaper and faster training before these algorithms can be broadly useful. Their claimed speedup is quite impressive, and I like how well they can separate the training and inference from the simulation. I expect that specialized hardware for both training and inference will soon become the norm and SEED RL seems like it will scale well as those accelerators become faster. One thing to note is that this architecture seems very specifically tuned to the problem of games where CPUs can efficiently simulate the environment and it does not improve the sample efficiency for situations where we can’t run lots of simulations.
**Rohin's opinion:** It was quite surprising to me that this worked as well as it did: this model requires communication across machines _at every timestep of the environment_, which intuitively means that latency should be a major bottleneck, while the standard model only requires communication once per batch of trajectories.</v>
      </c>
      <c r="M1653" s="3" t="str">
        <f>IFERROR(__xludf.DUMMYFUNCTION("""COMPUTED_VALUE"""),"Paper: SEED RL: Scalable and Efficient Deep-RL with Accelerated Central Inference")</f>
        <v>Paper: SEED RL: Scalable and Efficient Deep-RL with Accelerated Central Inference</v>
      </c>
    </row>
    <row r="1654">
      <c r="A1654" t="str">
        <f>IFERROR(__xludf.DUMMYFUNCTION("""COMPUTED_VALUE"""),"Reinforcement learning")</f>
        <v>Reinforcement learning</v>
      </c>
      <c r="B1654" t="str">
        <f>IFERROR(__xludf.DUMMYFUNCTION("""COMPUTED_VALUE"""),"")</f>
        <v/>
      </c>
      <c r="C1654" s="3" t="str">
        <f>IFERROR(__xludf.DUMMYFUNCTION("""COMPUTED_VALUE"""),"Robots Learning to Move like Animals")</f>
        <v>Robots Learning to Move like Animals</v>
      </c>
      <c r="D1654" t="str">
        <f>IFERROR(__xludf.DUMMYFUNCTION("""COMPUTED_VALUE"""),"Xue Bin Peng, Erwin Coumans, Tingnan Zhang, Tsang-Wei Lee, Jie Tan, Sergey Levine")</f>
        <v>Xue Bin Peng, Erwin Coumans, Tingnan Zhang, Tsang-Wei Lee, Jie Tan, Sergey Levine</v>
      </c>
      <c r="E1654" t="str">
        <f>IFERROR(__xludf.DUMMYFUNCTION("""COMPUTED_VALUE"""),"arXiv")</f>
        <v>arXiv</v>
      </c>
      <c r="F1654">
        <f>IFERROR(__xludf.DUMMYFUNCTION("""COMPUTED_VALUE"""),2020.0)</f>
        <v>2020</v>
      </c>
      <c r="H1654" s="3" t="str">
        <f>IFERROR(__xludf.DUMMYFUNCTION("""COMPUTED_VALUE"""),"AN #94")</f>
        <v>AN #94</v>
      </c>
      <c r="I1654" t="str">
        <f>IFERROR(__xludf.DUMMYFUNCTION("""COMPUTED_VALUE"""),"Rohin")</f>
        <v>Rohin</v>
      </c>
      <c r="J1654" t="str">
        <f>IFERROR(__xludf.DUMMYFUNCTION("""COMPUTED_VALUE"""),"&lt;@Previous work@&gt;(@Learning Acrobatics by Watching YouTube@) has suggested that we can get good policies by estimating and imitating poses. This work takes this idea and tries to make it work with sim-to-real transfer. Domain randomization would result in"&amp;" a policy that must be robust to all the possible values of the hidden parameters (such as friction). To make the problem easier, they do domain randomization, but give the agent access to (a latent representation of) the hidden parameters, so that its po"&amp;"licy can depend on the hidden parameters. Then, to transfer to the real world, they simply need to search over the latent representation of the hidden parameters in order to find one where the policy actually works in the real world. In practice, they can"&amp;" adapt to the real world with just 8 minutes of real world data.")</f>
        <v>&lt;@Previous work@&gt;(@Learning Acrobatics by Watching YouTube@) has suggested that we can get good policies by estimating and imitating poses. This work takes this idea and tries to make it work with sim-to-real transfer. Domain randomization would result in a policy that must be robust to all the possible values of the hidden parameters (such as friction). To make the problem easier, they do domain randomization, but give the agent access to (a latent representation of) the hidden parameters, so that its policy can depend on the hidden parameters. Then, to transfer to the real world, they simply need to search over the latent representation of the hidden parameters in order to find one where the policy actually works in the real world. In practice, they can adapt to the real world with just 8 minutes of real world data.</v>
      </c>
      <c r="K1654" t="str">
        <f>IFERROR(__xludf.DUMMYFUNCTION("""COMPUTED_VALUE"""),"This is a cool improvement to domain randomization: it seems like it should be distinctly easier to learn a policy that is dependent on the hidden parameters, and that seems to come at the relatively low cost of needing just a little real world data.")</f>
        <v>This is a cool improvement to domain randomization: it seems like it should be distinctly easier to learn a policy that is dependent on the hidden parameters, and that seems to come at the relatively low cost of needing just a little real world data.</v>
      </c>
      <c r="M1654" s="3" t="str">
        <f>IFERROR(__xludf.DUMMYFUNCTION("""COMPUTED_VALUE"""),"Paper: Learning Agile Robotic Locomotion Skills by Imitating Animals")</f>
        <v>Paper: Learning Agile Robotic Locomotion Skills by Imitating Animals</v>
      </c>
    </row>
    <row r="1655">
      <c r="A1655" t="str">
        <f>IFERROR(__xludf.DUMMYFUNCTION("""COMPUTED_VALUE"""),"Reinforcement learning")</f>
        <v>Reinforcement learning</v>
      </c>
      <c r="B1655" t="str">
        <f>IFERROR(__xludf.DUMMYFUNCTION("""COMPUTED_VALUE"""),"")</f>
        <v/>
      </c>
      <c r="C1655" s="3" t="str">
        <f>IFERROR(__xludf.DUMMYFUNCTION("""COMPUTED_VALUE"""),"Illuminating Generalization in Deep Reinforcement Learning through Procedural Level Generation")</f>
        <v>Illuminating Generalization in Deep Reinforcement Learning through Procedural Level Generation</v>
      </c>
      <c r="D1655" t="str">
        <f>IFERROR(__xludf.DUMMYFUNCTION("""COMPUTED_VALUE"""),"Niels Justesen, Ruben Rodriguez Torrado, Philip Bontrager, Ahmed Khalifa, Julian Togelius, Sebastian Risi")</f>
        <v>Niels Justesen, Ruben Rodriguez Torrado, Philip Bontrager, Ahmed Khalifa, Julian Togelius, Sebastian Risi</v>
      </c>
      <c r="E1655" t="str">
        <f>IFERROR(__xludf.DUMMYFUNCTION("""COMPUTED_VALUE"""),"NeurIPS 2018 Deep RL Workshop")</f>
        <v>NeurIPS 2018 Deep RL Workshop</v>
      </c>
      <c r="F1655">
        <f>IFERROR(__xludf.DUMMYFUNCTION("""COMPUTED_VALUE"""),2018.0)</f>
        <v>2018</v>
      </c>
      <c r="H1655" s="3" t="str">
        <f>IFERROR(__xludf.DUMMYFUNCTION("""COMPUTED_VALUE"""),"AN #92")</f>
        <v>AN #92</v>
      </c>
      <c r="I1655" t="str">
        <f>IFERROR(__xludf.DUMMYFUNCTION("""COMPUTED_VALUE"""),"Zach")</f>
        <v>Zach</v>
      </c>
      <c r="J1655" t="str">
        <f>IFERROR(__xludf.DUMMYFUNCTION("""COMPUTED_VALUE"""),"Deep reinforcement learning has been able to use high-dimensional input, such as images, to learn optimal policies. However, when neural networks are trained in a fixed environment, such as on a single level in a video game, they will usually over-fit and"&amp;" fail to generalize to new levels. This paper uses procedurally generated levels during training in an attempt to increase the generality of deep RL. They make use of the General Video Game AI framework (GVG-AI) which allows rapid design of video games th"&amp;"rough the specification of rewards, objects, etc. Moreover, they introduce Progressive PCG (PPCG) to smoothly control the difficulty of generated levels to build a curriculum for the agent. The authors show that for some games procedural level generation "&amp;"enables generalization to new levels within the same distribution.")</f>
        <v>Deep reinforcement learning has been able to use high-dimensional input, such as images, to learn optimal policies. However, when neural networks are trained in a fixed environment, such as on a single level in a video game, they will usually over-fit and fail to generalize to new levels. This paper uses procedurally generated levels during training in an attempt to increase the generality of deep RL. They make use of the General Video Game AI framework (GVG-AI) which allows rapid design of video games through the specification of rewards, objects, etc. Moreover, they introduce Progressive PCG (PPCG) to smoothly control the difficulty of generated levels to build a curriculum for the agent. The authors show that for some games procedural level generation enables generalization to new levels within the same distribution.</v>
      </c>
      <c r="K1655" t="str">
        <f>IFERROR(__xludf.DUMMYFUNCTION("""COMPUTED_VALUE"""),"The GVG-AI framework seems like a useful tool to explore learning videogames. Setting up curriculum learning by using PPCG is also a clever idea. However, the results are a bit mixed. On two of the games they tested, training on a single difficult level w"&amp;"orks better than training on a variety of levels for generalization. Having said this, the method can learn the game Frogs (57% win rate) while DQN/A2C make zero progress even after 40 million steps. It seems as though certain conditions make PPCG a good "&amp;"method to use. It'd be interesting to investigate what those conditions are in a future publication.")</f>
        <v>The GVG-AI framework seems like a useful tool to explore learning videogames. Setting up curriculum learning by using PPCG is also a clever idea. However, the results are a bit mixed. On two of the games they tested, training on a single difficult level works better than training on a variety of levels for generalization. Having said this, the method can learn the game Frogs (57% win rate) while DQN/A2C make zero progress even after 40 million steps. It seems as though certain conditions make PPCG a good method to use. It'd be interesting to investigate what those conditions are in a future publication.</v>
      </c>
    </row>
    <row r="1656">
      <c r="A1656" t="str">
        <f>IFERROR(__xludf.DUMMYFUNCTION("""COMPUTED_VALUE"""),"Reinforcement learning")</f>
        <v>Reinforcement learning</v>
      </c>
      <c r="B1656" t="str">
        <f>IFERROR(__xludf.DUMMYFUNCTION("""COMPUTED_VALUE"""),"")</f>
        <v/>
      </c>
      <c r="C1656" s="3" t="str">
        <f>IFERROR(__xludf.DUMMYFUNCTION("""COMPUTED_VALUE"""),"Meta-Gradient Reinforcement Learning")</f>
        <v>Meta-Gradient Reinforcement Learning</v>
      </c>
      <c r="D1656" t="str">
        <f>IFERROR(__xludf.DUMMYFUNCTION("""COMPUTED_VALUE"""),"Zhongwen Xu, Hado van Hasselt, David Silver")</f>
        <v>Zhongwen Xu, Hado van Hasselt, David Silver</v>
      </c>
      <c r="E1656" t="str">
        <f>IFERROR(__xludf.DUMMYFUNCTION("""COMPUTED_VALUE"""),"arXiv")</f>
        <v>arXiv</v>
      </c>
      <c r="F1656">
        <f>IFERROR(__xludf.DUMMYFUNCTION("""COMPUTED_VALUE"""),2018.0)</f>
        <v>2018</v>
      </c>
      <c r="H1656" s="3" t="str">
        <f>IFERROR(__xludf.DUMMYFUNCTION("""COMPUTED_VALUE"""),"AN #9")</f>
        <v>AN #9</v>
      </c>
    </row>
    <row r="1657">
      <c r="A1657" t="str">
        <f>IFERROR(__xludf.DUMMYFUNCTION("""COMPUTED_VALUE"""),"Reinforcement learning")</f>
        <v>Reinforcement learning</v>
      </c>
      <c r="B1657" t="str">
        <f>IFERROR(__xludf.DUMMYFUNCTION("""COMPUTED_VALUE"""),"")</f>
        <v/>
      </c>
      <c r="C1657" t="str">
        <f>IFERROR(__xludf.DUMMYFUNCTION("""COMPUTED_VALUE"""),"[Reinforcement Learning Upside Down: Don't Predict Rewards -- Just Map Them to Actions](http://arxiv.org/abs/1912.02875) and [Training Agents using Upside-Down Reinforcement Learning](http://arxiv.org/abs/1912.02877)")</f>
        <v>[Reinforcement Learning Upside Down: Don't Predict Rewards -- Just Map Them to Actions](http://arxiv.org/abs/1912.02875) and [Training Agents using Upside-Down Reinforcement Learning](http://arxiv.org/abs/1912.02877)</v>
      </c>
      <c r="D1657" t="str">
        <f>IFERROR(__xludf.DUMMYFUNCTION("""COMPUTED_VALUE"""),"Juergen Schmidhuber")</f>
        <v>Juergen Schmidhuber</v>
      </c>
      <c r="E1657" t="str">
        <f>IFERROR(__xludf.DUMMYFUNCTION("""COMPUTED_VALUE"""),"arXiv")</f>
        <v>arXiv</v>
      </c>
      <c r="F1657">
        <f>IFERROR(__xludf.DUMMYFUNCTION("""COMPUTED_VALUE"""),2019.0)</f>
        <v>2019</v>
      </c>
      <c r="H1657" s="3" t="str">
        <f>IFERROR(__xludf.DUMMYFUNCTION("""COMPUTED_VALUE"""),"AN #83")</f>
        <v>AN #83</v>
      </c>
      <c r="I1657" t="str">
        <f>IFERROR(__xludf.DUMMYFUNCTION("""COMPUTED_VALUE"""),"Zach")</f>
        <v>Zach</v>
      </c>
      <c r="J1657" t="str">
        <f>IFERROR(__xludf.DUMMYFUNCTION("""COMPUTED_VALUE"""),"It's a common understanding that using supervised learning to solve RL problems is challenging because supervised learning works directly with error signals while RL only has access to evaluation signals. The approach in these papers introduce 'upside-dow"&amp;"n' reinforcement learning (UDRL) as a way to bridge this gap. Instead of learning how to predict rewards, UDRL learns how to take actions when given a state and a desired reward. Then, to get good behavior, we simply ask the policy to take actions that le"&amp;"ad to particularly high rewards. The main approach is to slowly increase the desired goal behavior as the agent learns in order to maximize agent performance. The authors evaluate UDRL on the Lunar Lander and the Take Cover environments. UDRL ultimately p"&amp;"erforms worse on Lunar Lander and better on Take Cover so it's unclear whether or not UDRL is an improvement over popular methods. However, when rewards are made to be sparse UDRL is able to significantly outperform other RL methods.")</f>
        <v>It's a common understanding that using supervised learning to solve RL problems is challenging because supervised learning works directly with error signals while RL only has access to evaluation signals. The approach in these papers introduce 'upside-down' reinforcement learning (UDRL) as a way to bridge this gap. Instead of learning how to predict rewards, UDRL learns how to take actions when given a state and a desired reward. Then, to get good behavior, we simply ask the policy to take actions that lead to particularly high rewards. The main approach is to slowly increase the desired goal behavior as the agent learns in order to maximize agent performance. The authors evaluate UDRL on the Lunar Lander and the Take Cover environments. UDRL ultimately performs worse on Lunar Lander and better on Take Cover so it's unclear whether or not UDRL is an improvement over popular methods. However, when rewards are made to be sparse UDRL is able to significantly outperform other RL methods.</v>
      </c>
      <c r="K1657" t="str">
        <f>IFERROR(__xludf.DUMMYFUNCTION("""COMPUTED_VALUE"""),"This approach fits neatly with older work including [""Learning to Reach Goals”](https://pdfs.semanticscholar.org/6df4/3f70f383007a946448122b75918e3a9d6682.pdf?_ga=2.78217424.59277899.1578587972-37524897.1574936748) and more recent work such as [Hindsight"&amp;" experience replay](https://arxiv.org/pdf/1707.01495.pdf) and [Goal-Conditioned Policies](https://arxiv.org/pdf/1912.06088.pdf). In particular, all of these methods seem to be effective at addressing the difficulty that comes with working with sparse rewa"&amp;"rds. I also found myself justifying the utility of selecting the objective of 'learning to achieve general goals' to be related to the idea that &lt;@seeking power is instrumentally convergent@&gt;(@Seeking Power is Provably Instrumentally Convergent in MDPs@)."&amp;"
**Rohin's opinion:** Both this and the previous paper have explored the idea of conditioning on rewards and predicting actions, trained by supervised learning. While this doesn't hit state-of-the-art performance, it works reasonably well for a new appro"&amp;"ach.")</f>
        <v>This approach fits neatly with older work including ["Learning to Reach Goals”](https://pdfs.semanticscholar.org/6df4/3f70f383007a946448122b75918e3a9d6682.pdf?_ga=2.78217424.59277899.1578587972-37524897.1574936748) and more recent work such as [Hindsight experience replay](https://arxiv.org/pdf/1707.01495.pdf) and [Goal-Conditioned Policies](https://arxiv.org/pdf/1912.06088.pdf). In particular, all of these methods seem to be effective at addressing the difficulty that comes with working with sparse rewards. I also found myself justifying the utility of selecting the objective of 'learning to achieve general goals' to be related to the idea that &lt;@seeking power is instrumentally convergent@&gt;(@Seeking Power is Provably Instrumentally Convergent in MDPs@).
**Rohin's opinion:** Both this and the previous paper have explored the idea of conditioning on rewards and predicting actions, trained by supervised learning. While this doesn't hit state-of-the-art performance, it works reasonably well for a new approach.</v>
      </c>
    </row>
    <row r="1658">
      <c r="A1658" t="str">
        <f>IFERROR(__xludf.DUMMYFUNCTION("""COMPUTED_VALUE"""),"Reinforcement learning")</f>
        <v>Reinforcement learning</v>
      </c>
      <c r="B1658" t="str">
        <f>IFERROR(__xludf.DUMMYFUNCTION("""COMPUTED_VALUE"""),"")</f>
        <v/>
      </c>
      <c r="C1658" s="3" t="str">
        <f>IFERROR(__xludf.DUMMYFUNCTION("""COMPUTED_VALUE"""),"Planning with Goal-Conditioned Policies")</f>
        <v>Planning with Goal-Conditioned Policies</v>
      </c>
      <c r="D1658" t="str">
        <f>IFERROR(__xludf.DUMMYFUNCTION("""COMPUTED_VALUE"""),"Soroush Nasiriany*, Vitchyr H. Pong*, Steven Lin, Sergey Levine")</f>
        <v>Soroush Nasiriany*, Vitchyr H. Pong*, Steven Lin, Sergey Levine</v>
      </c>
      <c r="E1658" t="str">
        <f>IFERROR(__xludf.DUMMYFUNCTION("""COMPUTED_VALUE"""),"NeurIPS 2019")</f>
        <v>NeurIPS 2019</v>
      </c>
      <c r="F1658">
        <f>IFERROR(__xludf.DUMMYFUNCTION("""COMPUTED_VALUE"""),2019.0)</f>
        <v>2019</v>
      </c>
      <c r="H1658" s="3" t="str">
        <f>IFERROR(__xludf.DUMMYFUNCTION("""COMPUTED_VALUE"""),"AN #83")</f>
        <v>AN #83</v>
      </c>
      <c r="I1658" t="str">
        <f>IFERROR(__xludf.DUMMYFUNCTION("""COMPUTED_VALUE"""),"Zach")</f>
        <v>Zach</v>
      </c>
      <c r="J1658" t="str">
        <f>IFERROR(__xludf.DUMMYFUNCTION("""COMPUTED_VALUE"""),"Reinforcement learning can learn complex skills by interacting with the environment. However, temporally extended or long-range decision-making problems require more than just well-honed reactions. **In this paper, the authors investigate whether or not t"&amp;"hey can obtain the benefits of action planning found in model-based RL without the need to model the environment at the lowest level.** The authors propose a model-free planning framework that learns low-level goal-conditioned policies that use their valu"&amp;"e functions as implicit models. Goal-conditioned policies are policies that can be trained to reach a goal state provided as an additional input. Given a goal-conditioned policy, the agent can then plan over intermediate subgoals (goal states) using a goa"&amp;"l-conditioned value function to estimate reachability. Since the state space is large, the authors propose what they call latent embeddings for abstracted planning (LEAP), which is able to find useful subgoals by first searching a much smaller latent repr"&amp;"esentation space and then planning a sequence of reachable subgoals that reaches the target state. In experiments, LEAP significantly outperforms prior algorithms on 2D navigation and push/reach tasks. Moreover, their method can get a quadruped ant to nav"&amp;"igate around walls which is difficult because much of the planning happens in configuration space. This shows that LEAP is able to be extended to non-visual domains.")</f>
        <v>Reinforcement learning can learn complex skills by interacting with the environment. However, temporally extended or long-range decision-making problems require more than just well-honed reactions. **In this paper, the authors investigate whether or not they can obtain the benefits of action planning found in model-based RL without the need to model the environment at the lowest level.** The authors propose a model-free planning framework that learns low-level goal-conditioned policies that use their value functions as implicit models. Goal-conditioned policies are policies that can be trained to reach a goal state provided as an additional input. Given a goal-conditioned policy, the agent can then plan over intermediate subgoals (goal states) using a goal-conditioned value function to estimate reachability. Since the state space is large, the authors propose what they call latent embeddings for abstracted planning (LEAP), which is able to find useful subgoals by first searching a much smaller latent representation space and then planning a sequence of reachable subgoals that reaches the target state. In experiments, LEAP significantly outperforms prior algorithms on 2D navigation and push/reach tasks. Moreover, their method can get a quadruped ant to navigate around walls which is difficult because much of the planning happens in configuration space. This shows that LEAP is able to be extended to non-visual domains.</v>
      </c>
      <c r="K1658" t="str">
        <f>IFERROR(__xludf.DUMMYFUNCTION("""COMPUTED_VALUE"""),"The presentation of the paper is clear. In particular, the idea of planning a sequence of maximally feasible subgoals seems particularly intuitive. In general, I think that LEAP relies on the clever idea of reusing trajectory data to augment the data-set "&amp;"for the goal-conditioned policy. As the authors noted, the question of exploration was mostly neglected. I wonder how well the idea of reusing trajectory data generalizes to the general exploration problem.
**Rohin's opinion:** The general goal of inferr"&amp;"ing hierarchy and using this to plan more efficiently seems very compelling but hard to do well; this is the goal in most hierarchical RL algorithms and &lt;@Learning Latent Plans from Play@&gt;.")</f>
        <v>The presentation of the paper is clear. In particular, the idea of planning a sequence of maximally feasible subgoals seems particularly intuitive. In general, I think that LEAP relies on the clever idea of reusing trajectory data to augment the data-set for the goal-conditioned policy. As the authors noted, the question of exploration was mostly neglected. I wonder how well the idea of reusing trajectory data generalizes to the general exploration problem.
**Rohin's opinion:** The general goal of inferring hierarchy and using this to plan more efficiently seems very compelling but hard to do well; this is the goal in most hierarchical RL algorithms and &lt;@Learning Latent Plans from Play@&gt;.</v>
      </c>
    </row>
    <row r="1659">
      <c r="A1659" t="str">
        <f>IFERROR(__xludf.DUMMYFUNCTION("""COMPUTED_VALUE"""),"Reinforcement learning")</f>
        <v>Reinforcement learning</v>
      </c>
      <c r="B1659" t="str">
        <f>IFERROR(__xludf.DUMMYFUNCTION("""COMPUTED_VALUE"""),"")</f>
        <v/>
      </c>
      <c r="C1659" s="3" t="str">
        <f>IFERROR(__xludf.DUMMYFUNCTION("""COMPUTED_VALUE"""),"Dream to Control: Learning Behaviors by Latent Imagination")</f>
        <v>Dream to Control: Learning Behaviors by Latent Imagination</v>
      </c>
      <c r="D1659" t="str">
        <f>IFERROR(__xludf.DUMMYFUNCTION("""COMPUTED_VALUE"""),"Danijar Hafner, Timothy Lillicrap, Jimmy Ba, Mohammad Norouzi")</f>
        <v>Danijar Hafner, Timothy Lillicrap, Jimmy Ba, Mohammad Norouzi</v>
      </c>
      <c r="E1659" t="str">
        <f>IFERROR(__xludf.DUMMYFUNCTION("""COMPUTED_VALUE"""),"arXiv")</f>
        <v>arXiv</v>
      </c>
      <c r="F1659">
        <f>IFERROR(__xludf.DUMMYFUNCTION("""COMPUTED_VALUE"""),2019.0)</f>
        <v>2019</v>
      </c>
      <c r="H1659" s="3" t="str">
        <f>IFERROR(__xludf.DUMMYFUNCTION("""COMPUTED_VALUE"""),"AN #83")</f>
        <v>AN #83</v>
      </c>
      <c r="I1659" t="str">
        <f>IFERROR(__xludf.DUMMYFUNCTION("""COMPUTED_VALUE"""),"Cody")</f>
        <v>Cody</v>
      </c>
      <c r="J1659" t="str">
        <f>IFERROR(__xludf.DUMMYFUNCTION("""COMPUTED_VALUE"""),"In the past year or so, the idea of learning a transition model in a latent space has gained traction, motivated by the hope that such an approach could combine the best of the worlds of model-free and model-based learning. The central appeal of learning "&amp;"a latent transition model is that it allows you to imagine future trajectories in a potentially high-dimensional, structured observation space without actually having to generate those high-dimensional observations.
Dreamer builds on a prior model by the"&amp;" same authors, &lt;@PlaNet@&gt;(@Learning Latent Dynamics for Planning from Pixels@), which learned a latent representation of the observations, p(s|o), trained both through a VAE-style observation reconstruction loss, and also a transition model q(s-next|s, a)"&amp;", which is trained to predict the state at the next step given only the state at the prior one, with no next-step observation data. Together, these two models allow you to simulate action-conditioned trajectories through latent state space. If you then pr"&amp;"edict reward from state, you can use this to simulate the value of trajectories. Dreamer extends on this by also training an Actor Critic-style model on top of states to predict action and value, forcing the state representation to not only capture next-s"&amp;"tep transition information, but also information relevant to predicting future rewards. The authors claim this extension makes their model more able to solve long-horizon problems, because the predicted value function can capture far-future rewards withou"&amp;"t needing to simulate the entire way there. Empirically, there seems to be reasonable evidence that this claim plays out, at least within the fairly simple environments the model is tested in.")</f>
        <v>In the past year or so, the idea of learning a transition model in a latent space has gained traction, motivated by the hope that such an approach could combine the best of the worlds of model-free and model-based learning. The central appeal of learning a latent transition model is that it allows you to imagine future trajectories in a potentially high-dimensional, structured observation space without actually having to generate those high-dimensional observations.
Dreamer builds on a prior model by the same authors, &lt;@PlaNet@&gt;(@Learning Latent Dynamics for Planning from Pixels@), which learned a latent representation of the observations, p(s|o), trained both through a VAE-style observation reconstruction loss, and also a transition model q(s-next|s, a), which is trained to predict the state at the next step given only the state at the prior one, with no next-step observation data. Together, these two models allow you to simulate action-conditioned trajectories through latent state space. If you then predict reward from state, you can use this to simulate the value of trajectories. Dreamer extends on this by also training an Actor Critic-style model on top of states to predict action and value, forcing the state representation to not only capture next-step transition information, but also information relevant to predicting future rewards. The authors claim this extension makes their model more able to solve long-horizon problems, because the predicted value function can capture far-future rewards without needing to simulate the entire way there. Empirically, there seems to be reasonable evidence that this claim plays out, at least within the fairly simple environments the model is tested in.</v>
      </c>
      <c r="K1659" t="str">
        <f>IFERROR(__xludf.DUMMYFUNCTION("""COMPUTED_VALUE"""),"The extension from PlaNet (adding actor-critic rather than direct single-step reward prediction) is relatively straightforward, but I think latent models are an interesting area - especially if they eventually become at all possible to interpret - and so "&amp;"I'm happy to see more work in this area.")</f>
        <v>The extension from PlaNet (adding actor-critic rather than direct single-step reward prediction) is relatively straightforward, but I think latent models are an interesting area - especially if they eventually become at all possible to interpret - and so I'm happy to see more work in this area.</v>
      </c>
    </row>
    <row r="1660">
      <c r="A1660" t="str">
        <f>IFERROR(__xludf.DUMMYFUNCTION("""COMPUTED_VALUE"""),"Reinforcement learning")</f>
        <v>Reinforcement learning</v>
      </c>
      <c r="B1660" t="str">
        <f>IFERROR(__xludf.DUMMYFUNCTION("""COMPUTED_VALUE"""),"")</f>
        <v/>
      </c>
      <c r="C1660" s="3" t="str">
        <f>IFERROR(__xludf.DUMMYFUNCTION("""COMPUTED_VALUE"""),"Gym Retro, again")</f>
        <v>Gym Retro, again</v>
      </c>
      <c r="D1660" t="str">
        <f>IFERROR(__xludf.DUMMYFUNCTION("""COMPUTED_VALUE"""),"Vicki Pfau et al")</f>
        <v>Vicki Pfau et al</v>
      </c>
      <c r="E1660" t="str">
        <f>IFERROR(__xludf.DUMMYFUNCTION("""COMPUTED_VALUE"""),"OpenAI Blog")</f>
        <v>OpenAI Blog</v>
      </c>
      <c r="F1660">
        <f>IFERROR(__xludf.DUMMYFUNCTION("""COMPUTED_VALUE"""),2018.0)</f>
        <v>2018</v>
      </c>
      <c r="H1660" s="3" t="str">
        <f>IFERROR(__xludf.DUMMYFUNCTION("""COMPUTED_VALUE"""),"AN #8")</f>
        <v>AN #8</v>
      </c>
      <c r="I1660" t="str">
        <f>IFERROR(__xludf.DUMMYFUNCTION("""COMPUTED_VALUE"""),"Rohin")</f>
        <v>Rohin</v>
      </c>
      <c r="J1660" t="str">
        <f>IFERROR(__xludf.DUMMYFUNCTION("""COMPUTED_VALUE"""),"OpenAI is releasing the full version of Gym Retro, with over a thousand games, and a tool for integrating new games into the framework. And of course we see new games in which RL agents find infinite loops that give them lots of reward -- Cheese Cat-Astro"&amp;"phe and Blades of Vengeance.")</f>
        <v>OpenAI is releasing the full version of Gym Retro, with over a thousand games, and a tool for integrating new games into the framework. And of course we see new games in which RL agents find infinite loops that give them lots of reward -- Cheese Cat-Astrophe and Blades of Vengeance.</v>
      </c>
    </row>
    <row r="1661">
      <c r="A1661" t="str">
        <f>IFERROR(__xludf.DUMMYFUNCTION("""COMPUTED_VALUE"""),"Reinforcement learning")</f>
        <v>Reinforcement learning</v>
      </c>
      <c r="B1661" t="str">
        <f>IFERROR(__xludf.DUMMYFUNCTION("""COMPUTED_VALUE"""),"")</f>
        <v/>
      </c>
      <c r="C1661" s="3" t="str">
        <f>IFERROR(__xludf.DUMMYFUNCTION("""COMPUTED_VALUE"""),"Evolutionary Reinforcement Learning")</f>
        <v>Evolutionary Reinforcement Learning</v>
      </c>
      <c r="D1661" t="str">
        <f>IFERROR(__xludf.DUMMYFUNCTION("""COMPUTED_VALUE"""),"Shauharda Khadka, Kagan Tumer")</f>
        <v>Shauharda Khadka, Kagan Tumer</v>
      </c>
      <c r="E1661" t="str">
        <f>IFERROR(__xludf.DUMMYFUNCTION("""COMPUTED_VALUE"""),"GECCO '18 Proceedings of the Genetic and Evolutionary Computation Conference")</f>
        <v>GECCO '18 Proceedings of the Genetic and Evolutionary Computation Conference</v>
      </c>
      <c r="F1661">
        <f>IFERROR(__xludf.DUMMYFUNCTION("""COMPUTED_VALUE"""),2018.0)</f>
        <v>2018</v>
      </c>
      <c r="H1661" s="3" t="str">
        <f>IFERROR(__xludf.DUMMYFUNCTION("""COMPUTED_VALUE"""),"AN #8")</f>
        <v>AN #8</v>
      </c>
    </row>
    <row r="1662">
      <c r="A1662" t="str">
        <f>IFERROR(__xludf.DUMMYFUNCTION("""COMPUTED_VALUE"""),"Reinforcement learning")</f>
        <v>Reinforcement learning</v>
      </c>
      <c r="B1662" t="str">
        <f>IFERROR(__xludf.DUMMYFUNCTION("""COMPUTED_VALUE"""),"")</f>
        <v/>
      </c>
      <c r="C1662" s="3" t="str">
        <f>IFERROR(__xludf.DUMMYFUNCTION("""COMPUTED_VALUE"""),"Learning Time-Sensitive Strategies in Space Fortress")</f>
        <v>Learning Time-Sensitive Strategies in Space Fortress</v>
      </c>
      <c r="D1662" t="str">
        <f>IFERROR(__xludf.DUMMYFUNCTION("""COMPUTED_VALUE"""),"Akshat Agarwal, Ryan Hope, Katia Sycara")</f>
        <v>Akshat Agarwal, Ryan Hope, Katia Sycara</v>
      </c>
      <c r="E1662" t="str">
        <f>IFERROR(__xludf.DUMMYFUNCTION("""COMPUTED_VALUE"""),"arXiv")</f>
        <v>arXiv</v>
      </c>
      <c r="F1662">
        <f>IFERROR(__xludf.DUMMYFUNCTION("""COMPUTED_VALUE"""),2018.0)</f>
        <v>2018</v>
      </c>
      <c r="H1662" s="3" t="str">
        <f>IFERROR(__xludf.DUMMYFUNCTION("""COMPUTED_VALUE"""),"AN #8")</f>
        <v>AN #8</v>
      </c>
    </row>
    <row r="1663">
      <c r="A1663" t="str">
        <f>IFERROR(__xludf.DUMMYFUNCTION("""COMPUTED_VALUE"""),"Reinforcement learning")</f>
        <v>Reinforcement learning</v>
      </c>
      <c r="B1663" t="str">
        <f>IFERROR(__xludf.DUMMYFUNCTION("""COMPUTED_VALUE"""),"")</f>
        <v/>
      </c>
      <c r="C1663" s="3" t="str">
        <f>IFERROR(__xludf.DUMMYFUNCTION("""COMPUTED_VALUE"""),"Adaptive Online Planning for Continual Lifelong Learning")</f>
        <v>Adaptive Online Planning for Continual Lifelong Learning</v>
      </c>
      <c r="D1663" t="str">
        <f>IFERROR(__xludf.DUMMYFUNCTION("""COMPUTED_VALUE"""),"Kevin Lu, Igor Mordatch, Pieter Abbeel")</f>
        <v>Kevin Lu, Igor Mordatch, Pieter Abbeel</v>
      </c>
      <c r="E1663" t="str">
        <f>IFERROR(__xludf.DUMMYFUNCTION("""COMPUTED_VALUE"""),"NeurIPS Deep RL 2019")</f>
        <v>NeurIPS Deep RL 2019</v>
      </c>
      <c r="F1663">
        <f>IFERROR(__xludf.DUMMYFUNCTION("""COMPUTED_VALUE"""),2019.0)</f>
        <v>2019</v>
      </c>
      <c r="H1663" s="3" t="str">
        <f>IFERROR(__xludf.DUMMYFUNCTION("""COMPUTED_VALUE"""),"AN #79")</f>
        <v>AN #79</v>
      </c>
      <c r="I1663" t="str">
        <f>IFERROR(__xludf.DUMMYFUNCTION("""COMPUTED_VALUE"""),"Nicholas")</f>
        <v>Nicholas</v>
      </c>
      <c r="J1663" t="str">
        <f>IFERROR(__xludf.DUMMYFUNCTION("""COMPUTED_VALUE"""),"Lifelong learning is distinct from standard RL benchmarks because
 1. The environment is *sequential* rather than *episodic*; it is never reset to a new start state.
 2. The current *transition* and *reward* function are given, but they change over time.
"&amp;"
Given this setup, there are two basic approaches: first, run model-free learning on simulated future trajectories and rerun it every time the dynamics change, and second, run model-based planning on the current model. If you ignore computational constrai"&amp;"nts, these should be equivalent; however, in practice, the second option tends to be more computationally efficient. The contribution of this work is to make this more efficient, rather than improving final performance, by starting with the second option "&amp;"and then using model-free learning to “distill” the knowledge produced by the model-based planner allowing for more efficient planning in the future. 
Specifically, Adaptive Online Planning (AOP) balances between the model-based planner MPPI (a variant o"&amp;"f MPC) and the model-free algorithm TD3. MPPI uses the given model to generate a trajectory up to a horizon and then uses an ensemble of value functions to estimate the cumulative reward. This knowledge is then distilled into TD3 for later use as a prior "&amp;"for MPPI. During future rollouts, the variance and Bellman error of the value function ensemble are used to determine how long the horizon should be, and therefore how much computation is used.")</f>
        <v>Lifelong learning is distinct from standard RL benchmarks because
 1. The environment is *sequential* rather than *episodic*; it is never reset to a new start state.
 2. The current *transition* and *reward* function are given, but they change over time.
Given this setup, there are two basic approaches: first, run model-free learning on simulated future trajectories and rerun it every time the dynamics change, and second, run model-based planning on the current model. If you ignore computational constraints, these should be equivalent; however, in practice, the second option tends to be more computationally efficient. The contribution of this work is to make this more efficient, rather than improving final performance, by starting with the second option and then using model-free learning to “distill” the knowledge produced by the model-based planner allowing for more efficient planning in the future. 
Specifically, Adaptive Online Planning (AOP) balances between the model-based planner MPPI (a variant of MPC) and the model-free algorithm TD3. MPPI uses the given model to generate a trajectory up to a horizon and then uses an ensemble of value functions to estimate the cumulative reward. This knowledge is then distilled into TD3 for later use as a prior for MPPI. During future rollouts, the variance and Bellman error of the value function ensemble are used to determine how long the horizon should be, and therefore how much computation is used.</v>
      </c>
      <c r="K1663" t="str">
        <f>IFERROR(__xludf.DUMMYFUNCTION("""COMPUTED_VALUE"""),"I agree that episodic training and fixed world dynamics seem like unlikely conditions for most situations we would expect agents to encounter in the real world. Accounting for them seems particularly important to ensure safe exploration and robustness to "&amp;"distributional shift, and I think that these environments could serve as useful benchmarks for these safety problems as well.")</f>
        <v>I agree that episodic training and fixed world dynamics seem like unlikely conditions for most situations we would expect agents to encounter in the real world. Accounting for them seems particularly important to ensure safe exploration and robustness to distributional shift, and I think that these environments could serve as useful benchmarks for these safety problems as well.</v>
      </c>
    </row>
    <row r="1664">
      <c r="A1664" t="str">
        <f>IFERROR(__xludf.DUMMYFUNCTION("""COMPUTED_VALUE"""),"Reinforcement learning")</f>
        <v>Reinforcement learning</v>
      </c>
      <c r="B1664" t="str">
        <f>IFERROR(__xludf.DUMMYFUNCTION("""COMPUTED_VALUE"""),"")</f>
        <v/>
      </c>
      <c r="C1664" s="3" t="str">
        <f>IFERROR(__xludf.DUMMYFUNCTION("""COMPUTED_VALUE"""),"Model-Based Reinforcement Learning: Theory and Practice")</f>
        <v>Model-Based Reinforcement Learning: Theory and Practice</v>
      </c>
      <c r="D1664" t="str">
        <f>IFERROR(__xludf.DUMMYFUNCTION("""COMPUTED_VALUE"""),"Michael Janner, Justin Fu, Marvin Zhang, Sergey Levine")</f>
        <v>Michael Janner, Justin Fu, Marvin Zhang, Sergey Levine</v>
      </c>
      <c r="E1664" t="str">
        <f>IFERROR(__xludf.DUMMYFUNCTION("""COMPUTED_VALUE"""),"BAIR Blog")</f>
        <v>BAIR Blog</v>
      </c>
      <c r="F1664">
        <f>IFERROR(__xludf.DUMMYFUNCTION("""COMPUTED_VALUE"""),2019.0)</f>
        <v>2019</v>
      </c>
      <c r="H1664" s="3" t="str">
        <f>IFERROR(__xludf.DUMMYFUNCTION("""COMPUTED_VALUE"""),"AN #78")</f>
        <v>AN #78</v>
      </c>
      <c r="I1664" t="str">
        <f>IFERROR(__xludf.DUMMYFUNCTION("""COMPUTED_VALUE"""),"Rohin")</f>
        <v>Rohin</v>
      </c>
      <c r="J1664" t="str">
        <f>IFERROR(__xludf.DUMMYFUNCTION("""COMPUTED_VALUE"""),"This post provides a broad overview of model-based reinforcement learning, and argues that a learned (explicit) model allows you to generate sample trajectories from the current policy at arbitrary states, correcting for off-policy error, at the cost of i"&amp;"ntroducing model bias. Since model errors compound as you sample longer and longer trajectories, the authors propose an algorithm in which the model is used to sample short trajectories from states in the replay buffer, rather than sampling trajectories f"&amp;"rom the initial state (which are as long as the task's horizon).")</f>
        <v>This post provides a broad overview of model-based reinforcement learning, and argues that a learned (explicit) model allows you to generate sample trajectories from the current policy at arbitrary states, correcting for off-policy error, at the cost of introducing model bias. Since model errors compound as you sample longer and longer trajectories, the authors propose an algorithm in which the model is used to sample short trajectories from states in the replay buffer, rather than sampling trajectories from the initial state (which are as long as the task's horizon).</v>
      </c>
      <c r="M1664" s="3" t="str">
        <f>IFERROR(__xludf.DUMMYFUNCTION("""COMPUTED_VALUE"""),"Paper: When to Trust Your Model: Model-Based Policy Optimization")</f>
        <v>Paper: When to Trust Your Model: Model-Based Policy Optimization</v>
      </c>
    </row>
    <row r="1665">
      <c r="A1665" t="str">
        <f>IFERROR(__xludf.DUMMYFUNCTION("""COMPUTED_VALUE"""),"Reinforcement learning")</f>
        <v>Reinforcement learning</v>
      </c>
      <c r="B1665" t="str">
        <f>IFERROR(__xludf.DUMMYFUNCTION("""COMPUTED_VALUE"""),"")</f>
        <v/>
      </c>
      <c r="C1665" s="3" t="str">
        <f>IFERROR(__xludf.DUMMYFUNCTION("""COMPUTED_VALUE"""),"Stabilizing Transformers for Reinforcement Learning")</f>
        <v>Stabilizing Transformers for Reinforcement Learning</v>
      </c>
      <c r="D1665" t="str">
        <f>IFERROR(__xludf.DUMMYFUNCTION("""COMPUTED_VALUE"""),"Emilio Parisotto, H. Francis Song, Jack W. Rae, Razvan Pascanu, Caglar Gulcehre, Siddhant M. Jayakumar, Max Jaderberg, Raphael Lopez Kaufman, Aidan Clark, Seb Noury, Matthew M. Botvinick, Nicolas Heess, Raia Hadsell")</f>
        <v>Emilio Parisotto, H. Francis Song, Jack W. Rae, Razvan Pascanu, Caglar Gulcehre, Siddhant M. Jayakumar, Max Jaderberg, Raphael Lopez Kaufman, Aidan Clark, Seb Noury, Matthew M. Botvinick, Nicolas Heess, Raia Hadsell</v>
      </c>
      <c r="E1665" t="str">
        <f>IFERROR(__xludf.DUMMYFUNCTION("""COMPUTED_VALUE"""),"arXiv")</f>
        <v>arXiv</v>
      </c>
      <c r="F1665">
        <f>IFERROR(__xludf.DUMMYFUNCTION("""COMPUTED_VALUE"""),2019.0)</f>
        <v>2019</v>
      </c>
      <c r="H1665" s="3" t="str">
        <f>IFERROR(__xludf.DUMMYFUNCTION("""COMPUTED_VALUE"""),"AN #76")</f>
        <v>AN #76</v>
      </c>
      <c r="I1665" t="str">
        <f>IFERROR(__xludf.DUMMYFUNCTION("""COMPUTED_VALUE"""),"Zach")</f>
        <v>Zach</v>
      </c>
      <c r="J1665" t="str">
        <f>IFERROR(__xludf.DUMMYFUNCTION("""COMPUTED_VALUE"""),"Transformers have been incredibly successful in domains with sequential data. Naturally, one might expect transformers to be useful in partially observable RL problems. However, transformers have complex implementations making them difficult to use in an "&amp;"already challenging domain for learning. In this paper, the authors explore a novel transformer architecture they call Gated Transformer-XL (GTrXL) that can be used in the RL setting. The authors succeed in stabilizing training with a reordering of the la"&amp;"yer normalization coupled with the addition of a new gating mechanism located at key points in the submodules of the transformer. The new architecture is tested on DMlab-30, a suite of RL tasks including memory, and shows improvement over baseline transfo"&amp;"rmer architectures and the neural computer architecture MERLIN. Furthermore, GTrXL learns faster and is more robust than a baseline transformer architecture. ")</f>
        <v>Transformers have been incredibly successful in domains with sequential data. Naturally, one might expect transformers to be useful in partially observable RL problems. However, transformers have complex implementations making them difficult to use in an already challenging domain for learning. In this paper, the authors explore a novel transformer architecture they call Gated Transformer-XL (GTrXL) that can be used in the RL setting. The authors succeed in stabilizing training with a reordering of the layer normalization coupled with the addition of a new gating mechanism located at key points in the submodules of the transformer. The new architecture is tested on DMlab-30, a suite of RL tasks including memory, and shows improvement over baseline transformer architectures and the neural computer architecture MERLIN. Furthermore, GTrXL learns faster and is more robust than a baseline transformer architecture. </v>
      </c>
      <c r="K1665" t="str">
        <f>IFERROR(__xludf.DUMMYFUNCTION("""COMPUTED_VALUE"""),"This is one of those 'obvious' ideas that turns out to be very difficult to put into practice. I'm glad to see a paper like this simply because the authors do a good job at explaining why a naive execution of the transformer idea is bound to fail. Overall"&amp;", the architecture seems to be a solid improvement over the TrXL variant. I'd be curious whether or not the architecture is also better in an NLP setting. ")</f>
        <v>This is one of those 'obvious' ideas that turns out to be very difficult to put into practice. I'm glad to see a paper like this simply because the authors do a good job at explaining why a naive execution of the transformer idea is bound to fail. Overall, the architecture seems to be a solid improvement over the TrXL variant. I'd be curious whether or not the architecture is also better in an NLP setting. </v>
      </c>
    </row>
    <row r="1666">
      <c r="A1666" t="str">
        <f>IFERROR(__xludf.DUMMYFUNCTION("""COMPUTED_VALUE"""),"Reinforcement learning")</f>
        <v>Reinforcement learning</v>
      </c>
      <c r="B1666" t="str">
        <f>IFERROR(__xludf.DUMMYFUNCTION("""COMPUTED_VALUE"""),"")</f>
        <v/>
      </c>
      <c r="C1666" s="3" t="str">
        <f>IFERROR(__xludf.DUMMYFUNCTION("""COMPUTED_VALUE"""),"Reward Estimation for Variance Reduction in Deep Reinforcement Learning")</f>
        <v>Reward Estimation for Variance Reduction in Deep Reinforcement Learning</v>
      </c>
      <c r="D1666" t="str">
        <f>IFERROR(__xludf.DUMMYFUNCTION("""COMPUTED_VALUE"""),"Joshua Romoff, Peter Henderson, Alexandre Piché, Vincent Francois-Lavet, Joelle Pineau")</f>
        <v>Joshua Romoff, Peter Henderson, Alexandre Piché, Vincent Francois-Lavet, Joelle Pineau</v>
      </c>
      <c r="E1666" t="str">
        <f>IFERROR(__xludf.DUMMYFUNCTION("""COMPUTED_VALUE"""),"arXiv")</f>
        <v>arXiv</v>
      </c>
      <c r="F1666">
        <f>IFERROR(__xludf.DUMMYFUNCTION("""COMPUTED_VALUE"""),2018.0)</f>
        <v>2018</v>
      </c>
      <c r="H1666" s="3" t="str">
        <f>IFERROR(__xludf.DUMMYFUNCTION("""COMPUTED_VALUE"""),"AN #7")</f>
        <v>AN #7</v>
      </c>
    </row>
    <row r="1667">
      <c r="A1667" t="str">
        <f>IFERROR(__xludf.DUMMYFUNCTION("""COMPUTED_VALUE"""),"Reinforcement learning")</f>
        <v>Reinforcement learning</v>
      </c>
      <c r="B1667" t="str">
        <f>IFERROR(__xludf.DUMMYFUNCTION("""COMPUTED_VALUE"""),"")</f>
        <v/>
      </c>
      <c r="C1667" s="3" t="str">
        <f>IFERROR(__xludf.DUMMYFUNCTION("""COMPUTED_VALUE"""),"Behaviour Suite for Reinforcement Learning")</f>
        <v>Behaviour Suite for Reinforcement Learning</v>
      </c>
      <c r="D1667" t="str">
        <f>IFERROR(__xludf.DUMMYFUNCTION("""COMPUTED_VALUE"""),"Ian Osband, Yotam Doron, Matteo Hessel, John Aslanides, Eren Sezener, Andre Saraiva, Katrina McKinney, Tor Lattimore, Csaba Szepezvari, Satinder Singh, Benjamin Van Roy, Richard Sutton, David Silver, Hado Van Hasselt")</f>
        <v>Ian Osband, Yotam Doron, Matteo Hessel, John Aslanides, Eren Sezener, Andre Saraiva, Katrina McKinney, Tor Lattimore, Csaba Szepezvari, Satinder Singh, Benjamin Van Roy, Richard Sutton, David Silver, Hado Van Hasselt</v>
      </c>
      <c r="E1667" t="str">
        <f>IFERROR(__xludf.DUMMYFUNCTION("""COMPUTED_VALUE"""),"arXiv")</f>
        <v>arXiv</v>
      </c>
      <c r="F1667">
        <f>IFERROR(__xludf.DUMMYFUNCTION("""COMPUTED_VALUE"""),2019.0)</f>
        <v>2019</v>
      </c>
      <c r="H1667" s="3" t="str">
        <f>IFERROR(__xludf.DUMMYFUNCTION("""COMPUTED_VALUE"""),"AN #68")</f>
        <v>AN #68</v>
      </c>
      <c r="I1667" t="str">
        <f>IFERROR(__xludf.DUMMYFUNCTION("""COMPUTED_VALUE"""),"Zach")</f>
        <v>Zach</v>
      </c>
      <c r="J1667" t="str">
        <f>IFERROR(__xludf.DUMMYFUNCTION("""COMPUTED_VALUE"""),"Collecting clear, informative and scalable problems that capture important aspects about how to design general and efficient learning algorithms is difficult. Many current environments used to evaluate RL algorithms introduce confounding variables that ma"&amp;"ke new algorithms difficult to evaluate. In this project, the authors assist this effort by introducing Behaviour Suite for Reinforcement Learning (bsuite), a library that facilitates reproducible and accessible research on core issues in RL. The idea of "&amp;"these experiments is to capture core issues, such as 'exploration' or 'memory', in a way that can be easily tested or evaluated. The main contribution of this project is an open-source project called bsuite, which instantiates all experiments in code and "&amp;"automates the evaluation and analysis of any RL agent on bsuite. The suite is designed to be flexible and includes code to run experiments in parallel on Google cloud, with Jupyter notebook, and integrations with OpenAI Gym.")</f>
        <v>Collecting clear, informative and scalable problems that capture important aspects about how to design general and efficient learning algorithms is difficult. Many current environments used to evaluate RL algorithms introduce confounding variables that make new algorithms difficult to evaluate. In this project, the authors assist this effort by introducing Behaviour Suite for Reinforcement Learning (bsuite), a library that facilitates reproducible and accessible research on core issues in RL. The idea of these experiments is to capture core issues, such as 'exploration' or 'memory', in a way that can be easily tested or evaluated. The main contribution of this project is an open-source project called bsuite, which instantiates all experiments in code and automates the evaluation and analysis of any RL agent on bsuite. The suite is designed to be flexible and includes code to run experiments in parallel on Google cloud, with Jupyter notebook, and integrations with OpenAI Gym.</v>
      </c>
      <c r="K1667" t="str">
        <f>IFERROR(__xludf.DUMMYFUNCTION("""COMPUTED_VALUE"""),"It's safe to say that work towards good evaluation metrics for RL agents is a good thing. I think this paper captures a lot of the notions of what makes an agent 'good' in a way that seems readily generalizable. The evaluation time on the suite is reasona"&amp;"ble, no more than 30 minutes per experiment. Additionally, the ability to produce automated summary reports in standard formats is a nice feature. One thing that seems to be missing from the core set of experiments is a good notion of transfer learning ca"&amp;"pability beyond simple generalization. However, the authors readily note that the suite is a work in progress so I wouldn't doubt something covering that would be introduced in time.
**Rohin's opinion:** The most interesting thing about work like this is"&amp;" what ""core issues"" they choose to evaluate -- it's not clear to me whether e.g. ""memory"" in a simple environment is something that future research should optimize for.")</f>
        <v>It's safe to say that work towards good evaluation metrics for RL agents is a good thing. I think this paper captures a lot of the notions of what makes an agent 'good' in a way that seems readily generalizable. The evaluation time on the suite is reasonable, no more than 30 minutes per experiment. Additionally, the ability to produce automated summary reports in standard formats is a nice feature. One thing that seems to be missing from the core set of experiments is a good notion of transfer learning capability beyond simple generalization. However, the authors readily note that the suite is a work in progress so I wouldn't doubt something covering that would be introduced in time.
**Rohin's opinion:** The most interesting thing about work like this is what "core issues" they choose to evaluate -- it's not clear to me whether e.g. "memory" in a simple environment is something that future research should optimize for.</v>
      </c>
      <c r="M1667" t="str">
        <f>IFERROR(__xludf.DUMMYFUNCTION("""COMPUTED_VALUE"""),"See [Import AI](http://jack-clark.net/2019/08/19/import-ai-160-spotting-sick-crops-in-the-icassava-challenge-testing-ai-agents-with-bsuite-and-phyre-tests-if-machines-can-learn-physics/)")</f>
        <v>See [Import AI](http://jack-clark.net/2019/08/19/import-ai-160-spotting-sick-crops-in-the-icassava-challenge-testing-ai-agents-with-bsuite-and-phyre-tests-if-machines-can-learn-physics/)</v>
      </c>
    </row>
    <row r="1668">
      <c r="A1668" t="str">
        <f>IFERROR(__xludf.DUMMYFUNCTION("""COMPUTED_VALUE"""),"Reinforcement learning")</f>
        <v>Reinforcement learning</v>
      </c>
      <c r="B1668" t="str">
        <f>IFERROR(__xludf.DUMMYFUNCTION("""COMPUTED_VALUE"""),"")</f>
        <v/>
      </c>
      <c r="C1668" s="3" t="str">
        <f>IFERROR(__xludf.DUMMYFUNCTION("""COMPUTED_VALUE"""),"The Principle of Unchanged Optimality in Reinforcement Learning Generalization")</f>
        <v>The Principle of Unchanged Optimality in Reinforcement Learning Generalization</v>
      </c>
      <c r="D1668" t="str">
        <f>IFERROR(__xludf.DUMMYFUNCTION("""COMPUTED_VALUE"""),"Alex Irpan and Xingyou Song")</f>
        <v>Alex Irpan and Xingyou Song</v>
      </c>
      <c r="E1668" t="str">
        <f>IFERROR(__xludf.DUMMYFUNCTION("""COMPUTED_VALUE"""),"arXiv")</f>
        <v>arXiv</v>
      </c>
      <c r="F1668">
        <f>IFERROR(__xludf.DUMMYFUNCTION("""COMPUTED_VALUE"""),2019.0)</f>
        <v>2019</v>
      </c>
      <c r="H1668" s="3" t="str">
        <f>IFERROR(__xludf.DUMMYFUNCTION("""COMPUTED_VALUE"""),"AN #67")</f>
        <v>AN #67</v>
      </c>
      <c r="I1668" t="str">
        <f>IFERROR(__xludf.DUMMYFUNCTION("""COMPUTED_VALUE"""),"Flo")</f>
        <v>Flo</v>
      </c>
      <c r="J1668" t="str">
        <f>IFERROR(__xludf.DUMMYFUNCTION("""COMPUTED_VALUE"""),"In image recognition tasks, there is usually only one label per image, such that there exists an optimal solution that maps every image to the correct label. Good generalization of a model can therefore straightforwardly be defined as a good approximation"&amp;" of the image-to-label mapping for previously unseen data.
In reinforcement learning, our models usually don't map environments to the optimal policy, but states in a given environment to the corresponding optimal action. The optimal action in a state ca"&amp;"n depend on the environment. This means that there is a tradeoff regarding the performance of a model in different environments.
The authors suggest the principle of unchanged optimality: in a benchmark for generalization in reinforcement learning, there"&amp;" should be at least one policy that is optimal for all environments in the train and test sets. With this in place, generalization does not conflict with good performance in individual environments. If the principle does not initially hold for a given set"&amp;" of environments, we can change that by giving the agent more information. For example, the agent could receive a parameter that indicates which environment it is currently interacting with.")</f>
        <v>In image recognition tasks, there is usually only one label per image, such that there exists an optimal solution that maps every image to the correct label. Good generalization of a model can therefore straightforwardly be defined as a good approximation of the image-to-label mapping for previously unseen data.
In reinforcement learning, our models usually don't map environments to the optimal policy, but states in a given environment to the corresponding optimal action. The optimal action in a state can depend on the environment. This means that there is a tradeoff regarding the performance of a model in different environments.
The authors suggest the principle of unchanged optimality: in a benchmark for generalization in reinforcement learning, there should be at least one policy that is optimal for all environments in the train and test sets. With this in place, generalization does not conflict with good performance in individual environments. If the principle does not initially hold for a given set of environments, we can change that by giving the agent more information. For example, the agent could receive a parameter that indicates which environment it is currently interacting with.</v>
      </c>
      <c r="K1668" t="str">
        <f>IFERROR(__xludf.DUMMYFUNCTION("""COMPUTED_VALUE"""),"I am a bit torn here: On one hand, the principle makes it plausible for us to find the globally optimal solution by solving our task on a finite set of training environments. This way the generalization problem feels more well-defined and amenable to theo"&amp;"retical analysis, which seems useful for advancing our understanding of reinforcement learning.
On the other hand, I don't expect the principle to hold for most real-world problems. For example, in interactions with other adapting agents performance will"&amp;" depend on these agents' policies, which can be hard to infer and change dynamically. This means that the principle of unchanged optimality won't hold without precise information about the other agent's policies, while this information can be very difficu"&amp;"lt to obtain. 
More generally, with this and some of the criticism of the [AI safety gridworlds](https://deepmind.com/blog/specifying-ai-safety-problems/) that framed them as an ill-defined benchmark, I am a bit worried that too much focus on very ""clea"&amp;"n"" benchmarks might divert from issues associated with the messiness of the real world. I would have liked to see a more conditional conclusion for the paper, instead of a general principle.")</f>
        <v>I am a bit torn here: On one hand, the principle makes it plausible for us to find the globally optimal solution by solving our task on a finite set of training environments. This way the generalization problem feels more well-defined and amenable to theoretical analysis, which seems useful for advancing our understanding of reinforcement learning.
On the other hand, I don't expect the principle to hold for most real-world problems. For example, in interactions with other adapting agents performance will depend on these agents' policies, which can be hard to infer and change dynamically. This means that the principle of unchanged optimality won't hold without precise information about the other agent's policies, while this information can be very difficult to obtain. 
More generally, with this and some of the criticism of the [AI safety gridworlds](https://deepmind.com/blog/specifying-ai-safety-problems/) that framed them as an ill-defined benchmark, I am a bit worried that too much focus on very "clean" benchmarks might divert from issues associated with the messiness of the real world. I would have liked to see a more conditional conclusion for the paper, instead of a general principle.</v>
      </c>
    </row>
    <row r="1669">
      <c r="A1669" t="str">
        <f>IFERROR(__xludf.DUMMYFUNCTION("""COMPUTED_VALUE"""),"Reinforcement learning")</f>
        <v>Reinforcement learning</v>
      </c>
      <c r="B1669" t="str">
        <f>IFERROR(__xludf.DUMMYFUNCTION("""COMPUTED_VALUE"""),"")</f>
        <v/>
      </c>
      <c r="C1669" s="3" t="str">
        <f>IFERROR(__xludf.DUMMYFUNCTION("""COMPUTED_VALUE"""),"Are Deep Policy Gradient Algorithms Truly Policy Gradient Algorithms? ")</f>
        <v>Are Deep Policy Gradient Algorithms Truly Policy Gradient Algorithms? </v>
      </c>
      <c r="D1669" t="str">
        <f>IFERROR(__xludf.DUMMYFUNCTION("""COMPUTED_VALUE"""),"Andrew Ilyas, Logan Engstrom, Shibani Santurkar, Dimitris Tsipras, Firdaus Janoos, Larry Rudolph, Aleksander Madry")</f>
        <v>Andrew Ilyas, Logan Engstrom, Shibani Santurkar, Dimitris Tsipras, Firdaus Janoos, Larry Rudolph, Aleksander Madry</v>
      </c>
      <c r="E1669" t="str">
        <f>IFERROR(__xludf.DUMMYFUNCTION("""COMPUTED_VALUE"""),"arXiv")</f>
        <v>arXiv</v>
      </c>
      <c r="F1669">
        <f>IFERROR(__xludf.DUMMYFUNCTION("""COMPUTED_VALUE"""),2018.0)</f>
        <v>2018</v>
      </c>
      <c r="G1669" t="str">
        <f>IFERROR(__xludf.DUMMYFUNCTION("""COMPUTED_VALUE"""),"Lawrence Chan")</f>
        <v>Lawrence Chan</v>
      </c>
      <c r="H1669" s="3" t="str">
        <f>IFERROR(__xludf.DUMMYFUNCTION("""COMPUTED_VALUE"""),"AN #63")</f>
        <v>AN #63</v>
      </c>
      <c r="I1669" t="str">
        <f>IFERROR(__xludf.DUMMYFUNCTION("""COMPUTED_VALUE"""),"Cody")</f>
        <v>Cody</v>
      </c>
      <c r="J1669" t="str">
        <f>IFERROR(__xludf.DUMMYFUNCTION("""COMPUTED_VALUE"""),"This paper investigates whether and to what extent the stated conceptual justifications for common Policy Gradient algorithms are actually the things driving their success. The paper has two primary strains of empirical investigation. 
In the first, they"&amp;" examine a few of the more rigorously theorized aspects of policy gradient methods: learned value functions as baselines for advantage calculations, surrogate rewards, and enforcement of a ""trust region"" where the KL divergence between old and updated p"&amp;"olicy is bounded in some way. For value functions and surrogate rewards, the authors find that both of these approximations are weak and perform poorly relative to the true value function and reward landscape respectively. 
Basically, it turns out that w"&amp;"e lose a lot by approximating in this context. When it comes to enforcing a trust region, they show that TRPO is able to enforce a bound on mean KL, but that it's much looser than the (more theoretically justified) bound on max KL that would be ideal but "&amp;"is hard to calculate. PPO is even stranger: they find that it enforces a mean KL bound, but only when optimizations present in the canonical implementation, but not the core definition of the algorithm, are present. These optimizations include: a custom w"&amp;"eight initialization scheme, learning rate annealing on Adam, and reward values that are normalized according to a rolling sum. All of these optimizations contribute to  non-trivial increases in performance over the base algorithm, in addition to apparent"&amp;"ly being central to how PPO maintains its trust region.")</f>
        <v>This paper investigates whether and to what extent the stated conceptual justifications for common Policy Gradient algorithms are actually the things driving their success. The paper has two primary strains of empirical investigation. 
In the first, they examine a few of the more rigorously theorized aspects of policy gradient methods: learned value functions as baselines for advantage calculations, surrogate rewards, and enforcement of a "trust region" where the KL divergence between old and updated policy is bounded in some way. For value functions and surrogate rewards, the authors find that both of these approximations are weak and perform poorly relative to the true value function and reward landscape respectively. 
Basically, it turns out that we lose a lot by approximating in this context. When it comes to enforcing a trust region, they show that TRPO is able to enforce a bound on mean KL, but that it's much looser than the (more theoretically justified) bound on max KL that would be ideal but is hard to calculate. PPO is even stranger: they find that it enforces a mean KL bound, but only when optimizations present in the canonical implementation, but not the core definition of the algorithm, are present. These optimizations include: a custom weight initialization scheme, learning rate annealing on Adam, and reward values that are normalized according to a rolling sum. All of these optimizations contribute to  non-trivial increases in performance over the base algorithm, in addition to apparently being central to how PPO maintains its trust region.</v>
      </c>
      <c r="K1669" t="str">
        <f>IFERROR(__xludf.DUMMYFUNCTION("""COMPUTED_VALUE"""),"This paper seems like one that will make RL researchers usefully uncomfortable,  by pointing out that the complexity of our implementations means that just having a theoretical story of your algorithm's performance and empirical validation of that heighte"&amp;"ned performance isn't actually enough to confirm that the theory is actually the thing driving the performance. I do think the authors were a bit overly critical at points: I don't think anyone working in RL would have expected that the learned value func"&amp;"tion was perfect, or that gradient updates were un-noisy. But, it's a good reminder that saying things like ""value functions as a baseline decrease variance"" should be grounded in an empirical examination of how good they are at it, rather than just a t"&amp;"heoretical argument that they should.")</f>
        <v>This paper seems like one that will make RL researchers usefully uncomfortable,  by pointing out that the complexity of our implementations means that just having a theoretical story of your algorithm's performance and empirical validation of that heightened performance isn't actually enough to confirm that the theory is actually the thing driving the performance. I do think the authors were a bit overly critical at points: I don't think anyone working in RL would have expected that the learned value function was perfect, or that gradient updates were un-noisy. But, it's a good reminder that saying things like "value functions as a baseline decrease variance" should be grounded in an empirical examination of how good they are at it, rather than just a theoretical argument that they should.</v>
      </c>
    </row>
    <row r="1670">
      <c r="A1670" t="str">
        <f>IFERROR(__xludf.DUMMYFUNCTION("""COMPUTED_VALUE"""),"Reinforcement learning")</f>
        <v>Reinforcement learning</v>
      </c>
      <c r="B1670" t="str">
        <f>IFERROR(__xludf.DUMMYFUNCTION("""COMPUTED_VALUE"""),"")</f>
        <v/>
      </c>
      <c r="C1670" s="3" t="str">
        <f>IFERROR(__xludf.DUMMYFUNCTION("""COMPUTED_VALUE"""),"Learning to Learn with Probabilistic Task Embeddings")</f>
        <v>Learning to Learn with Probabilistic Task Embeddings</v>
      </c>
      <c r="D1670" t="str">
        <f>IFERROR(__xludf.DUMMYFUNCTION("""COMPUTED_VALUE"""),"Kate Rakelly*, Aurick Zhou*, Deirdre Quillen, Chelsea Finn, Sergey Levine")</f>
        <v>Kate Rakelly*, Aurick Zhou*, Deirdre Quillen, Chelsea Finn, Sergey Levine</v>
      </c>
      <c r="E1670" t="str">
        <f>IFERROR(__xludf.DUMMYFUNCTION("""COMPUTED_VALUE"""),"ICML 2019")</f>
        <v>ICML 2019</v>
      </c>
      <c r="F1670">
        <f>IFERROR(__xludf.DUMMYFUNCTION("""COMPUTED_VALUE"""),2019.0)</f>
        <v>2019</v>
      </c>
      <c r="H1670" s="3" t="str">
        <f>IFERROR(__xludf.DUMMYFUNCTION("""COMPUTED_VALUE"""),"AN #63")</f>
        <v>AN #63</v>
      </c>
      <c r="I1670" t="str">
        <f>IFERROR(__xludf.DUMMYFUNCTION("""COMPUTED_VALUE"""),"Cody")</f>
        <v>Cody</v>
      </c>
      <c r="J1670" t="str">
        <f>IFERROR(__xludf.DUMMYFUNCTION("""COMPUTED_VALUE"""),"This paper proposes a solution to off-policy meta reinforcement learning, an appealing problem because on-policy RL is so sample-intensive, and meta-RL is even worse because it needs to solve a distribution over RL problems. The authors' approach divides "&amp;"the problem into two subproblems: infer an embedding, z, of the current task given context, and learning an optimal policy q function conditioned on that task embedding. At the beginning of each task, z is sampled from the (Gaussian) prior, and as the age"&amp;"nt gains more samples of that particular task, it updates its posterior over z, which can be thought of as refining its guess as to which task it's been dropped into this time. The trick here is that this subdividing of the problem allows it to be done mo"&amp;"stly off-policy, because you only need to use on-policy learning for the task inference component (predicting z given current task transitions), and can learn the Actor-Critic model conditioned on z with off-policy data. The method works by alternating be"&amp;"tween these two learning modes.")</f>
        <v>This paper proposes a solution to off-policy meta reinforcement learning, an appealing problem because on-policy RL is so sample-intensive, and meta-RL is even worse because it needs to solve a distribution over RL problems. The authors' approach divides the problem into two subproblems: infer an embedding, z, of the current task given context, and learning an optimal policy q function conditioned on that task embedding. At the beginning of each task, z is sampled from the (Gaussian) prior, and as the agent gains more samples of that particular task, it updates its posterior over z, which can be thought of as refining its guess as to which task it's been dropped into this time. The trick here is that this subdividing of the problem allows it to be done mostly off-policy, because you only need to use on-policy learning for the task inference component (predicting z given current task transitions), and can learn the Actor-Critic model conditioned on z with off-policy data. The method works by alternating between these two learning modes.</v>
      </c>
      <c r="K1670" t="str">
        <f>IFERROR(__xludf.DUMMYFUNCTION("""COMPUTED_VALUE"""),"I enjoyed this; it's a well-written paper that uses a few core interesting ideas (posterior sampling over a task distribution, representation of a task distribution as a distribution of embedding vectors passed in to condition Q functions), and builds the"&amp;"m up to make a method that achieves some impressive empirical results. ")</f>
        <v>I enjoyed this; it's a well-written paper that uses a few core interesting ideas (posterior sampling over a task distribution, representation of a task distribution as a distribution of embedding vectors passed in to condition Q functions), and builds them up to make a method that achieves some impressive empirical results. </v>
      </c>
      <c r="M1670" s="3" t="str">
        <f>IFERROR(__xludf.DUMMYFUNCTION("""COMPUTED_VALUE"""),"Efficient Off-Policy Meta-RL via Probabilistic Context Variables")</f>
        <v>Efficient Off-Policy Meta-RL via Probabilistic Context Variables</v>
      </c>
    </row>
    <row r="1671">
      <c r="A1671" t="str">
        <f>IFERROR(__xludf.DUMMYFUNCTION("""COMPUTED_VALUE"""),"Reinforcement learning")</f>
        <v>Reinforcement learning</v>
      </c>
      <c r="B1671" t="str">
        <f>IFERROR(__xludf.DUMMYFUNCTION("""COMPUTED_VALUE"""),"")</f>
        <v/>
      </c>
      <c r="C1671" s="3" t="str">
        <f>IFERROR(__xludf.DUMMYFUNCTION("""COMPUTED_VALUE"""),"Unsupervised State Representation Learning in Atari")</f>
        <v>Unsupervised State Representation Learning in Atari</v>
      </c>
      <c r="D1671" t="str">
        <f>IFERROR(__xludf.DUMMYFUNCTION("""COMPUTED_VALUE"""),"Ankesh Anand*, Evan Racah*, Sherjil Ozair*, Yoshua Bengio, Marc-Alexandre Côté, R Devon Hjelm")</f>
        <v>Ankesh Anand*, Evan Racah*, Sherjil Ozair*, Yoshua Bengio, Marc-Alexandre Côté, R Devon Hjelm</v>
      </c>
      <c r="E1671" t="str">
        <f>IFERROR(__xludf.DUMMYFUNCTION("""COMPUTED_VALUE"""),"arXiv")</f>
        <v>arXiv</v>
      </c>
      <c r="F1671">
        <f>IFERROR(__xludf.DUMMYFUNCTION("""COMPUTED_VALUE"""),2019.0)</f>
        <v>2019</v>
      </c>
      <c r="H1671" s="3" t="str">
        <f>IFERROR(__xludf.DUMMYFUNCTION("""COMPUTED_VALUE"""),"AN #59")</f>
        <v>AN #59</v>
      </c>
      <c r="I1671" t="str">
        <f>IFERROR(__xludf.DUMMYFUNCTION("""COMPUTED_VALUE"""),"Cody")</f>
        <v>Cody</v>
      </c>
      <c r="J1671" t="str">
        <f>IFERROR(__xludf.DUMMYFUNCTION("""COMPUTED_VALUE"""),"This paper has two main contributions: an actual technique for learning representations in an unsupervised way, and an Atari-specific interface for giving access to the underlying conceptual state of the game (e.g. the locations of agents, locations of sm"&amp;"all objects, current remaining lives, etc) by parsing out the RAM associated with each state. Since the notional goal of unsupervised representation learning is often to find representations that can capture conceptually important features of the state wi"&amp;"thout having direct access to them, this supervision system allows for more meaningful evaluation of existing methods by asking how well conceptual features can be predicted by learned representation vectors. The object-level method of the paper centers a"&amp;"round learning representations that capture information about temporal state dynamics, which they do by maximizing mutual information between representations at  adjacent timesteps. More specifically, they have both a local version of this, where a given "&amp;"1/16th patch of the image has a representation that  is optimized to be predictive of that same patches next-timestep representation, and a local-global version, where the global representation is optimized to be predictive of representations of each patc"&amp;"h. They argue this patch-level prediction makes their method better at learning concepts attached to small objects, and the empirical results do seem to support this interpretation. ")</f>
        <v>This paper has two main contributions: an actual technique for learning representations in an unsupervised way, and an Atari-specific interface for giving access to the underlying conceptual state of the game (e.g. the locations of agents, locations of small objects, current remaining lives, etc) by parsing out the RAM associated with each state. Since the notional goal of unsupervised representation learning is often to find representations that can capture conceptually important features of the state without having direct access to them, this supervision system allows for more meaningful evaluation of existing methods by asking how well conceptual features can be predicted by learned representation vectors. The object-level method of the paper centers around learning representations that capture information about temporal state dynamics, which they do by maximizing mutual information between representations at  adjacent timesteps. More specifically, they have both a local version of this, where a given 1/16th patch of the image has a representation that  is optimized to be predictive of that same patches next-timestep representation, and a local-global version, where the global representation is optimized to be predictive of representations of each patch. They argue this patch-level prediction makes their method better at learning concepts attached to small objects, and the empirical results do seem to support this interpretation. </v>
      </c>
      <c r="K1671" t="str">
        <f>IFERROR(__xludf.DUMMYFUNCTION("""COMPUTED_VALUE"""),"The specific method is an interesting modification of previous Contrastive Predictive Coding work, but what I found most impressive about this paper was the engineering work involved in pulling metadata supervision signals out of the game by reading  comm"&amp;"ents on disassembled  source code to see exactly how metadata was being stored in RAM. This seems to have the potential of being a useful benchmark for Atari representation learning going forward (though admittedly Atari games are fairly conceptually stra"&amp;"ightforward to begin with).")</f>
        <v>The specific method is an interesting modification of previous Contrastive Predictive Coding work, but what I found most impressive about this paper was the engineering work involved in pulling metadata supervision signals out of the game by reading  comments on disassembled  source code to see exactly how metadata was being stored in RAM. This seems to have the potential of being a useful benchmark for Atari representation learning going forward (though admittedly Atari games are fairly conceptually straightforward to begin with).</v>
      </c>
    </row>
    <row r="1672">
      <c r="A1672" t="str">
        <f>IFERROR(__xludf.DUMMYFUNCTION("""COMPUTED_VALUE"""),"Reinforcement learning")</f>
        <v>Reinforcement learning</v>
      </c>
      <c r="B1672" t="str">
        <f>IFERROR(__xludf.DUMMYFUNCTION("""COMPUTED_VALUE"""),"")</f>
        <v/>
      </c>
      <c r="C1672" s="3" t="str">
        <f>IFERROR(__xludf.DUMMYFUNCTION("""COMPUTED_VALUE"""),"Toybox: A Suite of Environments for Experimental Evaluation of Deep Reinforcement Learning")</f>
        <v>Toybox: A Suite of Environments for Experimental Evaluation of Deep Reinforcement Learning</v>
      </c>
      <c r="D1672" t="str">
        <f>IFERROR(__xludf.DUMMYFUNCTION("""COMPUTED_VALUE"""),"Emma Tosch, Kaleigh Clary, John Foley, David Jensen")</f>
        <v>Emma Tosch, Kaleigh Clary, John Foley, David Jensen</v>
      </c>
      <c r="E1672" t="str">
        <f>IFERROR(__xludf.DUMMYFUNCTION("""COMPUTED_VALUE"""),"arXiv")</f>
        <v>arXiv</v>
      </c>
      <c r="F1672">
        <f>IFERROR(__xludf.DUMMYFUNCTION("""COMPUTED_VALUE"""),2019.0)</f>
        <v>2019</v>
      </c>
      <c r="H1672" s="3" t="str">
        <f>IFERROR(__xludf.DUMMYFUNCTION("""COMPUTED_VALUE"""),"AN #56")</f>
        <v>AN #56</v>
      </c>
      <c r="I1672" t="str">
        <f>IFERROR(__xludf.DUMMYFUNCTION("""COMPUTED_VALUE"""),"Rohin")</f>
        <v>Rohin</v>
      </c>
      <c r="J1672" t="str">
        <f>IFERROR(__xludf.DUMMYFUNCTION("""COMPUTED_VALUE"""),"Toybox is a reimplementation of three Atari games (Breakout, Amidar and Space Invaders) that enables researchers to customize the games themselves in order to perform better experimental evaluations of RL agents. They demonstrate its utility using a case "&amp;"study for each game. For example, in Breakout we often hear that the agents learn to ""tunnel"" through the layer of bricks so that the ball bounces around the top of the screen destroying many bricks. To test whether the agent has learned a robust tunnel"&amp;"ing behavior, they train an agent normally, and then at test time they remove all but one brick of a column and see if the agent quickly destroys the last brick to create a tunnel. It turns out that the agent only does this for the center column, and some"&amp;"times for the one directly to its left.")</f>
        <v>Toybox is a reimplementation of three Atari games (Breakout, Amidar and Space Invaders) that enables researchers to customize the games themselves in order to perform better experimental evaluations of RL agents. They demonstrate its utility using a case study for each game. For example, in Breakout we often hear that the agents learn to "tunnel" through the layer of bricks so that the ball bounces around the top of the screen destroying many bricks. To test whether the agent has learned a robust tunneling behavior, they train an agent normally, and then at test time they remove all but one brick of a column and see if the agent quickly destroys the last brick to create a tunnel. It turns out that the agent only does this for the center column, and sometimes for the one directly to its left.</v>
      </c>
      <c r="K1672" t="str">
        <f>IFERROR(__xludf.DUMMYFUNCTION("""COMPUTED_VALUE"""),"I really like the idea of being able to easily test whether an agent has robustly learned a behavior or not. To some extent, all of the transfer learning environments are also doing this, such as &lt;@CoinRun@&gt;(@Quantifying Generalization in Reinforcement Le"&amp;"arning@) and the &lt;@Retro Contest@&gt;: if the learned behavior is not robust, then the agent will not perform well in the transfer environment. But with Toybox it looks like researchers will be able to run much more granular experiments looking at specific b"&amp;"ehaviors.")</f>
        <v>I really like the idea of being able to easily test whether an agent has robustly learned a behavior or not. To some extent, all of the transfer learning environments are also doing this, such as &lt;@CoinRun@&gt;(@Quantifying Generalization in Reinforcement Learning@) and the &lt;@Retro Contest@&gt;: if the learned behavior is not robust, then the agent will not perform well in the transfer environment. But with Toybox it looks like researchers will be able to run much more granular experiments looking at specific behaviors.</v>
      </c>
    </row>
    <row r="1673">
      <c r="A1673" t="str">
        <f>IFERROR(__xludf.DUMMYFUNCTION("""COMPUTED_VALUE"""),"Reinforcement learning")</f>
        <v>Reinforcement learning</v>
      </c>
      <c r="B1673" t="str">
        <f>IFERROR(__xludf.DUMMYFUNCTION("""COMPUTED_VALUE"""),"")</f>
        <v/>
      </c>
      <c r="C1673" s="3" t="str">
        <f>IFERROR(__xludf.DUMMYFUNCTION("""COMPUTED_VALUE"""),"Smoothing Policies and Safe Policy Gradients")</f>
        <v>Smoothing Policies and Safe Policy Gradients</v>
      </c>
      <c r="D1673" t="str">
        <f>IFERROR(__xludf.DUMMYFUNCTION("""COMPUTED_VALUE"""),"Matteo Papini, Matteo Pirotta, Marcello Restelli")</f>
        <v>Matteo Papini, Matteo Pirotta, Marcello Restelli</v>
      </c>
      <c r="E1673" t="str">
        <f>IFERROR(__xludf.DUMMYFUNCTION("""COMPUTED_VALUE"""),"arXiv")</f>
        <v>arXiv</v>
      </c>
      <c r="F1673">
        <f>IFERROR(__xludf.DUMMYFUNCTION("""COMPUTED_VALUE"""),2019.0)</f>
        <v>2019</v>
      </c>
      <c r="H1673" s="3" t="str">
        <f>IFERROR(__xludf.DUMMYFUNCTION("""COMPUTED_VALUE"""),"AN #56")</f>
        <v>AN #56</v>
      </c>
    </row>
    <row r="1674">
      <c r="A1674" t="str">
        <f>IFERROR(__xludf.DUMMYFUNCTION("""COMPUTED_VALUE"""),"Reinforcement learning")</f>
        <v>Reinforcement learning</v>
      </c>
      <c r="B1674" t="str">
        <f>IFERROR(__xludf.DUMMYFUNCTION("""COMPUTED_VALUE"""),"")</f>
        <v/>
      </c>
      <c r="C1674" s="3" t="str">
        <f>IFERROR(__xludf.DUMMYFUNCTION("""COMPUTED_VALUE"""),"Diagnosing Bottlenecks in Deep Q-learning Algorithms")</f>
        <v>Diagnosing Bottlenecks in Deep Q-learning Algorithms</v>
      </c>
      <c r="D1674" t="str">
        <f>IFERROR(__xludf.DUMMYFUNCTION("""COMPUTED_VALUE"""),"Justin Fu, Aviral Kumar, Matthew Soh, Sergey Levine")</f>
        <v>Justin Fu, Aviral Kumar, Matthew Soh, Sergey Levine</v>
      </c>
      <c r="E1674" t="str">
        <f>IFERROR(__xludf.DUMMYFUNCTION("""COMPUTED_VALUE"""),"arXiv")</f>
        <v>arXiv</v>
      </c>
      <c r="F1674">
        <f>IFERROR(__xludf.DUMMYFUNCTION("""COMPUTED_VALUE"""),2019.0)</f>
        <v>2019</v>
      </c>
      <c r="H1674" s="3" t="str">
        <f>IFERROR(__xludf.DUMMYFUNCTION("""COMPUTED_VALUE"""),"AN #51")</f>
        <v>AN #51</v>
      </c>
      <c r="I1674" t="str">
        <f>IFERROR(__xludf.DUMMYFUNCTION("""COMPUTED_VALUE"""),"Rohin")</f>
        <v>Rohin</v>
      </c>
      <c r="J1674" t="str">
        <f>IFERROR(__xludf.DUMMYFUNCTION("""COMPUTED_VALUE"""),"While the PreQN paper used a theoretical approach to tackle Deep Q-Learning algorithms, this one takes an empirical approach. Their results:
    - Small neural nets cannot represent Q*, and so have undesired bias that results in worse performance. However"&amp;", they also have convergence issues, where the Q-function they actually converge to is significantly worse than the best Q-function that they could express. Larger architectures mitigate both of these problems.
    - When there are more samples, we get a "&amp;"lower validation loss, showing that we are overfitting. Despite this, larger architectures are better, because the performance loss from overfitting is not as bad as the performance loss from having a bad bias. A good early stopping criterion could help w"&amp;"ith this.
    - To study how non-stationarity affects DQL algorithms, they study a variant where the Q-function is a moving average of the past Q-functions (instead of the full update), which means that the target values don't change as quickly (i.e. it i"&amp;"s closer to a stationary target). They find that non-stationarity doesn't matter much for large architectures.
    - To study distribution shift, they look at the difference between the expected Bellman error before and after an update to the parameters. "&amp;"They find that distribution shift doesn't correlate much with performance and so is likely not important.
    - Algorithms differ strongly in the distribution over (s, a) pairs that the DQL update is computed over. They study this in the absence of sampli"&amp;"ng (i.e. when they simply weight all possible (s, a) pairs, rather than just the ones sampled from a policy) and find that distributions that are ""close to uniform"" perform best. They hypothesize that this is the reason that experience replay helps -- i"&amp;"nitially an on-policy algorithm would take samples from a single policy, while experience replay adds samples from previous versions of the policy, which should increase the coverage of (s, a) pairs.
To sum up, the important factors are using an expressi"&amp;"ve neural net architecture, and designing a good sampling distribution. Inspired by this, they design Adversarial Feature Matching (AFM), which like Prioritized Experience Replay (PER) puts more weight on samples that have high Bellman error. However, unl"&amp;"ike PER, AFM does not try to reduce distribution shift via importance sampling, since their experiments found that this was not important.")</f>
        <v>While the PreQN paper used a theoretical approach to tackle Deep Q-Learning algorithms, this one takes an empirical approach. Their results:
    - Small neural nets cannot represent Q*, and so have undesired bias that results in worse performance. However, they also have convergence issues, where the Q-function they actually converge to is significantly worse than the best Q-function that they could express. Larger architectures mitigate both of these problems.
    - When there are more samples, we get a lower validation loss, showing that we are overfitting. Despite this, larger architectures are better, because the performance loss from overfitting is not as bad as the performance loss from having a bad bias. A good early stopping criterion could help with this.
    - To study how non-stationarity affects DQL algorithms, they study a variant where the Q-function is a moving average of the past Q-functions (instead of the full update), which means that the target values don't change as quickly (i.e. it is closer to a stationary target). They find that non-stationarity doesn't matter much for large architectures.
    - To study distribution shift, they look at the difference between the expected Bellman error before and after an update to the parameters. They find that distribution shift doesn't correlate much with performance and so is likely not important.
    - Algorithms differ strongly in the distribution over (s, a) pairs that the DQL update is computed over. They study this in the absence of sampling (i.e. when they simply weight all possible (s, a) pairs, rather than just the ones sampled from a policy) and find that distributions that are "close to uniform" perform best. They hypothesize that this is the reason that experience replay helps -- initially an on-policy algorithm would take samples from a single policy, while experience replay adds samples from previous versions of the policy, which should increase the coverage of (s, a) pairs.
To sum up, the important factors are using an expressive neural net architecture, and designing a good sampling distribution. Inspired by this, they design Adversarial Feature Matching (AFM), which like Prioritized Experience Replay (PER) puts more weight on samples that have high Bellman error. However, unlike PER, AFM does not try to reduce distribution shift via importance sampling, since their experiments found that this was not important.</v>
      </c>
      <c r="K1674" t="str">
        <f>IFERROR(__xludf.DUMMYFUNCTION("""COMPUTED_VALUE"""),"This is a great experimental paper, there's a lot of data that can help understand DQL algorithms. I wouldn't take the results too literally, since insights on simple environments may not generalize to more complex environments. For example, they found ov"&amp;"erfitting to be an issue in their environments -- it's plausible to me that with more complex environments (think Dota/StarCraft, not Mujoco) this reverses and you end up underfitting the data you have. Nonetheless, I think data like this is particularly "&amp;"valuable for coming up with an intuitive theory of how deep RL works, if not a formal one.")</f>
        <v>This is a great experimental paper, there's a lot of data that can help understand DQL algorithms. I wouldn't take the results too literally, since insights on simple environments may not generalize to more complex environments. For example, they found overfitting to be an issue in their environments -- it's plausible to me that with more complex environments (think Dota/StarCraft, not Mujoco) this reverses and you end up underfitting the data you have. Nonetheless, I think data like this is particularly valuable for coming up with an intuitive theory of how deep RL works, if not a formal one.</v>
      </c>
    </row>
    <row r="1675">
      <c r="A1675" t="str">
        <f>IFERROR(__xludf.DUMMYFUNCTION("""COMPUTED_VALUE"""),"Reinforcement learning")</f>
        <v>Reinforcement learning</v>
      </c>
      <c r="B1675" t="str">
        <f>IFERROR(__xludf.DUMMYFUNCTION("""COMPUTED_VALUE"""),"")</f>
        <v/>
      </c>
      <c r="C1675" s="3" t="str">
        <f>IFERROR(__xludf.DUMMYFUNCTION("""COMPUTED_VALUE"""),"Simulated Policy Learning in Video Models")</f>
        <v>Simulated Policy Learning in Video Models</v>
      </c>
      <c r="D1675" t="str">
        <f>IFERROR(__xludf.DUMMYFUNCTION("""COMPUTED_VALUE"""),"Lukasz Kaiser, Mohammad Babaeizadeh, Piotr Miłos, Błażej Osiński, Roy H Campbell, Konrad Czechowski, Chelsea Finn, Piotr Kozakowski, Sergey Levine, Ryan Sepassi, George Tucker and Henryk Michalewski")</f>
        <v>Lukasz Kaiser, Mohammad Babaeizadeh, Piotr Miłos, Błażej Osiński, Roy H Campbell, Konrad Czechowski, Chelsea Finn, Piotr Kozakowski, Sergey Levine, Ryan Sepassi, George Tucker and Henryk Michalewski</v>
      </c>
      <c r="E1675" t="str">
        <f>IFERROR(__xludf.DUMMYFUNCTION("""COMPUTED_VALUE"""),"Google AI Blog")</f>
        <v>Google AI Blog</v>
      </c>
      <c r="F1675">
        <f>IFERROR(__xludf.DUMMYFUNCTION("""COMPUTED_VALUE"""),2019.0)</f>
        <v>2019</v>
      </c>
      <c r="H1675" s="3" t="str">
        <f>IFERROR(__xludf.DUMMYFUNCTION("""COMPUTED_VALUE"""),"AN #51")</f>
        <v>AN #51</v>
      </c>
      <c r="I1675" t="str">
        <f>IFERROR(__xludf.DUMMYFUNCTION("""COMPUTED_VALUE"""),"Rohin")</f>
        <v>Rohin</v>
      </c>
      <c r="J1675" t="str">
        <f>IFERROR(__xludf.DUMMYFUNCTION("""COMPUTED_VALUE"""),"This blog post and the associated [paper](https://arxiv.org/abs/1903.00374) tackle model-based RL for Atari. The recent &lt;@world models@&gt;(@Recurrent World Models Facilitate Policy Evolution@) paper proposed first learning a model of the world by interactin"&amp;"g with the environment using a random policy, and then using the model to simulate the environment and training a control policy using those simulations. (This wasn't it's main point, but it was one of the things it talked about.) The authors take this id"&amp;"ea and put it in an iterative loop: they first train the world model using experience from a random policy, then train a policy using the world model, retrain the world model with experience collected using the newly trained policy, retrain the policy, an"&amp;"d so on. This allows us to correct any mistakes in the world model and let it adapt to novel situations that the control policy discovers. This allows them to train agents that can play Atari with only 100K interactions with the environment (corresponding"&amp;" to about two hours of real-time gameplay), though the final performance is lower than the state-of-the-art achieved with model-free RL. See [Import AI](https://jack-clark.net/2019/04/01/import-ai-140-surveilling-a-city-via-the-cityflow-dataset-25000-imag"&amp;"es-of-chinese-shop-signs-and-the-seven-traps-of-ai-ethics/) for more details.")</f>
        <v>This blog post and the associated [paper](https://arxiv.org/abs/1903.00374) tackle model-based RL for Atari. The recent &lt;@world models@&gt;(@Recurrent World Models Facilitate Policy Evolution@) paper proposed first learning a model of the world by interacting with the environment using a random policy, and then using the model to simulate the environment and training a control policy using those simulations. (This wasn't it's main point, but it was one of the things it talked about.) The authors take this idea and put it in an iterative loop: they first train the world model using experience from a random policy, then train a policy using the world model, retrain the world model with experience collected using the newly trained policy, retrain the policy, and so on. This allows us to correct any mistakes in the world model and let it adapt to novel situations that the control policy discovers. This allows them to train agents that can play Atari with only 100K interactions with the environment (corresponding to about two hours of real-time gameplay), though the final performance is lower than the state-of-the-art achieved with model-free RL. See [Import AI](https://jack-clark.net/2019/04/01/import-ai-140-surveilling-a-city-via-the-cityflow-dataset-25000-images-of-chinese-shop-signs-and-the-seven-traps-of-ai-ethics/) for more details.</v>
      </c>
      <c r="K1675" t="str">
        <f>IFERROR(__xludf.DUMMYFUNCTION("""COMPUTED_VALUE"""),"This work follows the standard pattern where model-based RL is more sample efficient but reaches worse final performance compared to model-free RL. Let's try to explain this using the same story as in the rest of this newsletter.
The sample efficiency co"&amp;"mes from the fact that they learn a world model that can predict the future, and then use that model to solve the control problem (which has zero sample cost, since you are no longer interacting with the environment). It turns out that predicting the futu"&amp;"re is ""easier"" than selecting the optimal action, and so the world model can be trained in fewer samples than it would take to solve the control problem directly. Why is the world model ""easier"" to learn? One possibility is that solving the control pr"&amp;"oblem requires you to model the world anyway, and so must be a harder problem. If you don't know what your actions are going to do, you can't choose the best one. I don't find this very compelling, since there are lots of aspects of world modeling that ar"&amp;"e irrelevant to the control problem -- you don't need to know exactly how the background art will change in order to choose what action to take, but world modeling requires you to do this. I think the real reason is that world modeling benefits from much "&amp;"more supervision -- rather than getting a sparse reward signal over a trajectory, you get a full grid of pixels every timestep that you were supposed to predict. This gives you many orders of magnitude more ""supervision information"" per sample, and so i"&amp;"t makes it easier to learn. (This is basically the same argument as in [Yann Lecun's cake analogy](https://medium.com/syncedreview/yann-lecun-cake-analogy-2-0-a361da560dae).)
Why does it lead to worse performance overall? The policy is now being trained "&amp;"using rollouts that are subtly wrong, and so instead of specializing to the true Atari dynamics it will be specialized to the world model dynamics, which is going to be somewhat different and should lead to a slight dip in performance. (Imagine a basketba"&amp;"ll player having to shoot a ball that was a bit heavier than usual -- she'll probably still be good, but not as good as with a regular basketball.) In addition, since the world model is supervised by pixels, any small objects are not very important to the"&amp;" world model (i.e. getting them wrong does not incur much loss), even if they are very important for control. In fact, they find that bullets tend to disappear in Atlantis and Battle Zone, which is not good if you want to learn to play those games.
I'm n"&amp;"ot sure if they shared weights between the world model and the control policy. If they did, then they would also have the problem that the features that are useful for predicting the future are not the same as the features that are useful for selecting ac"&amp;"tions, which would also cause a drop in performance. My guess is that they didn't share weights for precisely this reason, but I'm not sure.")</f>
        <v>This work follows the standard pattern where model-based RL is more sample efficient but reaches worse final performance compared to model-free RL. Let's try to explain this using the same story as in the rest of this newsletter.
The sample efficiency comes from the fact that they learn a world model that can predict the future, and then use that model to solve the control problem (which has zero sample cost, since you are no longer interacting with the environment). It turns out that predicting the future is "easier" than selecting the optimal action, and so the world model can be trained in fewer samples than it would take to solve the control problem directly. Why is the world model "easier" to learn? One possibility is that solving the control problem requires you to model the world anyway, and so must be a harder problem. If you don't know what your actions are going to do, you can't choose the best one. I don't find this very compelling, since there are lots of aspects of world modeling that are irrelevant to the control problem -- you don't need to know exactly how the background art will change in order to choose what action to take, but world modeling requires you to do this. I think the real reason is that world modeling benefits from much more supervision -- rather than getting a sparse reward signal over a trajectory, you get a full grid of pixels every timestep that you were supposed to predict. This gives you many orders of magnitude more "supervision information" per sample, and so it makes it easier to learn. (This is basically the same argument as in [Yann Lecun's cake analogy](https://medium.com/syncedreview/yann-lecun-cake-analogy-2-0-a361da560dae).)
Why does it lead to worse performance overall? The policy is now being trained using rollouts that are subtly wrong, and so instead of specializing to the true Atari dynamics it will be specialized to the world model dynamics, which is going to be somewhat different and should lead to a slight dip in performance. (Imagine a basketball player having to shoot a ball that was a bit heavier than usual -- she'll probably still be good, but not as good as with a regular basketball.) In addition, since the world model is supervised by pixels, any small objects are not very important to the world model (i.e. getting them wrong does not incur much loss), even if they are very important for control. In fact, they find that bullets tend to disappear in Atlantis and Battle Zone, which is not good if you want to learn to play those games.
I'm not sure if they shared weights between the world model and the control policy. If they did, then they would also have the problem that the features that are useful for predicting the future are not the same as the features that are useful for selecting actions, which would also cause a drop in performance. My guess is that they didn't share weights for precisely this reason, but I'm not sure.</v>
      </c>
      <c r="M1675" s="3" t="str">
        <f>IFERROR(__xludf.DUMMYFUNCTION("""COMPUTED_VALUE"""),"Model-Based Reinforcement Learning for Atari")</f>
        <v>Model-Based Reinforcement Learning for Atari</v>
      </c>
    </row>
    <row r="1676">
      <c r="A1676" t="str">
        <f>IFERROR(__xludf.DUMMYFUNCTION("""COMPUTED_VALUE"""),"Reinforcement learning")</f>
        <v>Reinforcement learning</v>
      </c>
      <c r="B1676" t="str">
        <f>IFERROR(__xludf.DUMMYFUNCTION("""COMPUTED_VALUE"""),"")</f>
        <v/>
      </c>
      <c r="C1676" s="3" t="str">
        <f>IFERROR(__xludf.DUMMYFUNCTION("""COMPUTED_VALUE"""),"Unifying Physics and Deep Learning with TossingBot")</f>
        <v>Unifying Physics and Deep Learning with TossingBot</v>
      </c>
      <c r="D1676" t="str">
        <f>IFERROR(__xludf.DUMMYFUNCTION("""COMPUTED_VALUE"""),"Andy Zeng")</f>
        <v>Andy Zeng</v>
      </c>
      <c r="E1676" t="str">
        <f>IFERROR(__xludf.DUMMYFUNCTION("""COMPUTED_VALUE"""),"Google AI Blog")</f>
        <v>Google AI Blog</v>
      </c>
      <c r="F1676">
        <f>IFERROR(__xludf.DUMMYFUNCTION("""COMPUTED_VALUE"""),2019.0)</f>
        <v>2019</v>
      </c>
      <c r="H1676" s="3" t="str">
        <f>IFERROR(__xludf.DUMMYFUNCTION("""COMPUTED_VALUE"""),"AN #51")</f>
        <v>AN #51</v>
      </c>
      <c r="I1676" t="str">
        <f>IFERROR(__xludf.DUMMYFUNCTION("""COMPUTED_VALUE"""),"Rohin")</f>
        <v>Rohin</v>
      </c>
      <c r="J1676" t="str">
        <f>IFERROR(__xludf.DUMMYFUNCTION("""COMPUTED_VALUE"""),"TossingBot is a system that learns how to pick up and toss objects into bins using deep RL. The most interesting thing about it is that instead of using neural nets to directly predict actions, they are instead used to predict _adjustments_ to actions tha"&amp;"t are computed by a physics-based controller. Since the physics-based controller generalizes well to new situations, TossingBot is also able to generalize to new tossing locations.")</f>
        <v>TossingBot is a system that learns how to pick up and toss objects into bins using deep RL. The most interesting thing about it is that instead of using neural nets to directly predict actions, they are instead used to predict _adjustments_ to actions that are computed by a physics-based controller. Since the physics-based controller generalizes well to new situations, TossingBot is also able to generalize to new tossing locations.</v>
      </c>
      <c r="K1676" t="str">
        <f>IFERROR(__xludf.DUMMYFUNCTION("""COMPUTED_VALUE"""),"This is a cool example of using structured knowledge in order to get generalization while also using deep learning in order to get performance. I also recently came across [Residual Reinforcement Learning for Robot Control](https://arxiv.org/abs/1812.0320"&amp;"1), which seems to have the same idea of combining deep RL with conventional control mechanisms. I haven't read either of the papers in depth, so I can't compare them, but a _very_ brief skim suggests that their techniques are significantly different.")</f>
        <v>This is a cool example of using structured knowledge in order to get generalization while also using deep learning in order to get performance. I also recently came across [Residual Reinforcement Learning for Robot Control](https://arxiv.org/abs/1812.03201), which seems to have the same idea of combining deep RL with conventional control mechanisms. I haven't read either of the papers in depth, so I can't compare them, but a _very_ brief skim suggests that their techniques are significantly different.</v>
      </c>
    </row>
    <row r="1677">
      <c r="A1677" t="str">
        <f>IFERROR(__xludf.DUMMYFUNCTION("""COMPUTED_VALUE"""),"Reinforcement learning")</f>
        <v>Reinforcement learning</v>
      </c>
      <c r="B1677" t="str">
        <f>IFERROR(__xludf.DUMMYFUNCTION("""COMPUTED_VALUE"""),"")</f>
        <v/>
      </c>
      <c r="C1677" s="3" t="str">
        <f>IFERROR(__xludf.DUMMYFUNCTION("""COMPUTED_VALUE"""),"Assessing Generalization in Deep Reinforcement Learning (blog post)")</f>
        <v>Assessing Generalization in Deep Reinforcement Learning (blog post)</v>
      </c>
      <c r="D1677" t="str">
        <f>IFERROR(__xludf.DUMMYFUNCTION("""COMPUTED_VALUE"""),"Charles Packer and Katelyn Guo")</f>
        <v>Charles Packer and Katelyn Guo</v>
      </c>
      <c r="E1677" t="str">
        <f>IFERROR(__xludf.DUMMYFUNCTION("""COMPUTED_VALUE"""),"BAIR Blog")</f>
        <v>BAIR Blog</v>
      </c>
      <c r="F1677">
        <f>IFERROR(__xludf.DUMMYFUNCTION("""COMPUTED_VALUE"""),2019.0)</f>
        <v>2019</v>
      </c>
      <c r="H1677" s="3" t="str">
        <f>IFERROR(__xludf.DUMMYFUNCTION("""COMPUTED_VALUE"""),"AN #50")</f>
        <v>AN #50</v>
      </c>
      <c r="I1677" t="str">
        <f>IFERROR(__xludf.DUMMYFUNCTION("""COMPUTED_VALUE"""),"Rohin")</f>
        <v>Rohin</v>
      </c>
      <c r="J1677" t="str">
        <f>IFERROR(__xludf.DUMMYFUNCTION("""COMPUTED_VALUE"""),"This is a blog post summarizing &lt;@Assessing Generalization in Deep Reinforcement Learning@&gt;.")</f>
        <v>This is a blog post summarizing &lt;@Assessing Generalization in Deep Reinforcement Learning@&gt;.</v>
      </c>
    </row>
    <row r="1678">
      <c r="A1678" t="str">
        <f>IFERROR(__xludf.DUMMYFUNCTION("""COMPUTED_VALUE"""),"Reinforcement learning")</f>
        <v>Reinforcement learning</v>
      </c>
      <c r="B1678" t="str">
        <f>IFERROR(__xludf.DUMMYFUNCTION("""COMPUTED_VALUE"""),"")</f>
        <v/>
      </c>
      <c r="C1678" s="3" t="str">
        <f>IFERROR(__xludf.DUMMYFUNCTION("""COMPUTED_VALUE"""),"TDM: From Model-Free to Model-Based Deep Reinforcement Learning")</f>
        <v>TDM: From Model-Free to Model-Based Deep Reinforcement Learning</v>
      </c>
      <c r="D1678" t="str">
        <f>IFERROR(__xludf.DUMMYFUNCTION("""COMPUTED_VALUE"""),"Vitchyr Pong")</f>
        <v>Vitchyr Pong</v>
      </c>
      <c r="E1678" t="str">
        <f>IFERROR(__xludf.DUMMYFUNCTION("""COMPUTED_VALUE"""),"BAIR Blog")</f>
        <v>BAIR Blog</v>
      </c>
      <c r="F1678">
        <f>IFERROR(__xludf.DUMMYFUNCTION("""COMPUTED_VALUE"""),2018.0)</f>
        <v>2018</v>
      </c>
      <c r="H1678" s="3" t="str">
        <f>IFERROR(__xludf.DUMMYFUNCTION("""COMPUTED_VALUE"""),"AN #5")</f>
        <v>AN #5</v>
      </c>
      <c r="I1678" t="str">
        <f>IFERROR(__xludf.DUMMYFUNCTION("""COMPUTED_VALUE"""),"Rohin")</f>
        <v>Rohin</v>
      </c>
      <c r="J1678" t="str">
        <f>IFERROR(__xludf.DUMMYFUNCTION("""COMPUTED_VALUE"""),"In many tasks, we have hierarchical structure where we want to plan at a high level, but to execute the low-level actions we want to rely on learning through experience. For example, when biking from UC Berkeley to the Golden Gate Bridge, you definitely w"&amp;"ant to plan in advance the route you'll take (as opposed to learning through trial-and-error), but you want to learn how to bike through trial-and-error. Temporal Difference Models allow you to do model-based planning at the high level, and model-free lea"&amp;"rning at the low level. Specifically, you learn a function Q(s1, a, s2, T), which intuitively says ""if I start from state s1, taking action a, and running for T steps, how close can I get to state s2"". It turns out that this can be thought of as a Q fun"&amp;"ction and so can be trained using standard model-free RL techniques. Note that the constraint Q(s1, a, s2, T) = 0 says that it is possible to get from s1 to s2 in T steps after first taking action a.
One standard way to solve model-based RL is to search "&amp;"for a sequence of states and actions (s0, a0, s1, a1, ...) that is feasible (agrees with the dynamics) and maximizes the reward, and then take the first action from that sequence. Using TDMs, we can now search for the sequence (s0, a0, sK, aK, s2K, a2k, ."&amp;"..) that is feasible and maximizes reward. The feasibility requirement is expressed by the constraint Q(s0, a0, sK, K) = 0.")</f>
        <v>In many tasks, we have hierarchical structure where we want to plan at a high level, but to execute the low-level actions we want to rely on learning through experience. For example, when biking from UC Berkeley to the Golden Gate Bridge, you definitely want to plan in advance the route you'll take (as opposed to learning through trial-and-error), but you want to learn how to bike through trial-and-error. Temporal Difference Models allow you to do model-based planning at the high level, and model-free learning at the low level. Specifically, you learn a function Q(s1, a, s2, T), which intuitively says "if I start from state s1, taking action a, and running for T steps, how close can I get to state s2". It turns out that this can be thought of as a Q function and so can be trained using standard model-free RL techniques. Note that the constraint Q(s1, a, s2, T) = 0 says that it is possible to get from s1 to s2 in T steps after first taking action a.
One standard way to solve model-based RL is to search for a sequence of states and actions (s0, a0, s1, a1, ...) that is feasible (agrees with the dynamics) and maximizes the reward, and then take the first action from that sequence. Using TDMs, we can now search for the sequence (s0, a0, sK, aK, s2K, a2k, ...) that is feasible and maximizes reward. The feasibility requirement is expressed by the constraint Q(s0, a0, sK, K) = 0.</v>
      </c>
      <c r="K1678" t="str">
        <f>IFERROR(__xludf.DUMMYFUNCTION("""COMPUTED_VALUE"""),"Firstly, the blog post is very readable and provides a great introduction (it's much more friendly than my summary).
This technique does require that we can reinterpret any state as a goal state, similar to the assumption in [Hindsight Experience Replay]"&amp;"(https://arxiv.org/abs/1707.01495) (HER). They do compare to HER, and find that HER doesn't do very well, which I was quite surprised by. Clicking through to the paper, it turns out the authors were surprised as well, but then realized that this is becaus"&amp;"e HER is designed to work with sparse reward problems, whereas they were evaluating on problems with relatively shaped rewards.")</f>
        <v>Firstly, the blog post is very readable and provides a great introduction (it's much more friendly than my summary).
This technique does require that we can reinterpret any state as a goal state, similar to the assumption in [Hindsight Experience Replay](https://arxiv.org/abs/1707.01495) (HER). They do compare to HER, and find that HER doesn't do very well, which I was quite surprised by. Clicking through to the paper, it turns out the authors were surprised as well, but then realized that this is because HER is designed to work with sparse reward problems, whereas they were evaluating on problems with relatively shaped rewards.</v>
      </c>
    </row>
    <row r="1679">
      <c r="A1679" t="str">
        <f>IFERROR(__xludf.DUMMYFUNCTION("""COMPUTED_VALUE"""),"Reinforcement learning")</f>
        <v>Reinforcement learning</v>
      </c>
      <c r="B1679" t="str">
        <f>IFERROR(__xludf.DUMMYFUNCTION("""COMPUTED_VALUE"""),"")</f>
        <v/>
      </c>
      <c r="C1679" s="3" t="str">
        <f>IFERROR(__xludf.DUMMYFUNCTION("""COMPUTED_VALUE"""),"Reinforcement Learning and Control as Probabilistic Inference: Tutorial and Review")</f>
        <v>Reinforcement Learning and Control as Probabilistic Inference: Tutorial and Review</v>
      </c>
      <c r="D1679" t="str">
        <f>IFERROR(__xludf.DUMMYFUNCTION("""COMPUTED_VALUE"""),"Sergey Levine")</f>
        <v>Sergey Levine</v>
      </c>
      <c r="E1679" t="str">
        <f>IFERROR(__xludf.DUMMYFUNCTION("""COMPUTED_VALUE"""),"arXiv")</f>
        <v>arXiv</v>
      </c>
      <c r="F1679">
        <f>IFERROR(__xludf.DUMMYFUNCTION("""COMPUTED_VALUE"""),2018.0)</f>
        <v>2018</v>
      </c>
      <c r="H1679" s="3" t="str">
        <f>IFERROR(__xludf.DUMMYFUNCTION("""COMPUTED_VALUE"""),"AN #5")</f>
        <v>AN #5</v>
      </c>
    </row>
    <row r="1680">
      <c r="A1680" t="str">
        <f>IFERROR(__xludf.DUMMYFUNCTION("""COMPUTED_VALUE"""),"Reinforcement learning")</f>
        <v>Reinforcement learning</v>
      </c>
      <c r="B1680" t="str">
        <f>IFERROR(__xludf.DUMMYFUNCTION("""COMPUTED_VALUE"""),"")</f>
        <v/>
      </c>
      <c r="C1680" s="3" t="str">
        <f>IFERROR(__xludf.DUMMYFUNCTION("""COMPUTED_VALUE"""),"Towards Symbolic Reinforcement Learning with Common Sense")</f>
        <v>Towards Symbolic Reinforcement Learning with Common Sense</v>
      </c>
      <c r="D1680" t="str">
        <f>IFERROR(__xludf.DUMMYFUNCTION("""COMPUTED_VALUE"""),"Artur d'Avila Garcez, Aimore Resende Riquetti Dutra, Eduardo Alonso")</f>
        <v>Artur d'Avila Garcez, Aimore Resende Riquetti Dutra, Eduardo Alonso</v>
      </c>
      <c r="E1680" t="str">
        <f>IFERROR(__xludf.DUMMYFUNCTION("""COMPUTED_VALUE"""),"arXiv")</f>
        <v>arXiv</v>
      </c>
      <c r="F1680">
        <f>IFERROR(__xludf.DUMMYFUNCTION("""COMPUTED_VALUE"""),2018.0)</f>
        <v>2018</v>
      </c>
      <c r="H1680" s="3" t="str">
        <f>IFERROR(__xludf.DUMMYFUNCTION("""COMPUTED_VALUE"""),"AN #5")</f>
        <v>AN #5</v>
      </c>
    </row>
    <row r="1681">
      <c r="A1681" t="str">
        <f>IFERROR(__xludf.DUMMYFUNCTION("""COMPUTED_VALUE"""),"Reinforcement learning")</f>
        <v>Reinforcement learning</v>
      </c>
      <c r="B1681" t="str">
        <f>IFERROR(__xludf.DUMMYFUNCTION("""COMPUTED_VALUE"""),"")</f>
        <v/>
      </c>
      <c r="C1681" s="3" t="str">
        <f>IFERROR(__xludf.DUMMYFUNCTION("""COMPUTED_VALUE"""),"Learning Dynamics Model in Reinforcement Learning by Incorporating the Long Term Future")</f>
        <v>Learning Dynamics Model in Reinforcement Learning by Incorporating the Long Term Future</v>
      </c>
      <c r="D1681" t="str">
        <f>IFERROR(__xludf.DUMMYFUNCTION("""COMPUTED_VALUE"""),"Nan Rosemary Ke, Amanpreet Singh, Ahmed Touati, Anirudh Goyal, Yoshua Bengio, Devi Parikh, Dhruv Batra")</f>
        <v>Nan Rosemary Ke, Amanpreet Singh, Ahmed Touati, Anirudh Goyal, Yoshua Bengio, Devi Parikh, Dhruv Batra</v>
      </c>
      <c r="E1681" t="str">
        <f>IFERROR(__xludf.DUMMYFUNCTION("""COMPUTED_VALUE"""),"arXiv")</f>
        <v>arXiv</v>
      </c>
      <c r="F1681">
        <f>IFERROR(__xludf.DUMMYFUNCTION("""COMPUTED_VALUE"""),2019.0)</f>
        <v>2019</v>
      </c>
      <c r="H1681" s="3" t="str">
        <f>IFERROR(__xludf.DUMMYFUNCTION("""COMPUTED_VALUE"""),"AN #49")</f>
        <v>AN #49</v>
      </c>
    </row>
    <row r="1682">
      <c r="A1682" t="str">
        <f>IFERROR(__xludf.DUMMYFUNCTION("""COMPUTED_VALUE"""),"Reinforcement learning")</f>
        <v>Reinforcement learning</v>
      </c>
      <c r="B1682" t="str">
        <f>IFERROR(__xludf.DUMMYFUNCTION("""COMPUTED_VALUE"""),"")</f>
        <v/>
      </c>
      <c r="C1682" s="3" t="str">
        <f>IFERROR(__xludf.DUMMYFUNCTION("""COMPUTED_VALUE"""),"Autocurricula and the Emergence of Innovation from Social Interaction: A Manifesto for Multi-Agent Intelligence Research")</f>
        <v>Autocurricula and the Emergence of Innovation from Social Interaction: A Manifesto for Multi-Agent Intelligence Research</v>
      </c>
      <c r="D1682" t="str">
        <f>IFERROR(__xludf.DUMMYFUNCTION("""COMPUTED_VALUE"""),"Joel Z. Leibo, Edward Hughes, Marc Lanctot, Thore Graepel")</f>
        <v>Joel Z. Leibo, Edward Hughes, Marc Lanctot, Thore Graepel</v>
      </c>
      <c r="E1682" t="str">
        <f>IFERROR(__xludf.DUMMYFUNCTION("""COMPUTED_VALUE"""),"arXiv")</f>
        <v>arXiv</v>
      </c>
      <c r="F1682">
        <f>IFERROR(__xludf.DUMMYFUNCTION("""COMPUTED_VALUE"""),2019.0)</f>
        <v>2019</v>
      </c>
      <c r="H1682" s="3" t="str">
        <f>IFERROR(__xludf.DUMMYFUNCTION("""COMPUTED_VALUE"""),"AN #48")</f>
        <v>AN #48</v>
      </c>
      <c r="I1682" t="str">
        <f>IFERROR(__xludf.DUMMYFUNCTION("""COMPUTED_VALUE"""),"Richard")</f>
        <v>Richard</v>
      </c>
      <c r="J1682" t="str">
        <f>IFERROR(__xludf.DUMMYFUNCTION("""COMPUTED_VALUE"""),"The authors argue that the best solution to the problem of task generation is creating multi-agent systems where each agent must adapt to the others. These agents do so first by learning how to implement a high-level strategy, and then by adapting it base"&amp;"d on the strategies of others. (The authors use the term ""adaptive unit"" rather than ""agent"" to emphasise that change can occur at many different hierarchical levels, and either by evolution or learning). This adaptation may be exogenous (driven by th"&amp;"e need to respond to a changing environment) or endogenous (driven by a unit's need to improve its own functionality). An example of the latter is a society implementing institutions which enforce cooperation between individuals. Since individuals will tr"&amp;"y to exploit these institutions, the process of gradually robustifying them can be considered an automatically-generated curriculum (aka autocurriuclum).")</f>
        <v>The authors argue that the best solution to the problem of task generation is creating multi-agent systems where each agent must adapt to the others. These agents do so first by learning how to implement a high-level strategy, and then by adapting it based on the strategies of others. (The authors use the term "adaptive unit" rather than "agent" to emphasise that change can occur at many different hierarchical levels, and either by evolution or learning). This adaptation may be exogenous (driven by the need to respond to a changing environment) or endogenous (driven by a unit's need to improve its own functionality). An example of the latter is a society implementing institutions which enforce cooperation between individuals. Since individuals will try to exploit these institutions, the process of gradually robustifying them can be considered an automatically-generated curriculum (aka autocurriuclum).</v>
      </c>
      <c r="K1682" t="str">
        <f>IFERROR(__xludf.DUMMYFUNCTION("""COMPUTED_VALUE"""),"My guess is that multiagent learning will become very popular fairly soon. In addition to this paper and the Neural MMO paper, it was also a key part of the AlphaStar training process. The implications of this research direction for safety are still uncle"&amp;"ar, and it seems valuable to explore them further. One which comes to mind: the sort of deceptive behaviour required for treacherous turns seems more likely to emerge from multiagent training than from single-agent training.")</f>
        <v>My guess is that multiagent learning will become very popular fairly soon. In addition to this paper and the Neural MMO paper, it was also a key part of the AlphaStar training process. The implications of this research direction for safety are still unclear, and it seems valuable to explore them further. One which comes to mind: the sort of deceptive behaviour required for treacherous turns seems more likely to emerge from multiagent training than from single-agent training.</v>
      </c>
    </row>
    <row r="1683">
      <c r="A1683" t="str">
        <f>IFERROR(__xludf.DUMMYFUNCTION("""COMPUTED_VALUE"""),"Reinforcement learning")</f>
        <v>Reinforcement learning</v>
      </c>
      <c r="B1683" t="str">
        <f>IFERROR(__xludf.DUMMYFUNCTION("""COMPUTED_VALUE"""),"")</f>
        <v/>
      </c>
      <c r="C1683" s="3" t="str">
        <f>IFERROR(__xludf.DUMMYFUNCTION("""COMPUTED_VALUE"""),"Long-Range Robotic Navigation via Automated Reinforcement Learning")</f>
        <v>Long-Range Robotic Navigation via Automated Reinforcement Learning</v>
      </c>
      <c r="D1683" t="str">
        <f>IFERROR(__xludf.DUMMYFUNCTION("""COMPUTED_VALUE"""),"Aleksandra Faust and Anthony Francis")</f>
        <v>Aleksandra Faust and Anthony Francis</v>
      </c>
      <c r="E1683" t="str">
        <f>IFERROR(__xludf.DUMMYFUNCTION("""COMPUTED_VALUE"""),"Google AI Blog")</f>
        <v>Google AI Blog</v>
      </c>
      <c r="F1683">
        <f>IFERROR(__xludf.DUMMYFUNCTION("""COMPUTED_VALUE"""),2019.0)</f>
        <v>2019</v>
      </c>
      <c r="H1683" s="3" t="str">
        <f>IFERROR(__xludf.DUMMYFUNCTION("""COMPUTED_VALUE"""),"AN #48")</f>
        <v>AN #48</v>
      </c>
      <c r="I1683" t="str">
        <f>IFERROR(__xludf.DUMMYFUNCTION("""COMPUTED_VALUE"""),"Rohin")</f>
        <v>Rohin</v>
      </c>
      <c r="J1683" t="str">
        <f>IFERROR(__xludf.DUMMYFUNCTION("""COMPUTED_VALUE"""),"How can we get robots that successfully navigate in the real world? One approach is to use a high-level route planner that uses a learned control policy over very short distances (10-15 meters). The control policy is learned using deep reinforcement learn"&amp;"ing, where the network architecture and reward shaping is also learned via neural architecture search (or at least something very similar). The simulations have enough noise that the learned control policy transfers well to new environments. Given this po"&amp;"licy as well as a floorplan of the environment we want the robot to navigate in, we can build a graph of points on the floorplan, where there is an edge between two points if the robot can safely navigate between the two points using the learned controlle"&amp;"r (which I _think_ is checked in simulation). At execution time, we can find a path to the goal in this graph, and move along the edges using the learned policy. They were able to build a graph for the four buildings at the Google main campus using 300 wo"&amp;"rkers over 4 days. They find that the robots are very robust in the real world. See also [Import AI](https://jack-clark.net/2019/03/04/import-ai-136-what-machine-learning-power-infrastructure-means-for-humanity-new-gca-benchmarkdataset-challenges-image-ca"&amp;"ptioning-systems-and-google-uses-frankenrl-to-create-more-mobile-robot/).")</f>
        <v>How can we get robots that successfully navigate in the real world? One approach is to use a high-level route planner that uses a learned control policy over very short distances (10-15 meters). The control policy is learned using deep reinforcement learning, where the network architecture and reward shaping is also learned via neural architecture search (or at least something very similar). The simulations have enough noise that the learned control policy transfers well to new environments. Given this policy as well as a floorplan of the environment we want the robot to navigate in, we can build a graph of points on the floorplan, where there is an edge between two points if the robot can safely navigate between the two points using the learned controller (which I _think_ is checked in simulation). At execution time, we can find a path to the goal in this graph, and move along the edges using the learned policy. They were able to build a graph for the four buildings at the Google main campus using 300 workers over 4 days. They find that the robots are very robust in the real world. See also [Import AI](https://jack-clark.net/2019/03/04/import-ai-136-what-machine-learning-power-infrastructure-means-for-humanity-new-gca-benchmarkdataset-challenges-image-captioning-systems-and-google-uses-frankenrl-to-create-more-mobile-robot/).</v>
      </c>
      <c r="K1683" t="str">
        <f>IFERROR(__xludf.DUMMYFUNCTION("""COMPUTED_VALUE"""),"This is a great example of a pattern that seems quite common: once we automate tasks using end-to-end training that previously required more structured approaches, new more complex tasks will arise that will use the end-to-end trained systems as building "&amp;"blocks in a bigger structured approach. In this case, we can now train robots to navigate over short distances using end-to-end training, and this has been used in a structured approach involving graphs and waypoints to create robots that can traverse lar"&amp;"ger distances.
It's also an example of what you can do when you have a ton of compute: for the learned controller, they learned both the network architecture and the reward shaping. About the only thing that had to be explicity specified was the sparse t"&amp;"rue reward. (Although I'm sure in practice it took a lot of effort to get everything to actually work.)")</f>
        <v>This is a great example of a pattern that seems quite common: once we automate tasks using end-to-end training that previously required more structured approaches, new more complex tasks will arise that will use the end-to-end trained systems as building blocks in a bigger structured approach. In this case, we can now train robots to navigate over short distances using end-to-end training, and this has been used in a structured approach involving graphs and waypoints to create robots that can traverse larger distances.
It's also an example of what you can do when you have a ton of compute: for the learned controller, they learned both the network architecture and the reward shaping. About the only thing that had to be explicity specified was the sparse true reward. (Although I'm sure in practice it took a lot of effort to get everything to actually work.)</v>
      </c>
    </row>
    <row r="1684">
      <c r="A1684" t="str">
        <f>IFERROR(__xludf.DUMMYFUNCTION("""COMPUTED_VALUE"""),"Reinforcement learning")</f>
        <v>Reinforcement learning</v>
      </c>
      <c r="B1684" t="str">
        <f>IFERROR(__xludf.DUMMYFUNCTION("""COMPUTED_VALUE"""),"")</f>
        <v/>
      </c>
      <c r="C1684" s="3" t="str">
        <f>IFERROR(__xludf.DUMMYFUNCTION("""COMPUTED_VALUE"""),"Neural MMO")</f>
        <v>Neural MMO</v>
      </c>
      <c r="D1684" t="str">
        <f>IFERROR(__xludf.DUMMYFUNCTION("""COMPUTED_VALUE"""),"OpenAI")</f>
        <v>OpenAI</v>
      </c>
      <c r="E1684" t="str">
        <f>IFERROR(__xludf.DUMMYFUNCTION("""COMPUTED_VALUE"""),"OpenAI blog")</f>
        <v>OpenAI blog</v>
      </c>
      <c r="F1684">
        <f>IFERROR(__xludf.DUMMYFUNCTION("""COMPUTED_VALUE"""),2019.0)</f>
        <v>2019</v>
      </c>
      <c r="H1684" s="3" t="str">
        <f>IFERROR(__xludf.DUMMYFUNCTION("""COMPUTED_VALUE"""),"AN #48")</f>
        <v>AN #48</v>
      </c>
      <c r="I1684" t="str">
        <f>IFERROR(__xludf.DUMMYFUNCTION("""COMPUTED_VALUE"""),"Richard")</f>
        <v>Richard</v>
      </c>
      <c r="J1684" t="str">
        <f>IFERROR(__xludf.DUMMYFUNCTION("""COMPUTED_VALUE"""),"Neural MMO is ""a massively multiagent game environment for reinforcement learning agents"". It was designed to be persistent (with concurrent learning and no environment resets), large-scale, efficient and expandable. Agents need to traverse an environme"&amp;"nt to obtain food and water in order to survive for longer (the metric for which they are rewarded), and are also able to engage in combat with other agents. Agents trained within a larger population explore more and consistently outperform those trained "&amp;"in smaller populations (when evaluated together). The authors note that multiagent training is a curriculum magnifier, not a curriculum in itself, and that the environment must facilitate adaptive pressures by allowing a sufficient range of interactions.")</f>
        <v>Neural MMO is "a massively multiagent game environment for reinforcement learning agents". It was designed to be persistent (with concurrent learning and no environment resets), large-scale, efficient and expandable. Agents need to traverse an environment to obtain food and water in order to survive for longer (the metric for which they are rewarded), and are also able to engage in combat with other agents. Agents trained within a larger population explore more and consistently outperform those trained in smaller populations (when evaluated together). The authors note that multiagent training is a curriculum magnifier, not a curriculum in itself, and that the environment must facilitate adaptive pressures by allowing a sufficient range of interactions.</v>
      </c>
    </row>
    <row r="1685">
      <c r="A1685" t="str">
        <f>IFERROR(__xludf.DUMMYFUNCTION("""COMPUTED_VALUE"""),"Reinforcement learning")</f>
        <v>Reinforcement learning</v>
      </c>
      <c r="B1685" t="str">
        <f>IFERROR(__xludf.DUMMYFUNCTION("""COMPUTED_VALUE"""),"")</f>
        <v/>
      </c>
      <c r="C1685" s="3" t="str">
        <f>IFERROR(__xludf.DUMMYFUNCTION("""COMPUTED_VALUE"""),"Competitive Experience Replay")</f>
        <v>Competitive Experience Replay</v>
      </c>
      <c r="D1685" t="str">
        <f>IFERROR(__xludf.DUMMYFUNCTION("""COMPUTED_VALUE"""),"Hao Liu, Alexander Trott, Richard Socher, Caiming Xiong")</f>
        <v>Hao Liu, Alexander Trott, Richard Socher, Caiming Xiong</v>
      </c>
      <c r="E1685" t="str">
        <f>IFERROR(__xludf.DUMMYFUNCTION("""COMPUTED_VALUE"""),"ICLR 2019")</f>
        <v>ICLR 2019</v>
      </c>
      <c r="F1685">
        <f>IFERROR(__xludf.DUMMYFUNCTION("""COMPUTED_VALUE"""),2019.0)</f>
        <v>2019</v>
      </c>
      <c r="H1685" s="3" t="str">
        <f>IFERROR(__xludf.DUMMYFUNCTION("""COMPUTED_VALUE"""),"AN #48")</f>
        <v>AN #48</v>
      </c>
    </row>
    <row r="1686">
      <c r="A1686" t="str">
        <f>IFERROR(__xludf.DUMMYFUNCTION("""COMPUTED_VALUE"""),"Reinforcement learning")</f>
        <v>Reinforcement learning</v>
      </c>
      <c r="B1686" t="str">
        <f>IFERROR(__xludf.DUMMYFUNCTION("""COMPUTED_VALUE"""),"")</f>
        <v/>
      </c>
      <c r="C1686" s="3" t="str">
        <f>IFERROR(__xludf.DUMMYFUNCTION("""COMPUTED_VALUE"""),"Reward Shaping via Meta-Learning")</f>
        <v>Reward Shaping via Meta-Learning</v>
      </c>
      <c r="D1686" t="str">
        <f>IFERROR(__xludf.DUMMYFUNCTION("""COMPUTED_VALUE"""),"Haosheng Zou, Tongzheng Ren, Dong Yan, Hang Su, Jun Zhu")</f>
        <v>Haosheng Zou, Tongzheng Ren, Dong Yan, Hang Su, Jun Zhu</v>
      </c>
      <c r="E1686" t="str">
        <f>IFERROR(__xludf.DUMMYFUNCTION("""COMPUTED_VALUE"""),"arXiv")</f>
        <v>arXiv</v>
      </c>
      <c r="F1686">
        <f>IFERROR(__xludf.DUMMYFUNCTION("""COMPUTED_VALUE"""),2019.0)</f>
        <v>2019</v>
      </c>
      <c r="H1686" s="3" t="str">
        <f>IFERROR(__xludf.DUMMYFUNCTION("""COMPUTED_VALUE"""),"AN #47")</f>
        <v>AN #47</v>
      </c>
    </row>
    <row r="1687">
      <c r="A1687" t="str">
        <f>IFERROR(__xludf.DUMMYFUNCTION("""COMPUTED_VALUE"""),"Reinforcement learning")</f>
        <v>Reinforcement learning</v>
      </c>
      <c r="B1687" t="str">
        <f>IFERROR(__xludf.DUMMYFUNCTION("""COMPUTED_VALUE"""),"")</f>
        <v/>
      </c>
      <c r="C1687" s="3" t="str">
        <f>IFERROR(__xludf.DUMMYFUNCTION("""COMPUTED_VALUE"""),"Learning to Generalize from Sparse and Underspecified Rewards")</f>
        <v>Learning to Generalize from Sparse and Underspecified Rewards</v>
      </c>
      <c r="D1687" t="str">
        <f>IFERROR(__xludf.DUMMYFUNCTION("""COMPUTED_VALUE"""),"Rishabh Agarwal, Mohammad Norouzi, Chen Liang and Dale Schuurmans ")</f>
        <v>Rishabh Agarwal, Mohammad Norouzi, Chen Liang and Dale Schuurmans </v>
      </c>
      <c r="E1687" t="str">
        <f>IFERROR(__xludf.DUMMYFUNCTION("""COMPUTED_VALUE"""),"Google AI Blog")</f>
        <v>Google AI Blog</v>
      </c>
      <c r="F1687">
        <f>IFERROR(__xludf.DUMMYFUNCTION("""COMPUTED_VALUE"""),2019.0)</f>
        <v>2019</v>
      </c>
      <c r="H1687" s="3" t="str">
        <f>IFERROR(__xludf.DUMMYFUNCTION("""COMPUTED_VALUE"""),"AN #47")</f>
        <v>AN #47</v>
      </c>
    </row>
    <row r="1688">
      <c r="A1688" t="str">
        <f>IFERROR(__xludf.DUMMYFUNCTION("""COMPUTED_VALUE"""),"Reinforcement learning")</f>
        <v>Reinforcement learning</v>
      </c>
      <c r="B1688" t="str">
        <f>IFERROR(__xludf.DUMMYFUNCTION("""COMPUTED_VALUE"""),"")</f>
        <v/>
      </c>
      <c r="C1688" s="3" t="str">
        <f>IFERROR(__xludf.DUMMYFUNCTION("""COMPUTED_VALUE"""),"A Comparative Analysis of Expected and Distributional Reinforcement Learning")</f>
        <v>A Comparative Analysis of Expected and Distributional Reinforcement Learning</v>
      </c>
      <c r="D1688" t="str">
        <f>IFERROR(__xludf.DUMMYFUNCTION("""COMPUTED_VALUE"""),"Clare Lyle, Pablo Samuel Castro, Marc G. Bellemare")</f>
        <v>Clare Lyle, Pablo Samuel Castro, Marc G. Bellemare</v>
      </c>
      <c r="E1688" t="str">
        <f>IFERROR(__xludf.DUMMYFUNCTION("""COMPUTED_VALUE"""),"Proceedings of the Thirty-Third AAAI Conference on Artificial Intelligence")</f>
        <v>Proceedings of the Thirty-Third AAAI Conference on Artificial Intelligence</v>
      </c>
      <c r="F1688">
        <f>IFERROR(__xludf.DUMMYFUNCTION("""COMPUTED_VALUE"""),2019.0)</f>
        <v>2019</v>
      </c>
      <c r="H1688" s="3" t="str">
        <f>IFERROR(__xludf.DUMMYFUNCTION("""COMPUTED_VALUE"""),"AN #45")</f>
        <v>AN #45</v>
      </c>
      <c r="I1688" t="str">
        <f>IFERROR(__xludf.DUMMYFUNCTION("""COMPUTED_VALUE"""),"Richard")</f>
        <v>Richard</v>
      </c>
      <c r="J1688" t="str">
        <f>IFERROR(__xludf.DUMMYFUNCTION("""COMPUTED_VALUE"""),"Distributional RL systems learn distributions over the value of actions rather than just their expected values. In this paper, the authors investigate the reasons why this technique improves results, by training distribution learner agents and expectation"&amp;" learner agents on the same data. They provide evidence against a number of hypotheses: that distributional RL reduces variance; that distributional RL helps with policy iteration; and that distributional RL is more stable with function approximation. In "&amp;"fact, distributional methods have similar performance to expectation methods when using tabular representations or linear function approximators, but do better when using non-linear function approximators such as neural networks (especially in the earlier"&amp;" layers of networks).")</f>
        <v>Distributional RL systems learn distributions over the value of actions rather than just their expected values. In this paper, the authors investigate the reasons why this technique improves results, by training distribution learner agents and expectation learner agents on the same data. They provide evidence against a number of hypotheses: that distributional RL reduces variance; that distributional RL helps with policy iteration; and that distributional RL is more stable with function approximation. In fact, distributional methods have similar performance to expectation methods when using tabular representations or linear function approximators, but do better when using non-linear function approximators such as neural networks (especially in the earlier layers of networks).</v>
      </c>
      <c r="K1688" t="str">
        <f>IFERROR(__xludf.DUMMYFUNCTION("""COMPUTED_VALUE"""),"I like this sort of research, and its findings are interesting (even if the authors don't arrive at any clear explanation for them). One concern: I may be missing something, but it seems like the coupled samples method they use doesn't allow investigation"&amp;" into whether distributional methods benefit from generating better data (e.g. via more effective exploration).")</f>
        <v>I like this sort of research, and its findings are interesting (even if the authors don't arrive at any clear explanation for them). One concern: I may be missing something, but it seems like the coupled samples method they use doesn't allow investigation into whether distributional methods benefit from generating better data (e.g. via more effective exploration).</v>
      </c>
    </row>
    <row r="1689">
      <c r="A1689" t="str">
        <f>IFERROR(__xludf.DUMMYFUNCTION("""COMPUTED_VALUE"""),"Reinforcement learning")</f>
        <v>Reinforcement learning</v>
      </c>
      <c r="B1689" t="str">
        <f>IFERROR(__xludf.DUMMYFUNCTION("""COMPUTED_VALUE"""),"")</f>
        <v/>
      </c>
      <c r="C1689" s="3" t="str">
        <f>IFERROR(__xludf.DUMMYFUNCTION("""COMPUTED_VALUE"""),"The Hanabi Challenge: A New Frontier for AI Research")</f>
        <v>The Hanabi Challenge: A New Frontier for AI Research</v>
      </c>
      <c r="D1689" t="str">
        <f>IFERROR(__xludf.DUMMYFUNCTION("""COMPUTED_VALUE"""),"Nolan Bard, Jakob N. Foerster, Sarath Chandar, Neil Burch, Marc Lanctot, H. Francis Song, Emilio Parisotto, Vincent Dumoulin, Subhodeep Moitra, Edward Hughes, Iain Dunning, Shibl Mourad, Hugo Larochelle, Marc G. Bellemare, Michael Bowling")</f>
        <v>Nolan Bard, Jakob N. Foerster, Sarath Chandar, Neil Burch, Marc Lanctot, H. Francis Song, Emilio Parisotto, Vincent Dumoulin, Subhodeep Moitra, Edward Hughes, Iain Dunning, Shibl Mourad, Hugo Larochelle, Marc G. Bellemare, Michael Bowling</v>
      </c>
      <c r="E1689" t="str">
        <f>IFERROR(__xludf.DUMMYFUNCTION("""COMPUTED_VALUE"""),"arXiv")</f>
        <v>arXiv</v>
      </c>
      <c r="F1689">
        <f>IFERROR(__xludf.DUMMYFUNCTION("""COMPUTED_VALUE"""),2019.0)</f>
        <v>2019</v>
      </c>
      <c r="H1689" s="3" t="str">
        <f>IFERROR(__xludf.DUMMYFUNCTION("""COMPUTED_VALUE"""),"AN #45")</f>
        <v>AN #45</v>
      </c>
      <c r="I1689" t="str">
        <f>IFERROR(__xludf.DUMMYFUNCTION("""COMPUTED_VALUE"""),"Richard")</f>
        <v>Richard</v>
      </c>
      <c r="J1689" t="str">
        <f>IFERROR(__xludf.DUMMYFUNCTION("""COMPUTED_VALUE"""),"The authors propose the cooperative, imperfect-information card game Hanabi as a target for AI research, due to the necessity of reasoning about the beliefs and intentions of other players in order to win. They identify two challenges: firstly, discoverin"&amp;"g a policy for a whole team that allows it to win (the self-play setting); and secondly, discovering an individual policy that allows an agent to play with an ad-hoc team without previous coordination. They note that successful self-play policies are ofte"&amp;"n very brittle in the ad-hoc setting, which makes the latter the key problem. The authors provide an open-source framework, an evaluation benchmark and the results of existing RL techniques.")</f>
        <v>The authors propose the cooperative, imperfect-information card game Hanabi as a target for AI research, due to the necessity of reasoning about the beliefs and intentions of other players in order to win. They identify two challenges: firstly, discovering a policy for a whole team that allows it to win (the self-play setting); and secondly, discovering an individual policy that allows an agent to play with an ad-hoc team without previous coordination. They note that successful self-play policies are often very brittle in the ad-hoc setting, which makes the latter the key problem. The authors provide an open-source framework, an evaluation benchmark and the results of existing RL techniques.</v>
      </c>
      <c r="K1689" t="str">
        <f>IFERROR(__xludf.DUMMYFUNCTION("""COMPUTED_VALUE"""),"I endorse the goals of this paper, but my guess is that Hanabi is simple enough that agents can solve it using isolated heuristics rather than general reasoning about other agents' beliefs.
*Rohin's opinion:* I'm particularly excited to see more work on "&amp;"ad hoc teamwork, since it seems like very similar to the setting we are in, where we would like to deploy AI system among groups of humans and have things go well. See [Following human norms](https://www.alignmentforum.org/s/4dHMdK5TLN6xcqtyc/p/eBd6Wvzhuq"&amp;"duCkYv3) ([AN #42](https://mailchi.mp/f6488137d76c/alignment-newsletter-42)) for more details.")</f>
        <v>I endorse the goals of this paper, but my guess is that Hanabi is simple enough that agents can solve it using isolated heuristics rather than general reasoning about other agents' beliefs.
*Rohin's opinion:* I'm particularly excited to see more work on ad hoc teamwork, since it seems like very similar to the setting we are in, where we would like to deploy AI system among groups of humans and have things go well. See [Following human norms](https://www.alignmentforum.org/s/4dHMdK5TLN6xcqtyc/p/eBd6WvzhuqduCkYv3) ([AN #42](https://mailchi.mp/f6488137d76c/alignment-newsletter-42)) for more details.</v>
      </c>
      <c r="M1689" s="3" t="str">
        <f>IFERROR(__xludf.DUMMYFUNCTION("""COMPUTED_VALUE"""),"A cooperative benchmark: Announcing the Hanabi Learning Environment")</f>
        <v>A cooperative benchmark: Announcing the Hanabi Learning Environment</v>
      </c>
    </row>
    <row r="1690">
      <c r="A1690" t="str">
        <f>IFERROR(__xludf.DUMMYFUNCTION("""COMPUTED_VALUE"""),"Reinforcement learning")</f>
        <v>Reinforcement learning</v>
      </c>
      <c r="B1690" t="str">
        <f>IFERROR(__xludf.DUMMYFUNCTION("""COMPUTED_VALUE"""),"")</f>
        <v/>
      </c>
      <c r="C1690" s="3" t="str">
        <f>IFERROR(__xludf.DUMMYFUNCTION("""COMPUTED_VALUE"""),"Recurrent Experience Replay in Distributed Reinforcement Learning")</f>
        <v>Recurrent Experience Replay in Distributed Reinforcement Learning</v>
      </c>
      <c r="D1690" t="str">
        <f>IFERROR(__xludf.DUMMYFUNCTION("""COMPUTED_VALUE"""),"Steven Kapturowski, Georg Ostrovski, John Quan, Remi Munos, Will Dabney")</f>
        <v>Steven Kapturowski, Georg Ostrovski, John Quan, Remi Munos, Will Dabney</v>
      </c>
      <c r="E1690" t="str">
        <f>IFERROR(__xludf.DUMMYFUNCTION("""COMPUTED_VALUE"""),"ICLR 2019")</f>
        <v>ICLR 2019</v>
      </c>
      <c r="F1690">
        <f>IFERROR(__xludf.DUMMYFUNCTION("""COMPUTED_VALUE"""),2019.0)</f>
        <v>2019</v>
      </c>
      <c r="H1690" s="3" t="str">
        <f>IFERROR(__xludf.DUMMYFUNCTION("""COMPUTED_VALUE"""),"AN #45")</f>
        <v>AN #45</v>
      </c>
      <c r="I1690" t="str">
        <f>IFERROR(__xludf.DUMMYFUNCTION("""COMPUTED_VALUE"""),"Rohin")</f>
        <v>Rohin</v>
      </c>
      <c r="J1690" t="str">
        <f>IFERROR(__xludf.DUMMYFUNCTION("""COMPUTED_VALUE"""),"See [Import AI](https://jack-clark.net/2018/10/01/import-ai-114-synthetic-images-take-a-big-leap-forward-with-biggans-us-lawmakers-call-for-national-ai-strategy-researchers-probe-language-reasoning-via-hotspotqa/).")</f>
        <v>See [Import AI](https://jack-clark.net/2018/10/01/import-ai-114-synthetic-images-take-a-big-leap-forward-with-biggans-us-lawmakers-call-for-national-ai-strategy-researchers-probe-language-reasoning-via-hotspotqa/).</v>
      </c>
    </row>
    <row r="1691">
      <c r="A1691" t="str">
        <f>IFERROR(__xludf.DUMMYFUNCTION("""COMPUTED_VALUE"""),"Reinforcement learning")</f>
        <v>Reinforcement learning</v>
      </c>
      <c r="B1691" t="str">
        <f>IFERROR(__xludf.DUMMYFUNCTION("""COMPUTED_VALUE"""),"")</f>
        <v/>
      </c>
      <c r="C1691" s="3" t="str">
        <f>IFERROR(__xludf.DUMMYFUNCTION("""COMPUTED_VALUE"""),"A Geometric Perspective on Optimal Representations for Reinforcement Learning")</f>
        <v>A Geometric Perspective on Optimal Representations for Reinforcement Learning</v>
      </c>
      <c r="D1691" t="str">
        <f>IFERROR(__xludf.DUMMYFUNCTION("""COMPUTED_VALUE"""),"Marc G. Bellemare, Will Dabney, Robert Dadashi, Adrien Ali Taiga, Pablo Samuel Castro, Nicolas Le Roux, Dale Schuurmans, Tor Lattimore, Clare Lyle")</f>
        <v>Marc G. Bellemare, Will Dabney, Robert Dadashi, Adrien Ali Taiga, Pablo Samuel Castro, Nicolas Le Roux, Dale Schuurmans, Tor Lattimore, Clare Lyle</v>
      </c>
      <c r="E1691" t="str">
        <f>IFERROR(__xludf.DUMMYFUNCTION("""COMPUTED_VALUE"""),"arXiv")</f>
        <v>arXiv</v>
      </c>
      <c r="F1691">
        <f>IFERROR(__xludf.DUMMYFUNCTION("""COMPUTED_VALUE"""),2019.0)</f>
        <v>2019</v>
      </c>
      <c r="H1691" s="3" t="str">
        <f>IFERROR(__xludf.DUMMYFUNCTION("""COMPUTED_VALUE"""),"AN #45")</f>
        <v>AN #45</v>
      </c>
    </row>
    <row r="1692">
      <c r="A1692" t="str">
        <f>IFERROR(__xludf.DUMMYFUNCTION("""COMPUTED_VALUE"""),"Reinforcement learning")</f>
        <v>Reinforcement learning</v>
      </c>
      <c r="B1692" t="str">
        <f>IFERROR(__xludf.DUMMYFUNCTION("""COMPUTED_VALUE"""),"")</f>
        <v/>
      </c>
      <c r="C1692" s="3" t="str">
        <f>IFERROR(__xludf.DUMMYFUNCTION("""COMPUTED_VALUE"""),"The Value Function Polytope in Reinforcement Learning")</f>
        <v>The Value Function Polytope in Reinforcement Learning</v>
      </c>
      <c r="D1692" t="str">
        <f>IFERROR(__xludf.DUMMYFUNCTION("""COMPUTED_VALUE"""),"Robert Dadashi, Adrien Ali Taïga, Nicolas Le Roux, Dale Schuurmans, Marc G. Bellemare")</f>
        <v>Robert Dadashi, Adrien Ali Taïga, Nicolas Le Roux, Dale Schuurmans, Marc G. Bellemare</v>
      </c>
      <c r="E1692" t="str">
        <f>IFERROR(__xludf.DUMMYFUNCTION("""COMPUTED_VALUE"""),"ICML 2018")</f>
        <v>ICML 2018</v>
      </c>
      <c r="F1692">
        <f>IFERROR(__xludf.DUMMYFUNCTION("""COMPUTED_VALUE"""),2019.0)</f>
        <v>2019</v>
      </c>
      <c r="H1692" s="3" t="str">
        <f>IFERROR(__xludf.DUMMYFUNCTION("""COMPUTED_VALUE"""),"AN #45")</f>
        <v>AN #45</v>
      </c>
    </row>
    <row r="1693">
      <c r="A1693" t="str">
        <f>IFERROR(__xludf.DUMMYFUNCTION("""COMPUTED_VALUE"""),"Reinforcement learning")</f>
        <v>Reinforcement learning</v>
      </c>
      <c r="B1693" t="str">
        <f>IFERROR(__xludf.DUMMYFUNCTION("""COMPUTED_VALUE"""),"")</f>
        <v/>
      </c>
      <c r="C1693" s="3" t="str">
        <f>IFERROR(__xludf.DUMMYFUNCTION("""COMPUTED_VALUE"""),"Visual Hindsight Experience Replay")</f>
        <v>Visual Hindsight Experience Replay</v>
      </c>
      <c r="D1693" t="str">
        <f>IFERROR(__xludf.DUMMYFUNCTION("""COMPUTED_VALUE"""),"Himanshu Sahni, Toby Buckley, Pieter Abbeel, Ilya Kuzovkin")</f>
        <v>Himanshu Sahni, Toby Buckley, Pieter Abbeel, Ilya Kuzovkin</v>
      </c>
      <c r="E1693" t="str">
        <f>IFERROR(__xludf.DUMMYFUNCTION("""COMPUTED_VALUE"""),"arXiv")</f>
        <v>arXiv</v>
      </c>
      <c r="F1693">
        <f>IFERROR(__xludf.DUMMYFUNCTION("""COMPUTED_VALUE"""),2019.0)</f>
        <v>2019</v>
      </c>
      <c r="H1693" s="3" t="str">
        <f>IFERROR(__xludf.DUMMYFUNCTION("""COMPUTED_VALUE"""),"AN #45")</f>
        <v>AN #45</v>
      </c>
    </row>
    <row r="1694">
      <c r="A1694" t="str">
        <f>IFERROR(__xludf.DUMMYFUNCTION("""COMPUTED_VALUE"""),"Reinforcement learning")</f>
        <v>Reinforcement learning</v>
      </c>
      <c r="B1694" t="str">
        <f>IFERROR(__xludf.DUMMYFUNCTION("""COMPUTED_VALUE"""),"")</f>
        <v/>
      </c>
      <c r="C1694" s="3" t="str">
        <f>IFERROR(__xludf.DUMMYFUNCTION("""COMPUTED_VALUE"""),"Causal Reasoning from Meta-reinforcement Learning")</f>
        <v>Causal Reasoning from Meta-reinforcement Learning</v>
      </c>
      <c r="D1694" t="str">
        <f>IFERROR(__xludf.DUMMYFUNCTION("""COMPUTED_VALUE"""),"Ishita Dasgupta, Jane Wang, Silvia Chiappa, Jovana Mitrovic, Pedro Ortega, David Raposo, Edward Hughes, Peter Battaglia, Matthew Botvinick, Zeb Kurth-Nelson")</f>
        <v>Ishita Dasgupta, Jane Wang, Silvia Chiappa, Jovana Mitrovic, Pedro Ortega, David Raposo, Edward Hughes, Peter Battaglia, Matthew Botvinick, Zeb Kurth-Nelson</v>
      </c>
      <c r="E1694" t="str">
        <f>IFERROR(__xludf.DUMMYFUNCTION("""COMPUTED_VALUE"""),"arXiv")</f>
        <v>arXiv</v>
      </c>
      <c r="F1694">
        <f>IFERROR(__xludf.DUMMYFUNCTION("""COMPUTED_VALUE"""),2019.0)</f>
        <v>2019</v>
      </c>
      <c r="H1694" s="3" t="str">
        <f>IFERROR(__xludf.DUMMYFUNCTION("""COMPUTED_VALUE"""),"AN #44")</f>
        <v>AN #44</v>
      </c>
    </row>
    <row r="1695">
      <c r="A1695" t="str">
        <f>IFERROR(__xludf.DUMMYFUNCTION("""COMPUTED_VALUE"""),"Reinforcement learning")</f>
        <v>Reinforcement learning</v>
      </c>
      <c r="B1695" t="str">
        <f>IFERROR(__xludf.DUMMYFUNCTION("""COMPUTED_VALUE"""),"")</f>
        <v/>
      </c>
      <c r="C1695" s="3" t="str">
        <f>IFERROR(__xludf.DUMMYFUNCTION("""COMPUTED_VALUE"""),"Paired Open-Ended Trailblazer (POET): Endlessly Generating Increasingly Complex and Diverse Learning Environments and Their Solutions")</f>
        <v>Paired Open-Ended Trailblazer (POET): Endlessly Generating Increasingly Complex and Diverse Learning Environments and Their Solutions</v>
      </c>
      <c r="D1695" t="str">
        <f>IFERROR(__xludf.DUMMYFUNCTION("""COMPUTED_VALUE"""),"Rui Wang, Joel Lehman, Jeff Clune, Kenneth O. Stanley")</f>
        <v>Rui Wang, Joel Lehman, Jeff Clune, Kenneth O. Stanley</v>
      </c>
      <c r="E1695" t="str">
        <f>IFERROR(__xludf.DUMMYFUNCTION("""COMPUTED_VALUE"""),"CoRL 2018")</f>
        <v>CoRL 2018</v>
      </c>
      <c r="F1695">
        <f>IFERROR(__xludf.DUMMYFUNCTION("""COMPUTED_VALUE"""),2019.0)</f>
        <v>2019</v>
      </c>
      <c r="H1695" s="3" t="str">
        <f>IFERROR(__xludf.DUMMYFUNCTION("""COMPUTED_VALUE"""),"AN #41")</f>
        <v>AN #41</v>
      </c>
      <c r="I1695" t="str">
        <f>IFERROR(__xludf.DUMMYFUNCTION("""COMPUTED_VALUE"""),"Richard")</f>
        <v>Richard</v>
      </c>
      <c r="J1695" t="str">
        <f>IFERROR(__xludf.DUMMYFUNCTION("""COMPUTED_VALUE"""),"The POET algorithm uses evolutionary strategies to evolve a population of pairs of tasks and agents. During each iteration, it first generates a new environment by perturbing an existing environment, then optimises each agent for its paired environment, t"&amp;"hen attempts to transfer agents between existing environments to improve performance (in case one environment turns out to be a useful ""stepping stone"" towards another). New environments are kept if they are neither too hard nor too easy for the current"&amp;" population of agents. This algorithm was tested using the Bipedal Walker environment, where it significantly outperformed standard evolutionary search.")</f>
        <v>The POET algorithm uses evolutionary strategies to evolve a population of pairs of tasks and agents. During each iteration, it first generates a new environment by perturbing an existing environment, then optimises each agent for its paired environment, then attempts to transfer agents between existing environments to improve performance (in case one environment turns out to be a useful "stepping stone" towards another). New environments are kept if they are neither too hard nor too easy for the current population of agents. This algorithm was tested using the Bipedal Walker environment, where it significantly outperformed standard evolutionary search.</v>
      </c>
      <c r="K1695" t="str">
        <f>IFERROR(__xludf.DUMMYFUNCTION("""COMPUTED_VALUE"""),"I think that the ""problem problem"" is going to become increasingly important in RL, and that this is a promising approach. Note that this paper's contribution seems to be mainly that it combines ideas from previous papers on minimal criteria coevolution"&amp;" and innovation engines.")</f>
        <v>I think that the "problem problem" is going to become increasingly important in RL, and that this is a promising approach. Note that this paper's contribution seems to be mainly that it combines ideas from previous papers on minimal criteria coevolution and innovation engines.</v>
      </c>
    </row>
    <row r="1696">
      <c r="A1696" t="str">
        <f>IFERROR(__xludf.DUMMYFUNCTION("""COMPUTED_VALUE"""),"Reinforcement learning")</f>
        <v>Reinforcement learning</v>
      </c>
      <c r="B1696" t="str">
        <f>IFERROR(__xludf.DUMMYFUNCTION("""COMPUTED_VALUE"""),"")</f>
        <v/>
      </c>
      <c r="C1696" s="3" t="str">
        <f>IFERROR(__xludf.DUMMYFUNCTION("""COMPUTED_VALUE"""),"Self-supervised Learning of Image Embedding for Continuous Control")</f>
        <v>Self-supervised Learning of Image Embedding for Continuous Control</v>
      </c>
      <c r="D1696" t="str">
        <f>IFERROR(__xludf.DUMMYFUNCTION("""COMPUTED_VALUE"""),"Carlos Florensa, Jonas Degrave, Nicolas Heess, Jost Tobias Springenberg, Martin Riedmiller")</f>
        <v>Carlos Florensa, Jonas Degrave, Nicolas Heess, Jost Tobias Springenberg, Martin Riedmiller</v>
      </c>
      <c r="E1696" t="str">
        <f>IFERROR(__xludf.DUMMYFUNCTION("""COMPUTED_VALUE"""),"arXiv")</f>
        <v>arXiv</v>
      </c>
      <c r="F1696">
        <f>IFERROR(__xludf.DUMMYFUNCTION("""COMPUTED_VALUE"""),2019.0)</f>
        <v>2019</v>
      </c>
      <c r="H1696" s="3" t="str">
        <f>IFERROR(__xludf.DUMMYFUNCTION("""COMPUTED_VALUE"""),"AN #41")</f>
        <v>AN #41</v>
      </c>
    </row>
    <row r="1697">
      <c r="A1697" t="str">
        <f>IFERROR(__xludf.DUMMYFUNCTION("""COMPUTED_VALUE"""),"Reinforcement learning")</f>
        <v>Reinforcement learning</v>
      </c>
      <c r="B1697" t="str">
        <f>IFERROR(__xludf.DUMMYFUNCTION("""COMPUTED_VALUE"""),"")</f>
        <v/>
      </c>
      <c r="C1697" s="3" t="str">
        <f>IFERROR(__xludf.DUMMYFUNCTION("""COMPUTED_VALUE"""),"A Study on Overfitting in Deep Reinforcement Learning")</f>
        <v>A Study on Overfitting in Deep Reinforcement Learning</v>
      </c>
      <c r="D1697" t="str">
        <f>IFERROR(__xludf.DUMMYFUNCTION("""COMPUTED_VALUE"""),"Chiyuan Zhang, Oriol Vinyals, Remi Munos, Samy Bengio")</f>
        <v>Chiyuan Zhang, Oriol Vinyals, Remi Munos, Samy Bengio</v>
      </c>
      <c r="E1697" t="str">
        <f>IFERROR(__xludf.DUMMYFUNCTION("""COMPUTED_VALUE"""),"arXiv")</f>
        <v>arXiv</v>
      </c>
      <c r="F1697">
        <f>IFERROR(__xludf.DUMMYFUNCTION("""COMPUTED_VALUE"""),2018.0)</f>
        <v>2018</v>
      </c>
      <c r="H1697" s="3" t="str">
        <f>IFERROR(__xludf.DUMMYFUNCTION("""COMPUTED_VALUE"""),"AN #4")</f>
        <v>AN #4</v>
      </c>
    </row>
    <row r="1698">
      <c r="A1698" t="str">
        <f>IFERROR(__xludf.DUMMYFUNCTION("""COMPUTED_VALUE"""),"Reinforcement learning")</f>
        <v>Reinforcement learning</v>
      </c>
      <c r="B1698" t="str">
        <f>IFERROR(__xludf.DUMMYFUNCTION("""COMPUTED_VALUE"""),"")</f>
        <v/>
      </c>
      <c r="C1698" s="3" t="str">
        <f>IFERROR(__xludf.DUMMYFUNCTION("""COMPUTED_VALUE"""),"Soft Actor Critic—Deep Reinforcement Learning with Real-World Robots")</f>
        <v>Soft Actor Critic—Deep Reinforcement Learning with Real-World Robots</v>
      </c>
      <c r="D1698" t="str">
        <f>IFERROR(__xludf.DUMMYFUNCTION("""COMPUTED_VALUE"""),"Tuomas Haarnoja, Vitchyr Pong, Kristian Hartikainen, Aurick Zhou, Murtaza Dalal, and Sergey Levine")</f>
        <v>Tuomas Haarnoja, Vitchyr Pong, Kristian Hartikainen, Aurick Zhou, Murtaza Dalal, and Sergey Levine</v>
      </c>
      <c r="E1698" t="str">
        <f>IFERROR(__xludf.DUMMYFUNCTION("""COMPUTED_VALUE"""),"BAIR Blog")</f>
        <v>BAIR Blog</v>
      </c>
      <c r="F1698">
        <f>IFERROR(__xludf.DUMMYFUNCTION("""COMPUTED_VALUE"""),2018.0)</f>
        <v>2018</v>
      </c>
      <c r="H1698" s="3" t="str">
        <f>IFERROR(__xludf.DUMMYFUNCTION("""COMPUTED_VALUE"""),"AN #37")</f>
        <v>AN #37</v>
      </c>
    </row>
    <row r="1699">
      <c r="A1699" t="str">
        <f>IFERROR(__xludf.DUMMYFUNCTION("""COMPUTED_VALUE"""),"Reinforcement learning")</f>
        <v>Reinforcement learning</v>
      </c>
      <c r="B1699" t="str">
        <f>IFERROR(__xludf.DUMMYFUNCTION("""COMPUTED_VALUE"""),"")</f>
        <v/>
      </c>
      <c r="C1699" s="3" t="str">
        <f>IFERROR(__xludf.DUMMYFUNCTION("""COMPUTED_VALUE"""),"An Introduction to Deep Reinforcement Learning")</f>
        <v>An Introduction to Deep Reinforcement Learning</v>
      </c>
      <c r="D1699" t="str">
        <f>IFERROR(__xludf.DUMMYFUNCTION("""COMPUTED_VALUE"""),"Vincent Francois-Lavet, Peter Henderson, Riashat Islam, Marc G. Bellemare, Joelle Pineau")</f>
        <v>Vincent Francois-Lavet, Peter Henderson, Riashat Islam, Marc G. Bellemare, Joelle Pineau</v>
      </c>
      <c r="E1699" t="str">
        <f>IFERROR(__xludf.DUMMYFUNCTION("""COMPUTED_VALUE"""),"Foundations and TrendsÂ® in Machine Learning, Vol 11, Issue 3-4")</f>
        <v>Foundations and TrendsÂ® in Machine Learning, Vol 11, Issue 3-4</v>
      </c>
      <c r="F1699">
        <f>IFERROR(__xludf.DUMMYFUNCTION("""COMPUTED_VALUE"""),2018.0)</f>
        <v>2018</v>
      </c>
      <c r="H1699" s="3" t="str">
        <f>IFERROR(__xludf.DUMMYFUNCTION("""COMPUTED_VALUE"""),"AN #36")</f>
        <v>AN #36</v>
      </c>
    </row>
    <row r="1700">
      <c r="A1700" t="str">
        <f>IFERROR(__xludf.DUMMYFUNCTION("""COMPUTED_VALUE"""),"Reinforcement learning")</f>
        <v>Reinforcement learning</v>
      </c>
      <c r="B1700" t="str">
        <f>IFERROR(__xludf.DUMMYFUNCTION("""COMPUTED_VALUE"""),"")</f>
        <v/>
      </c>
      <c r="C1700" s="3" t="str">
        <f>IFERROR(__xludf.DUMMYFUNCTION("""COMPUTED_VALUE"""),"Unsupervised Control Through Non-Parametric Discriminative Rewards")</f>
        <v>Unsupervised Control Through Non-Parametric Discriminative Rewards</v>
      </c>
      <c r="D1700" t="str">
        <f>IFERROR(__xludf.DUMMYFUNCTION("""COMPUTED_VALUE"""),"David Warde-Farley")</f>
        <v>David Warde-Farley</v>
      </c>
      <c r="E1700" t="str">
        <f>IFERROR(__xludf.DUMMYFUNCTION("""COMPUTED_VALUE"""),"arXiv")</f>
        <v>arXiv</v>
      </c>
      <c r="F1700">
        <f>IFERROR(__xludf.DUMMYFUNCTION("""COMPUTED_VALUE"""),2018.0)</f>
        <v>2018</v>
      </c>
      <c r="H1700" s="3" t="str">
        <f>IFERROR(__xludf.DUMMYFUNCTION("""COMPUTED_VALUE"""),"AN #35")</f>
        <v>AN #35</v>
      </c>
    </row>
    <row r="1701">
      <c r="A1701" t="str">
        <f>IFERROR(__xludf.DUMMYFUNCTION("""COMPUTED_VALUE"""),"Reinforcement learning")</f>
        <v>Reinforcement learning</v>
      </c>
      <c r="B1701" t="str">
        <f>IFERROR(__xludf.DUMMYFUNCTION("""COMPUTED_VALUE"""),"")</f>
        <v/>
      </c>
      <c r="C1701" s="3" t="str">
        <f>IFERROR(__xludf.DUMMYFUNCTION("""COMPUTED_VALUE"""),"Natural Environment Benchmarks for Reinforcement Learning")</f>
        <v>Natural Environment Benchmarks for Reinforcement Learning</v>
      </c>
      <c r="D1701" t="str">
        <f>IFERROR(__xludf.DUMMYFUNCTION("""COMPUTED_VALUE"""),"Amy Zhang, Yuxin Wu, Joelle Pineau")</f>
        <v>Amy Zhang, Yuxin Wu, Joelle Pineau</v>
      </c>
      <c r="E1701" t="str">
        <f>IFERROR(__xludf.DUMMYFUNCTION("""COMPUTED_VALUE"""),"NIPS 2018")</f>
        <v>NIPS 2018</v>
      </c>
      <c r="F1701">
        <f>IFERROR(__xludf.DUMMYFUNCTION("""COMPUTED_VALUE"""),2018.0)</f>
        <v>2018</v>
      </c>
      <c r="H1701" s="3" t="str">
        <f>IFERROR(__xludf.DUMMYFUNCTION("""COMPUTED_VALUE"""),"AN #34")</f>
        <v>AN #34</v>
      </c>
      <c r="I1701" t="str">
        <f>IFERROR(__xludf.DUMMYFUNCTION("""COMPUTED_VALUE"""),"Richard")</f>
        <v>Richard</v>
      </c>
      <c r="J1701" t="str">
        <f>IFERROR(__xludf.DUMMYFUNCTION("""COMPUTED_VALUE"""),"This paper notes that RL performance tends to be measured in simple artificial environments - unlike other areas of ML in which using real-world data such as images or text is common. The authors propose three new benchmarks to address this disparity. In "&amp;"the first two, an agent is assigned to a random location in an image, and can only observe parts of the image near it. At every time step, it is able to move in one of the cardinal directions, unmasking new sections of the image, until it can classify the"&amp;" image correctly (task 1) or locate a given object (task 2). The third type of benchmark is adding natural video as background to existing Mujoco or Atari tasks. In testing this third category of benchmark, they find that PPO and A2C fall into a local opt"&amp;"imum where they ignore the observed state when deciding the next action.")</f>
        <v>This paper notes that RL performance tends to be measured in simple artificial environments - unlike other areas of ML in which using real-world data such as images or text is common. The authors propose three new benchmarks to address this disparity. In the first two, an agent is assigned to a random location in an image, and can only observe parts of the image near it. At every time step, it is able to move in one of the cardinal directions, unmasking new sections of the image, until it can classify the image correctly (task 1) or locate a given object (task 2). The third type of benchmark is adding natural video as background to existing Mujoco or Atari tasks. In testing this third category of benchmark, they find that PPO and A2C fall into a local optimum where they ignore the observed state when deciding the next action.</v>
      </c>
      <c r="K1701" t="str">
        <f>IFERROR(__xludf.DUMMYFUNCTION("""COMPUTED_VALUE"""),"While I agree with some of the concerns laid out in this paper, I'm not sure that these benchmarks are the best way to address them. The third task in particular is mainly testing for ability to ignore the ""natural data"" used, which doesn't seem very us"&amp;"eful. I think a better alternative would be to replace Atari with tasks in procedurally-generated environments with realistic physics engines. However, this paper's benchmarks do benefit from being much easier to produce and less computationally demanding"&amp;".")</f>
        <v>While I agree with some of the concerns laid out in this paper, I'm not sure that these benchmarks are the best way to address them. The third task in particular is mainly testing for ability to ignore the "natural data" used, which doesn't seem very useful. I think a better alternative would be to replace Atari with tasks in procedurally-generated environments with realistic physics engines. However, this paper's benchmarks do benefit from being much easier to produce and less computationally demanding.</v>
      </c>
    </row>
    <row r="1702">
      <c r="A1702" t="str">
        <f>IFERROR(__xludf.DUMMYFUNCTION("""COMPUTED_VALUE"""),"Reinforcement learning")</f>
        <v>Reinforcement learning</v>
      </c>
      <c r="B1702" t="str">
        <f>IFERROR(__xludf.DUMMYFUNCTION("""COMPUTED_VALUE"""),"")</f>
        <v/>
      </c>
      <c r="C1702" s="3" t="str">
        <f>IFERROR(__xludf.DUMMYFUNCTION("""COMPUTED_VALUE"""),"Woulda, Coulda, Shoulda: Counterfactually-Guided Policy Search")</f>
        <v>Woulda, Coulda, Shoulda: Counterfactually-Guided Policy Search</v>
      </c>
      <c r="D1702" t="str">
        <f>IFERROR(__xludf.DUMMYFUNCTION("""COMPUTED_VALUE"""),"Lars Buesing, Theophane Weber, Yori Zwols, Sebastien Racaniere, Arthur Guez, Jean-Baptiste Lespiau, Nicolas Heess")</f>
        <v>Lars Buesing, Theophane Weber, Yori Zwols, Sebastien Racaniere, Arthur Guez, Jean-Baptiste Lespiau, Nicolas Heess</v>
      </c>
      <c r="E1702" t="str">
        <f>IFERROR(__xludf.DUMMYFUNCTION("""COMPUTED_VALUE"""),"arXiv")</f>
        <v>arXiv</v>
      </c>
      <c r="F1702">
        <f>IFERROR(__xludf.DUMMYFUNCTION("""COMPUTED_VALUE"""),2018.0)</f>
        <v>2018</v>
      </c>
      <c r="H1702" s="3" t="str">
        <f>IFERROR(__xludf.DUMMYFUNCTION("""COMPUTED_VALUE"""),"AN #34")</f>
        <v>AN #34</v>
      </c>
      <c r="I1702" t="str">
        <f>IFERROR(__xludf.DUMMYFUNCTION("""COMPUTED_VALUE"""),"Richard")</f>
        <v>Richard</v>
      </c>
      <c r="J1702" t="str">
        <f>IFERROR(__xludf.DUMMYFUNCTION("""COMPUTED_VALUE"""),"This paper aims to alleviate the data inefficiency of RL by using a model to synthesise data. However, even when environment dynamics can be modeled accurately, it can be difficult to generate data which matches the true distribution. To solve this proble"&amp;"m, the authors use a Structured Causal Model trained to predict the outcomes which would have occurred if different actions had been taken from previous states. Data is then synthesised by rolling out from previously-seen states. The authors test performa"&amp;"nce in a partially-observable version of SOKOBAN, in which their system outperforms other methods of generating data.")</f>
        <v>This paper aims to alleviate the data inefficiency of RL by using a model to synthesise data. However, even when environment dynamics can be modeled accurately, it can be difficult to generate data which matches the true distribution. To solve this problem, the authors use a Structured Causal Model trained to predict the outcomes which would have occurred if different actions had been taken from previous states. Data is then synthesised by rolling out from previously-seen states. The authors test performance in a partially-observable version of SOKOBAN, in which their system outperforms other methods of generating data.</v>
      </c>
      <c r="K1702" t="str">
        <f>IFERROR(__xludf.DUMMYFUNCTION("""COMPUTED_VALUE"""),"This is an interesting approach which I can imagine becoming useful. It would be nice to see more experimental work in more stochastic environments, though.")</f>
        <v>This is an interesting approach which I can imagine becoming useful. It would be nice to see more experimental work in more stochastic environments, though.</v>
      </c>
    </row>
    <row r="1703">
      <c r="A1703" t="str">
        <f>IFERROR(__xludf.DUMMYFUNCTION("""COMPUTED_VALUE"""),"Reinforcement learning")</f>
        <v>Reinforcement learning</v>
      </c>
      <c r="B1703" t="str">
        <f>IFERROR(__xludf.DUMMYFUNCTION("""COMPUTED_VALUE"""),"")</f>
        <v/>
      </c>
      <c r="C1703" s="3" t="str">
        <f>IFERROR(__xludf.DUMMYFUNCTION("""COMPUTED_VALUE"""),"Learning Latent Dynamics for Planning from Pixels")</f>
        <v>Learning Latent Dynamics for Planning from Pixels</v>
      </c>
      <c r="D1703" t="str">
        <f>IFERROR(__xludf.DUMMYFUNCTION("""COMPUTED_VALUE"""),"Danijar Hafner, Timothy Lillicrap, Ian Fischer, Ruben Villegas, David Ha, Honglak Lee, James Davidson")</f>
        <v>Danijar Hafner, Timothy Lillicrap, Ian Fischer, Ruben Villegas, David Ha, Honglak Lee, James Davidson</v>
      </c>
      <c r="E1703" t="str">
        <f>IFERROR(__xludf.DUMMYFUNCTION("""COMPUTED_VALUE"""),"arXiv")</f>
        <v>arXiv</v>
      </c>
      <c r="F1703">
        <f>IFERROR(__xludf.DUMMYFUNCTION("""COMPUTED_VALUE"""),2018.0)</f>
        <v>2018</v>
      </c>
      <c r="H1703" s="3" t="str">
        <f>IFERROR(__xludf.DUMMYFUNCTION("""COMPUTED_VALUE"""),"AN #33")</f>
        <v>AN #33</v>
      </c>
      <c r="I1703" t="str">
        <f>IFERROR(__xludf.DUMMYFUNCTION("""COMPUTED_VALUE"""),"Richard")</f>
        <v>Richard</v>
      </c>
      <c r="J1703" t="str">
        <f>IFERROR(__xludf.DUMMYFUNCTION("""COMPUTED_VALUE"""),"The authors introduce PlaNet, an agent that learns an environment's dynamics from pixels and then chooses actions by planning in latent space. At each step, it searches for the best action sequence under its Recurrent State Space dynamics model, then exec"&amp;"utes the first action and replans. The authors note that having a model with both deterministic and stochastic transitions is critical to learning a good policy. They also use a technique called variational overshooting to train the model on multi-step pr"&amp;"edictions, by generalising the standard variational bound for one-step predictions. PlaNet approaches the performance of top model-free algorithms even when trained on 50x fewer episodes.")</f>
        <v>The authors introduce PlaNet, an agent that learns an environment's dynamics from pixels and then chooses actions by planning in latent space. At each step, it searches for the best action sequence under its Recurrent State Space dynamics model, then executes the first action and replans. The authors note that having a model with both deterministic and stochastic transitions is critical to learning a good policy. They also use a technique called variational overshooting to train the model on multi-step predictions, by generalising the standard variational bound for one-step predictions. PlaNet approaches the performance of top model-free algorithms even when trained on 50x fewer episodes.</v>
      </c>
      <c r="K1703" t="str">
        <f>IFERROR(__xludf.DUMMYFUNCTION("""COMPUTED_VALUE"""),"This paper seems like a step forward in addressing the instability of using learned models in RL. However, the extent to which it's introducing new contributions, as opposed to combining existing ideas, is a little unclear.")</f>
        <v>This paper seems like a step forward in addressing the instability of using learned models in RL. However, the extent to which it's introducing new contributions, as opposed to combining existing ideas, is a little unclear.</v>
      </c>
    </row>
    <row r="1704">
      <c r="A1704" t="str">
        <f>IFERROR(__xludf.DUMMYFUNCTION("""COMPUTED_VALUE"""),"Reinforcement learning")</f>
        <v>Reinforcement learning</v>
      </c>
      <c r="B1704" t="str">
        <f>IFERROR(__xludf.DUMMYFUNCTION("""COMPUTED_VALUE"""),"")</f>
        <v/>
      </c>
      <c r="C1704" s="3" t="str">
        <f>IFERROR(__xludf.DUMMYFUNCTION("""COMPUTED_VALUE"""),"Plan Online, Learn Offline: Efficient Learning and Exploration via Model-Based Control")</f>
        <v>Plan Online, Learn Offline: Efficient Learning and Exploration via Model-Based Control</v>
      </c>
      <c r="D1704" t="str">
        <f>IFERROR(__xludf.DUMMYFUNCTION("""COMPUTED_VALUE"""),"Kendall Lowrey, Aravind Rajeswaran, Sham Kakade, Emanuel Todorov, Igor Mordatch")</f>
        <v>Kendall Lowrey, Aravind Rajeswaran, Sham Kakade, Emanuel Todorov, Igor Mordatch</v>
      </c>
      <c r="E1704" t="str">
        <f>IFERROR(__xludf.DUMMYFUNCTION("""COMPUTED_VALUE"""),"arXiv")</f>
        <v>arXiv</v>
      </c>
      <c r="F1704">
        <f>IFERROR(__xludf.DUMMYFUNCTION("""COMPUTED_VALUE"""),2018.0)</f>
        <v>2018</v>
      </c>
      <c r="H1704" s="3" t="str">
        <f>IFERROR(__xludf.DUMMYFUNCTION("""COMPUTED_VALUE"""),"AN #32")</f>
        <v>AN #32</v>
      </c>
    </row>
    <row r="1705">
      <c r="A1705" t="str">
        <f>IFERROR(__xludf.DUMMYFUNCTION("""COMPUTED_VALUE"""),"Reinforcement learning")</f>
        <v>Reinforcement learning</v>
      </c>
      <c r="B1705" t="str">
        <f>IFERROR(__xludf.DUMMYFUNCTION("""COMPUTED_VALUE"""),"")</f>
        <v/>
      </c>
      <c r="C1705" s="3" t="str">
        <f>IFERROR(__xludf.DUMMYFUNCTION("""COMPUTED_VALUE"""),"VIREL: A Variational Inference Framework for Reinforcement Learning")</f>
        <v>VIREL: A Variational Inference Framework for Reinforcement Learning</v>
      </c>
      <c r="D1705" t="str">
        <f>IFERROR(__xludf.DUMMYFUNCTION("""COMPUTED_VALUE"""),"Matthew Fellows, Anuj Mahajan, Tim G. J. Rudner, Shimon Whiteson")</f>
        <v>Matthew Fellows, Anuj Mahajan, Tim G. J. Rudner, Shimon Whiteson</v>
      </c>
      <c r="E1705" t="str">
        <f>IFERROR(__xludf.DUMMYFUNCTION("""COMPUTED_VALUE"""),"arXiv")</f>
        <v>arXiv</v>
      </c>
      <c r="F1705">
        <f>IFERROR(__xludf.DUMMYFUNCTION("""COMPUTED_VALUE"""),2018.0)</f>
        <v>2018</v>
      </c>
      <c r="H1705" s="3" t="str">
        <f>IFERROR(__xludf.DUMMYFUNCTION("""COMPUTED_VALUE"""),"AN #32")</f>
        <v>AN #32</v>
      </c>
    </row>
    <row r="1706">
      <c r="A1706" t="str">
        <f>IFERROR(__xludf.DUMMYFUNCTION("""COMPUTED_VALUE"""),"Reinforcement learning")</f>
        <v>Reinforcement learning</v>
      </c>
      <c r="B1706" t="str">
        <f>IFERROR(__xludf.DUMMYFUNCTION("""COMPUTED_VALUE"""),"")</f>
        <v/>
      </c>
      <c r="C1706" s="3" t="str">
        <f>IFERROR(__xludf.DUMMYFUNCTION("""COMPUTED_VALUE"""),"Efficient Eligibility Traces for Deep Reinforcement Learning")</f>
        <v>Efficient Eligibility Traces for Deep Reinforcement Learning</v>
      </c>
      <c r="D1706" t="str">
        <f>IFERROR(__xludf.DUMMYFUNCTION("""COMPUTED_VALUE"""),"Brett Daley, Christopher Amato")</f>
        <v>Brett Daley, Christopher Amato</v>
      </c>
      <c r="E1706" t="str">
        <f>IFERROR(__xludf.DUMMYFUNCTION("""COMPUTED_VALUE"""),"arXiv")</f>
        <v>arXiv</v>
      </c>
      <c r="F1706">
        <f>IFERROR(__xludf.DUMMYFUNCTION("""COMPUTED_VALUE"""),2018.0)</f>
        <v>2018</v>
      </c>
      <c r="H1706" s="3" t="str">
        <f>IFERROR(__xludf.DUMMYFUNCTION("""COMPUTED_VALUE"""),"AN #31")</f>
        <v>AN #31</v>
      </c>
    </row>
    <row r="1707">
      <c r="A1707" t="str">
        <f>IFERROR(__xludf.DUMMYFUNCTION("""COMPUTED_VALUE"""),"Reinforcement learning")</f>
        <v>Reinforcement learning</v>
      </c>
      <c r="B1707" t="str">
        <f>IFERROR(__xludf.DUMMYFUNCTION("""COMPUTED_VALUE"""),"")</f>
        <v/>
      </c>
      <c r="C1707" s="3" t="str">
        <f>IFERROR(__xludf.DUMMYFUNCTION("""COMPUTED_VALUE"""),"Evolved Policy Gradients")</f>
        <v>Evolved Policy Gradients</v>
      </c>
      <c r="D1707" t="str">
        <f>IFERROR(__xludf.DUMMYFUNCTION("""COMPUTED_VALUE"""),"Rein Houthooft et al")</f>
        <v>Rein Houthooft et al</v>
      </c>
      <c r="E1707" t="str">
        <f>IFERROR(__xludf.DUMMYFUNCTION("""COMPUTED_VALUE"""),"OpenAI Blog")</f>
        <v>OpenAI Blog</v>
      </c>
      <c r="F1707">
        <f>IFERROR(__xludf.DUMMYFUNCTION("""COMPUTED_VALUE"""),2018.0)</f>
        <v>2018</v>
      </c>
      <c r="H1707" s="3" t="str">
        <f>IFERROR(__xludf.DUMMYFUNCTION("""COMPUTED_VALUE"""),"AN #3")</f>
        <v>AN #3</v>
      </c>
      <c r="I1707" t="str">
        <f>IFERROR(__xludf.DUMMYFUNCTION("""COMPUTED_VALUE"""),"Rohin")</f>
        <v>Rohin</v>
      </c>
      <c r="J1707" t="str">
        <f>IFERROR(__xludf.DUMMYFUNCTION("""COMPUTED_VALUE"""),"In this meta-learning approach for reinforcement learning, the outer optimization loop proposes a new _loss function_ for the inner loop to optimize (in contrast to eg. MAML, where the outer optimization leads to better initializations for the policy para"&amp;"meters). The outer optimization is done using evolution strategies, while the inner optimization is stochastic gradient descent. The authors see good results on generalization to out-of-distribution tasks, which other algorithms such as RL2 don't achieve.")</f>
        <v>In this meta-learning approach for reinforcement learning, the outer optimization loop proposes a new _loss function_ for the inner loop to optimize (in contrast to eg. MAML, where the outer optimization leads to better initializations for the policy parameters). The outer optimization is done using evolution strategies, while the inner optimization is stochastic gradient descent. The authors see good results on generalization to out-of-distribution tasks, which other algorithms such as RL2 don't achieve.</v>
      </c>
    </row>
    <row r="1708">
      <c r="A1708" t="str">
        <f>IFERROR(__xludf.DUMMYFUNCTION("""COMPUTED_VALUE"""),"Reinforcement learning")</f>
        <v>Reinforcement learning</v>
      </c>
      <c r="B1708" t="str">
        <f>IFERROR(__xludf.DUMMYFUNCTION("""COMPUTED_VALUE"""),"")</f>
        <v/>
      </c>
      <c r="C1708" s="3" t="str">
        <f>IFERROR(__xludf.DUMMYFUNCTION("""COMPUTED_VALUE"""),"Open sourcing TRFL: a library of reinforcement learning building blocks")</f>
        <v>Open sourcing TRFL: a library of reinforcement learning building blocks</v>
      </c>
      <c r="D1708" t="str">
        <f>IFERROR(__xludf.DUMMYFUNCTION("""COMPUTED_VALUE"""),"Matteo Hessel, Miljan Martic, Diego de Las Casas and Gabriel Barth-Maron")</f>
        <v>Matteo Hessel, Miljan Martic, Diego de Las Casas and Gabriel Barth-Maron</v>
      </c>
      <c r="E1708" t="str">
        <f>IFERROR(__xludf.DUMMYFUNCTION("""COMPUTED_VALUE"""),"DeepMind Blog")</f>
        <v>DeepMind Blog</v>
      </c>
      <c r="F1708">
        <f>IFERROR(__xludf.DUMMYFUNCTION("""COMPUTED_VALUE"""),2018.0)</f>
        <v>2018</v>
      </c>
      <c r="H1708" s="3" t="str">
        <f>IFERROR(__xludf.DUMMYFUNCTION("""COMPUTED_VALUE"""),"AN #29")</f>
        <v>AN #29</v>
      </c>
      <c r="I1708" t="str">
        <f>IFERROR(__xludf.DUMMYFUNCTION("""COMPUTED_VALUE"""),"Richard")</f>
        <v>Richard</v>
      </c>
      <c r="J1708" t="str">
        <f>IFERROR(__xludf.DUMMYFUNCTION("""COMPUTED_VALUE"""),"DeepMind is open-sourcing a Tensorflow library of ""key algorithmic components"" used in their RL agents. They hope that this will allow less buggy RL code.")</f>
        <v>DeepMind is open-sourcing a Tensorflow library of "key algorithmic components" used in their RL agents. They hope that this will allow less buggy RL code.</v>
      </c>
      <c r="K1708" t="str">
        <f>IFERROR(__xludf.DUMMYFUNCTION("""COMPUTED_VALUE"""),"This continues the trend of being able to easily implement deep learning at higher and higher levels of abstraction. I'm looking forward to using it.")</f>
        <v>This continues the trend of being able to easily implement deep learning at higher and higher levels of abstraction. I'm looking forward to using it.</v>
      </c>
    </row>
    <row r="1709">
      <c r="A1709" t="str">
        <f>IFERROR(__xludf.DUMMYFUNCTION("""COMPUTED_VALUE"""),"Reinforcement learning")</f>
        <v>Reinforcement learning</v>
      </c>
      <c r="B1709" t="str">
        <f>IFERROR(__xludf.DUMMYFUNCTION("""COMPUTED_VALUE"""),"")</f>
        <v/>
      </c>
      <c r="C1709" s="3" t="str">
        <f>IFERROR(__xludf.DUMMYFUNCTION("""COMPUTED_VALUE"""),"Learning Acrobatics by Watching YouTube")</f>
        <v>Learning Acrobatics by Watching YouTube</v>
      </c>
      <c r="D1709" t="str">
        <f>IFERROR(__xludf.DUMMYFUNCTION("""COMPUTED_VALUE"""),"Xue Bin (Jason) Peng and Angjoo Kanazawa ")</f>
        <v>Xue Bin (Jason) Peng and Angjoo Kanazawa </v>
      </c>
      <c r="E1709" t="str">
        <f>IFERROR(__xludf.DUMMYFUNCTION("""COMPUTED_VALUE"""),"BAIR Blog")</f>
        <v>BAIR Blog</v>
      </c>
      <c r="F1709">
        <f>IFERROR(__xludf.DUMMYFUNCTION("""COMPUTED_VALUE"""),2018.0)</f>
        <v>2018</v>
      </c>
      <c r="H1709" s="3" t="str">
        <f>IFERROR(__xludf.DUMMYFUNCTION("""COMPUTED_VALUE"""),"AN #28")</f>
        <v>AN #28</v>
      </c>
      <c r="I1709" t="str">
        <f>IFERROR(__xludf.DUMMYFUNCTION("""COMPUTED_VALUE"""),"Rohin")</f>
        <v>Rohin</v>
      </c>
      <c r="J1709" t="str">
        <f>IFERROR(__xludf.DUMMYFUNCTION("""COMPUTED_VALUE"""),"To imitate human behavior in videos, it is sufficient to estimate the human pose for each frame, to smooth the poses across frames to eliminate any jittery artifacts or mistakes made by the pose estimator, and then to train the robot to match the motion e"&amp;"xactly. This results in really good performance that looks significantly better than corresponding deep RL approaches, but of course it relies on having labeled poses to train the pose estimator in addition to the simulator.")</f>
        <v>To imitate human behavior in videos, it is sufficient to estimate the human pose for each frame, to smooth the poses across frames to eliminate any jittery artifacts or mistakes made by the pose estimator, and then to train the robot to match the motion exactly. This results in really good performance that looks significantly better than corresponding deep RL approaches, but of course it relies on having labeled poses to train the pose estimator in addition to the simulator.</v>
      </c>
      <c r="K1709" t="str">
        <f>IFERROR(__xludf.DUMMYFUNCTION("""COMPUTED_VALUE"""),"It's quite remarkable how some supervision (poses in this case) can lead to such large improvements in the task. Of course, the promise of deep RL is to accomplish tasks with very little supervision (just a reward function), so this isn't a huge breakthro"&amp;"ugh, but it's still better than I expected. Intuitively, this works so well because the ""reward"" during the imitation phase is extremely dense -- the reference motion provides feedback after each action, so you don't have to solve the credit assignment "&amp;"problem.")</f>
        <v>It's quite remarkable how some supervision (poses in this case) can lead to such large improvements in the task. Of course, the promise of deep RL is to accomplish tasks with very little supervision (just a reward function), so this isn't a huge breakthrough, but it's still better than I expected. Intuitively, this works so well because the "reward" during the imitation phase is extremely dense -- the reference motion provides feedback after each action, so you don't have to solve the credit assignment problem.</v>
      </c>
    </row>
    <row r="1710">
      <c r="A1710" t="str">
        <f>IFERROR(__xludf.DUMMYFUNCTION("""COMPUTED_VALUE"""),"Reinforcement learning")</f>
        <v>Reinforcement learning</v>
      </c>
      <c r="B1710" t="str">
        <f>IFERROR(__xludf.DUMMYFUNCTION("""COMPUTED_VALUE"""),"")</f>
        <v/>
      </c>
      <c r="C1710" s="3" t="str">
        <f>IFERROR(__xludf.DUMMYFUNCTION("""COMPUTED_VALUE"""),"CEM-RL: Combining evolutionary and gradient-based methods for policy search")</f>
        <v>CEM-RL: Combining evolutionary and gradient-based methods for policy search</v>
      </c>
      <c r="D1710" t="str">
        <f>IFERROR(__xludf.DUMMYFUNCTION("""COMPUTED_VALUE"""),"Aloïs Pourchot, Olivier Sigaud")</f>
        <v>Aloïs Pourchot, Olivier Sigaud</v>
      </c>
      <c r="E1710" t="str">
        <f>IFERROR(__xludf.DUMMYFUNCTION("""COMPUTED_VALUE"""),"ICLR 2019")</f>
        <v>ICLR 2019</v>
      </c>
      <c r="F1710">
        <f>IFERROR(__xludf.DUMMYFUNCTION("""COMPUTED_VALUE"""),2018.0)</f>
        <v>2018</v>
      </c>
      <c r="H1710" s="3" t="str">
        <f>IFERROR(__xludf.DUMMYFUNCTION("""COMPUTED_VALUE"""),"AN #27")</f>
        <v>AN #27</v>
      </c>
    </row>
    <row r="1711">
      <c r="A1711" t="str">
        <f>IFERROR(__xludf.DUMMYFUNCTION("""COMPUTED_VALUE"""),"Reinforcement learning")</f>
        <v>Reinforcement learning</v>
      </c>
      <c r="B1711" t="str">
        <f>IFERROR(__xludf.DUMMYFUNCTION("""COMPUTED_VALUE"""),"")</f>
        <v/>
      </c>
      <c r="C1711" s="3" t="str">
        <f>IFERROR(__xludf.DUMMYFUNCTION("""COMPUTED_VALUE"""),"Generalization and Regularization in DQN ")</f>
        <v>Generalization and Regularization in DQN </v>
      </c>
      <c r="D1711" t="str">
        <f>IFERROR(__xludf.DUMMYFUNCTION("""COMPUTED_VALUE"""),"Jesse Farebrother, Marlos C. Machado, Michael Bowling")</f>
        <v>Jesse Farebrother, Marlos C. Machado, Michael Bowling</v>
      </c>
      <c r="E1711" t="str">
        <f>IFERROR(__xludf.DUMMYFUNCTION("""COMPUTED_VALUE"""),"arXiv")</f>
        <v>arXiv</v>
      </c>
      <c r="F1711">
        <f>IFERROR(__xludf.DUMMYFUNCTION("""COMPUTED_VALUE"""),2018.0)</f>
        <v>2018</v>
      </c>
      <c r="H1711" s="3" t="str">
        <f>IFERROR(__xludf.DUMMYFUNCTION("""COMPUTED_VALUE"""),"AN #27")</f>
        <v>AN #27</v>
      </c>
    </row>
    <row r="1712">
      <c r="A1712" t="str">
        <f>IFERROR(__xludf.DUMMYFUNCTION("""COMPUTED_VALUE"""),"Reinforcement learning")</f>
        <v>Reinforcement learning</v>
      </c>
      <c r="B1712" t="str">
        <f>IFERROR(__xludf.DUMMYFUNCTION("""COMPUTED_VALUE"""),"")</f>
        <v/>
      </c>
      <c r="C1712" s="3" t="str">
        <f>IFERROR(__xludf.DUMMYFUNCTION("""COMPUTED_VALUE"""),"Combined Reinforcement Learning via Abstract Representations")</f>
        <v>Combined Reinforcement Learning via Abstract Representations</v>
      </c>
      <c r="D1712" t="str">
        <f>IFERROR(__xludf.DUMMYFUNCTION("""COMPUTED_VALUE"""),"Vincent François-Lavet, Yoshua Bengio, Doina Precup, Joelle Pineau")</f>
        <v>Vincent François-Lavet, Yoshua Bengio, Doina Precup, Joelle Pineau</v>
      </c>
      <c r="E1712" t="str">
        <f>IFERROR(__xludf.DUMMYFUNCTION("""COMPUTED_VALUE"""),"Thirty-Third AAAI Conference On Artificial Intelligence, 2019")</f>
        <v>Thirty-Third AAAI Conference On Artificial Intelligence, 2019</v>
      </c>
      <c r="F1712">
        <f>IFERROR(__xludf.DUMMYFUNCTION("""COMPUTED_VALUE"""),2018.0)</f>
        <v>2018</v>
      </c>
      <c r="H1712" s="3" t="str">
        <f>IFERROR(__xludf.DUMMYFUNCTION("""COMPUTED_VALUE"""),"AN #25")</f>
        <v>AN #25</v>
      </c>
    </row>
    <row r="1713">
      <c r="A1713" t="str">
        <f>IFERROR(__xludf.DUMMYFUNCTION("""COMPUTED_VALUE"""),"Reinforcement learning")</f>
        <v>Reinforcement learning</v>
      </c>
      <c r="B1713" t="str">
        <f>IFERROR(__xludf.DUMMYFUNCTION("""COMPUTED_VALUE"""),"")</f>
        <v/>
      </c>
      <c r="C1713" s="3" t="str">
        <f>IFERROR(__xludf.DUMMYFUNCTION("""COMPUTED_VALUE"""),"Generalizing Across Multi-Objective Reward Functions in Deep Reinforcement Learning")</f>
        <v>Generalizing Across Multi-Objective Reward Functions in Deep Reinforcement Learning</v>
      </c>
      <c r="D1713" t="str">
        <f>IFERROR(__xludf.DUMMYFUNCTION("""COMPUTED_VALUE"""),"Eli Friedman, Fred Fontaine")</f>
        <v>Eli Friedman, Fred Fontaine</v>
      </c>
      <c r="E1713" t="str">
        <f>IFERROR(__xludf.DUMMYFUNCTION("""COMPUTED_VALUE"""),"arXiv")</f>
        <v>arXiv</v>
      </c>
      <c r="F1713">
        <f>IFERROR(__xludf.DUMMYFUNCTION("""COMPUTED_VALUE"""),2018.0)</f>
        <v>2018</v>
      </c>
      <c r="H1713" s="3" t="str">
        <f>IFERROR(__xludf.DUMMYFUNCTION("""COMPUTED_VALUE"""),"AN #25")</f>
        <v>AN #25</v>
      </c>
    </row>
    <row r="1714">
      <c r="A1714" t="str">
        <f>IFERROR(__xludf.DUMMYFUNCTION("""COMPUTED_VALUE"""),"Reinforcement learning")</f>
        <v>Reinforcement learning</v>
      </c>
      <c r="B1714" t="str">
        <f>IFERROR(__xludf.DUMMYFUNCTION("""COMPUTED_VALUE"""),"")</f>
        <v/>
      </c>
      <c r="C1714" s="3" t="str">
        <f>IFERROR(__xludf.DUMMYFUNCTION("""COMPUTED_VALUE"""),"ARCHER: Aggressive Rewards to Counter bias in Hindsight Experience Replay")</f>
        <v>ARCHER: Aggressive Rewards to Counter bias in Hindsight Experience Replay</v>
      </c>
      <c r="D1714" t="str">
        <f>IFERROR(__xludf.DUMMYFUNCTION("""COMPUTED_VALUE"""),"Sameera Lanka, Tianfu Wu")</f>
        <v>Sameera Lanka, Tianfu Wu</v>
      </c>
      <c r="E1714" t="str">
        <f>IFERROR(__xludf.DUMMYFUNCTION("""COMPUTED_VALUE"""),"arXiv")</f>
        <v>arXiv</v>
      </c>
      <c r="F1714">
        <f>IFERROR(__xludf.DUMMYFUNCTION("""COMPUTED_VALUE"""),2018.0)</f>
        <v>2018</v>
      </c>
      <c r="H1714" s="3" t="str">
        <f>IFERROR(__xludf.DUMMYFUNCTION("""COMPUTED_VALUE"""),"AN #23")</f>
        <v>AN #23</v>
      </c>
    </row>
    <row r="1715">
      <c r="A1715" t="str">
        <f>IFERROR(__xludf.DUMMYFUNCTION("""COMPUTED_VALUE"""),"Reinforcement learning")</f>
        <v>Reinforcement learning</v>
      </c>
      <c r="B1715" t="str">
        <f>IFERROR(__xludf.DUMMYFUNCTION("""COMPUTED_VALUE"""),"")</f>
        <v/>
      </c>
      <c r="C1715" s="3" t="str">
        <f>IFERROR(__xludf.DUMMYFUNCTION("""COMPUTED_VALUE"""),"SOLAR: Deep Structured Latent Representations for Model-Based Reinforcement Learning")</f>
        <v>SOLAR: Deep Structured Latent Representations for Model-Based Reinforcement Learning</v>
      </c>
      <c r="D1715" t="str">
        <f>IFERROR(__xludf.DUMMYFUNCTION("""COMPUTED_VALUE"""),"Marvin Zhang, Sharad Vikram, Laura Smith, Pieter Abbeel, Matthew J. Johnson, Sergey Levine")</f>
        <v>Marvin Zhang, Sharad Vikram, Laura Smith, Pieter Abbeel, Matthew J. Johnson, Sergey Levine</v>
      </c>
      <c r="E1715" t="str">
        <f>IFERROR(__xludf.DUMMYFUNCTION("""COMPUTED_VALUE"""),"arXiv")</f>
        <v>arXiv</v>
      </c>
      <c r="F1715">
        <f>IFERROR(__xludf.DUMMYFUNCTION("""COMPUTED_VALUE"""),2018.0)</f>
        <v>2018</v>
      </c>
      <c r="H1715" s="3" t="str">
        <f>IFERROR(__xludf.DUMMYFUNCTION("""COMPUTED_VALUE"""),"AN #23")</f>
        <v>AN #23</v>
      </c>
    </row>
    <row r="1716">
      <c r="A1716" t="str">
        <f>IFERROR(__xludf.DUMMYFUNCTION("""COMPUTED_VALUE"""),"Reinforcement learning")</f>
        <v>Reinforcement learning</v>
      </c>
      <c r="B1716" t="str">
        <f>IFERROR(__xludf.DUMMYFUNCTION("""COMPUTED_VALUE"""),"")</f>
        <v/>
      </c>
      <c r="C1716" s="3" t="str">
        <f>IFERROR(__xludf.DUMMYFUNCTION("""COMPUTED_VALUE"""),"Introducing a New Framework for Flexible and Reproducible Reinforcement Learning Research")</f>
        <v>Introducing a New Framework for Flexible and Reproducible Reinforcement Learning Research</v>
      </c>
      <c r="D1716" t="str">
        <f>IFERROR(__xludf.DUMMYFUNCTION("""COMPUTED_VALUE"""),"Pablo Samuel Castro and Marc G. Bellemare")</f>
        <v>Pablo Samuel Castro and Marc G. Bellemare</v>
      </c>
      <c r="E1716" t="str">
        <f>IFERROR(__xludf.DUMMYFUNCTION("""COMPUTED_VALUE"""),"Google AI Blog")</f>
        <v>Google AI Blog</v>
      </c>
      <c r="F1716">
        <f>IFERROR(__xludf.DUMMYFUNCTION("""COMPUTED_VALUE"""),2018.0)</f>
        <v>2018</v>
      </c>
      <c r="H1716" s="3" t="str">
        <f>IFERROR(__xludf.DUMMYFUNCTION("""COMPUTED_VALUE"""),"AN #22")</f>
        <v>AN #22</v>
      </c>
      <c r="I1716" t="str">
        <f>IFERROR(__xludf.DUMMYFUNCTION("""COMPUTED_VALUE"""),"Rohin")</f>
        <v>Rohin</v>
      </c>
      <c r="J1716" t="str">
        <f>IFERROR(__xludf.DUMMYFUNCTION("""COMPUTED_VALUE"""),"Researchers at Google have released Dopamine, a small framework for RL research on Atari games, with four built-in agents -- DQN, C51, a simplified version of Rainbow, and the recent Implicit Quantile Network. There's a particular emphasis on reproducibil"&amp;"ity, by providing logs from training runs, training data, etc.")</f>
        <v>Researchers at Google have released Dopamine, a small framework for RL research on Atari games, with four built-in agents -- DQN, C51, a simplified version of Rainbow, and the recent Implicit Quantile Network. There's a particular emphasis on reproducibility, by providing logs from training runs, training data, etc.</v>
      </c>
    </row>
    <row r="1717">
      <c r="A1717" t="str">
        <f>IFERROR(__xludf.DUMMYFUNCTION("""COMPUTED_VALUE"""),"Reinforcement learning")</f>
        <v>Reinforcement learning</v>
      </c>
      <c r="B1717" t="str">
        <f>IFERROR(__xludf.DUMMYFUNCTION("""COMPUTED_VALUE"""),"")</f>
        <v/>
      </c>
      <c r="C1717" s="3" t="str">
        <f>IFERROR(__xludf.DUMMYFUNCTION("""COMPUTED_VALUE"""),"Dexterous Manipulation with Reinforcement Learning: Efficient, General, and Low-Cost")</f>
        <v>Dexterous Manipulation with Reinforcement Learning: Efficient, General, and Low-Cost</v>
      </c>
      <c r="D1717" t="str">
        <f>IFERROR(__xludf.DUMMYFUNCTION("""COMPUTED_VALUE"""),"Henry Zhu, Abhishek Gupta, Vikash Kumar, Aravind Rajeswaran, and Sergey Levine")</f>
        <v>Henry Zhu, Abhishek Gupta, Vikash Kumar, Aravind Rajeswaran, and Sergey Levine</v>
      </c>
      <c r="E1717" t="str">
        <f>IFERROR(__xludf.DUMMYFUNCTION("""COMPUTED_VALUE"""),"BAIR Blog")</f>
        <v>BAIR Blog</v>
      </c>
      <c r="F1717">
        <f>IFERROR(__xludf.DUMMYFUNCTION("""COMPUTED_VALUE"""),2018.0)</f>
        <v>2018</v>
      </c>
      <c r="H1717" s="3" t="str">
        <f>IFERROR(__xludf.DUMMYFUNCTION("""COMPUTED_VALUE"""),"AN #22")</f>
        <v>AN #22</v>
      </c>
    </row>
    <row r="1718">
      <c r="A1718" t="str">
        <f>IFERROR(__xludf.DUMMYFUNCTION("""COMPUTED_VALUE"""),"Reinforcement learning")</f>
        <v>Reinforcement learning</v>
      </c>
      <c r="B1718" t="str">
        <f>IFERROR(__xludf.DUMMYFUNCTION("""COMPUTED_VALUE"""),"")</f>
        <v/>
      </c>
      <c r="C1718" s="3" t="str">
        <f>IFERROR(__xludf.DUMMYFUNCTION("""COMPUTED_VALUE"""),"The International 2018: Results")</f>
        <v>The International 2018: Results</v>
      </c>
      <c r="D1718" t="str">
        <f>IFERROR(__xludf.DUMMYFUNCTION("""COMPUTED_VALUE"""),"OpenAI")</f>
        <v>OpenAI</v>
      </c>
      <c r="E1718" t="str">
        <f>IFERROR(__xludf.DUMMYFUNCTION("""COMPUTED_VALUE"""),"OpenAI Blog")</f>
        <v>OpenAI Blog</v>
      </c>
      <c r="F1718">
        <f>IFERROR(__xludf.DUMMYFUNCTION("""COMPUTED_VALUE"""),2018.0)</f>
        <v>2018</v>
      </c>
      <c r="H1718" s="3" t="str">
        <f>IFERROR(__xludf.DUMMYFUNCTION("""COMPUTED_VALUE"""),"AN #21")</f>
        <v>AN #21</v>
      </c>
      <c r="I1718" t="str">
        <f>IFERROR(__xludf.DUMMYFUNCTION("""COMPUTED_VALUE"""),"Rohin")</f>
        <v>Rohin</v>
      </c>
      <c r="J1718" t="str">
        <f>IFERROR(__xludf.DUMMYFUNCTION("""COMPUTED_VALUE"""),"Two human teams beat OpenAI Five at The International. The games seemed much more like regular Dota, probably because there was now only one vulnerable courier for items instead of five invulnerable ones. This meant that OpenAI Five's strategy of a relent"&amp;"less team attack on the enemy was no longer as powerful, because they couldn't get the health regeneration items they needed to constantly stay alive to continue the attack. It's also possible (but less likely to me) that the matches were more normal beca"&amp;"use the teams were more even, or because the human teams knew about Five's strategy this time and were countering it in ways that I don't understand.")</f>
        <v>Two human teams beat OpenAI Five at The International. The games seemed much more like regular Dota, probably because there was now only one vulnerable courier for items instead of five invulnerable ones. This meant that OpenAI Five's strategy of a relentless team attack on the enemy was no longer as powerful, because they couldn't get the health regeneration items they needed to constantly stay alive to continue the attack. It's also possible (but less likely to me) that the matches were more normal because the teams were more even, or because the human teams knew about Five's strategy this time and were countering it in ways that I don't understand.</v>
      </c>
      <c r="K1718" t="str">
        <f>IFERROR(__xludf.DUMMYFUNCTION("""COMPUTED_VALUE"""),"There are still some things that the bots do that seem like bad decisions. You can interpret this a few ways. Five could have learned a large number of heuristics that make it good enough to beat almost all humans, but that break down in edge cases. In th"&amp;"is story, Five is not good at learning logical or abstract reasoning, but can compensate for that in the average case with the sheer number of heuristics it can learn. Another interpretation is that Five learns a good representation of Dota which lets it "&amp;"come up with new, novel insights into the game, which we can't see or understand because the representation is alien to us. However, the representation makes it harder to come up with other insights about Dota that we have using our representations of Dot"&amp;"a, and as a result Five makes some mistakes that humans can easily recognize as mistakes. I lean towards the first interpretation, but not very strongly.")</f>
        <v>There are still some things that the bots do that seem like bad decisions. You can interpret this a few ways. Five could have learned a large number of heuristics that make it good enough to beat almost all humans, but that break down in edge cases. In this story, Five is not good at learning logical or abstract reasoning, but can compensate for that in the average case with the sheer number of heuristics it can learn. Another interpretation is that Five learns a good representation of Dota which lets it come up with new, novel insights into the game, which we can't see or understand because the representation is alien to us. However, the representation makes it harder to come up with other insights about Dota that we have using our representations of Dota, and as a result Five makes some mistakes that humans can easily recognize as mistakes. I lean towards the first interpretation, but not very strongly.</v>
      </c>
    </row>
    <row r="1719">
      <c r="A1719" t="str">
        <f>IFERROR(__xludf.DUMMYFUNCTION("""COMPUTED_VALUE"""),"Reinforcement learning")</f>
        <v>Reinforcement learning</v>
      </c>
      <c r="B1719" t="str">
        <f>IFERROR(__xludf.DUMMYFUNCTION("""COMPUTED_VALUE"""),"")</f>
        <v/>
      </c>
      <c r="C1719" s="3" t="str">
        <f>IFERROR(__xludf.DUMMYFUNCTION("""COMPUTED_VALUE"""),"Latent Space Policies for Hierarchical Reinforcement Learning")</f>
        <v>Latent Space Policies for Hierarchical Reinforcement Learning</v>
      </c>
      <c r="D1719" t="str">
        <f>IFERROR(__xludf.DUMMYFUNCTION("""COMPUTED_VALUE"""),"Tuomas Haarnoja, Kristian Hartikainen, Pieter Abbeel, Sergey Levine")</f>
        <v>Tuomas Haarnoja, Kristian Hartikainen, Pieter Abbeel, Sergey Levine</v>
      </c>
      <c r="E1719" t="str">
        <f>IFERROR(__xludf.DUMMYFUNCTION("""COMPUTED_VALUE"""),"arXiv")</f>
        <v>arXiv</v>
      </c>
      <c r="F1719">
        <f>IFERROR(__xludf.DUMMYFUNCTION("""COMPUTED_VALUE"""),2018.0)</f>
        <v>2018</v>
      </c>
      <c r="H1719" s="3" t="str">
        <f>IFERROR(__xludf.DUMMYFUNCTION("""COMPUTED_VALUE"""),"AN #2")</f>
        <v>AN #2</v>
      </c>
    </row>
    <row r="1720">
      <c r="A1720" t="str">
        <f>IFERROR(__xludf.DUMMYFUNCTION("""COMPUTED_VALUE"""),"Reinforcement learning")</f>
        <v>Reinforcement learning</v>
      </c>
      <c r="B1720" t="str">
        <f>IFERROR(__xludf.DUMMYFUNCTION("""COMPUTED_VALUE"""),"")</f>
        <v/>
      </c>
      <c r="C1720" s="3" t="str">
        <f>IFERROR(__xludf.DUMMYFUNCTION("""COMPUTED_VALUE"""),"Learning Actionable Representations from Visual Observations")</f>
        <v>Learning Actionable Representations from Visual Observations</v>
      </c>
      <c r="D1720" t="str">
        <f>IFERROR(__xludf.DUMMYFUNCTION("""COMPUTED_VALUE"""),"Debidatta Dwibedi, Jonathan Tompson, Corey Lynch, Pierre Sermanet")</f>
        <v>Debidatta Dwibedi, Jonathan Tompson, Corey Lynch, Pierre Sermanet</v>
      </c>
      <c r="E1720" t="str">
        <f>IFERROR(__xludf.DUMMYFUNCTION("""COMPUTED_VALUE"""),"arXiv")</f>
        <v>arXiv</v>
      </c>
      <c r="F1720">
        <f>IFERROR(__xludf.DUMMYFUNCTION("""COMPUTED_VALUE"""),2018.0)</f>
        <v>2018</v>
      </c>
      <c r="H1720" s="3" t="str">
        <f>IFERROR(__xludf.DUMMYFUNCTION("""COMPUTED_VALUE"""),"AN #19")</f>
        <v>AN #19</v>
      </c>
      <c r="I1720" t="str">
        <f>IFERROR(__xludf.DUMMYFUNCTION("""COMPUTED_VALUE"""),"Rohin")</f>
        <v>Rohin</v>
      </c>
      <c r="J1720" t="str">
        <f>IFERROR(__xludf.DUMMYFUNCTION("""COMPUTED_VALUE"""),"Prior work on Time Contrastive Networks (TCN)s showed that you can use time as an unsupervised learning signal, in order to learn good embeddings of states that you can then use in other tasks. This paper extends TCNs to work with multiple frames, so that"&amp;" it can understand motion as well. Consider any two short videos of a task demonstration. If they were taken at different times, then they should be mapped to different embedding vectors (since they correspond to different ""parts"" of the task). On the o"&amp;"ther hand, if they were taken at the same time (even if from different viewpoints), they should be mapped to the same embedding vector. The loss function based on this encourages the network to learn an embedding for these short videos that is invariant t"&amp;"o changes in perspective (which are very large changes in pixel-space), but _is_ different for changes in time (which may be very small changes in pixel-space). They evaluate with a bunch of different experiments.")</f>
        <v>Prior work on Time Contrastive Networks (TCN)s showed that you can use time as an unsupervised learning signal, in order to learn good embeddings of states that you can then use in other tasks. This paper extends TCNs to work with multiple frames, so that it can understand motion as well. Consider any two short videos of a task demonstration. If they were taken at different times, then they should be mapped to different embedding vectors (since they correspond to different "parts" of the task). On the other hand, if they were taken at the same time (even if from different viewpoints), they should be mapped to the same embedding vector. The loss function based on this encourages the network to learn an embedding for these short videos that is invariant to changes in perspective (which are very large changes in pixel-space), but _is_ different for changes in time (which may be very small changes in pixel-space). They evaluate with a bunch of different experiments.</v>
      </c>
      <c r="K1720" t="str">
        <f>IFERROR(__xludf.DUMMYFUNCTION("""COMPUTED_VALUE"""),"Unsupervised learning seems like the way forward to learn rich models of the world, because of the sheer volume of data that you can use.")</f>
        <v>Unsupervised learning seems like the way forward to learn rich models of the world, because of the sheer volume of data that you can use.</v>
      </c>
    </row>
    <row r="1721">
      <c r="A1721" t="str">
        <f>IFERROR(__xludf.DUMMYFUNCTION("""COMPUTED_VALUE"""),"Reinforcement learning")</f>
        <v>Reinforcement learning</v>
      </c>
      <c r="B1721" t="str">
        <f>IFERROR(__xludf.DUMMYFUNCTION("""COMPUTED_VALUE"""),"")</f>
        <v/>
      </c>
      <c r="C1721" s="3" t="str">
        <f>IFERROR(__xludf.DUMMYFUNCTION("""COMPUTED_VALUE"""),"ICML 2018 Notes")</f>
        <v>ICML 2018 Notes</v>
      </c>
      <c r="D1721" t="str">
        <f>IFERROR(__xludf.DUMMYFUNCTION("""COMPUTED_VALUE"""),"David Abel")</f>
        <v>David Abel</v>
      </c>
      <c r="E1721" t="str">
        <f>IFERROR(__xludf.DUMMYFUNCTION("""COMPUTED_VALUE"""),"Author's Website")</f>
        <v>Author's Website</v>
      </c>
      <c r="F1721">
        <f>IFERROR(__xludf.DUMMYFUNCTION("""COMPUTED_VALUE"""),2018.0)</f>
        <v>2018</v>
      </c>
      <c r="H1721" s="3" t="str">
        <f>IFERROR(__xludf.DUMMYFUNCTION("""COMPUTED_VALUE"""),"AN #19")</f>
        <v>AN #19</v>
      </c>
    </row>
    <row r="1722">
      <c r="A1722" t="str">
        <f>IFERROR(__xludf.DUMMYFUNCTION("""COMPUTED_VALUE"""),"Reinforcement learning")</f>
        <v>Reinforcement learning</v>
      </c>
      <c r="B1722" t="str">
        <f>IFERROR(__xludf.DUMMYFUNCTION("""COMPUTED_VALUE"""),"")</f>
        <v/>
      </c>
      <c r="C1722" s="3" t="str">
        <f>IFERROR(__xludf.DUMMYFUNCTION("""COMPUTED_VALUE"""),"Learning Plannable Representations with Causal InfoGAN")</f>
        <v>Learning Plannable Representations with Causal InfoGAN</v>
      </c>
      <c r="D1722" t="str">
        <f>IFERROR(__xludf.DUMMYFUNCTION("""COMPUTED_VALUE"""),"Thanard Kurutach, Aviv Tamar, Ge Yang, Stuart Russell, Pieter Abbeel")</f>
        <v>Thanard Kurutach, Aviv Tamar, Ge Yang, Stuart Russell, Pieter Abbeel</v>
      </c>
      <c r="E1722" t="str">
        <f>IFERROR(__xludf.DUMMYFUNCTION("""COMPUTED_VALUE"""),"arXiv")</f>
        <v>arXiv</v>
      </c>
      <c r="F1722">
        <f>IFERROR(__xludf.DUMMYFUNCTION("""COMPUTED_VALUE"""),2018.0)</f>
        <v>2018</v>
      </c>
      <c r="H1722" s="3" t="str">
        <f>IFERROR(__xludf.DUMMYFUNCTION("""COMPUTED_VALUE"""),"AN #18")</f>
        <v>AN #18</v>
      </c>
      <c r="I1722" t="str">
        <f>IFERROR(__xludf.DUMMYFUNCTION("""COMPUTED_VALUE"""),"Rohin")</f>
        <v>Rohin</v>
      </c>
      <c r="J1722" t="str">
        <f>IFERROR(__xludf.DUMMYFUNCTION("""COMPUTED_VALUE"""),"Hierarchical reinforcement learning aims to learn a hierarchy of actions that an agent can take, each implemented in terms of actions lower in the hierarchy, in order to get more efficient planning. Another way we can achieve this is to use a classical pl"&amp;"anning algorithm to find a sequence of _waypoints_, or states that the agent should reach that will allow it to reach its goal. These waypoints can be thought of as a high-level plan. You can then use standard RL algorithms to figure out how to go from on"&amp;"e waypoint to the next. However, typical planning algorithms that can produce a sequence of waypoints require very structured state representations, that were designed by humans in the past. How can we learn them directly from data? This paper proposes Ca"&amp;"usal InfoGAN. They use a GAN where the generator creates adjacent waypoints in the sequence, while the discriminator tries to distinguish between waypoints from the generator and pairs of points sampled from the true environment. This incentivizes the gen"&amp;"erator to generate waypoints that are close to each other, so that we can use an RL algorithm to learn to go from one waypoint to the next. However, this only lets us generate adjacent waypoints. In order to use this to make a sequence of waypoints that g"&amp;"ets from a start state to a goal state, we need to use some classical planning algorithm. In order to do that, we need to have a structured state representation. GANs do not do this by default. InfoGAN tries to make the latent representation in a GAN more"&amp;" meaningful by providing the generator with a ""code"" (a state in our case) and maximizing the mutual information of the code and the output of the generator. In this setting, we want to learn representations that are good for planning, so we want to enc"&amp;"ode information about _transitions_ between states. This leads to the Causal InfoGAN objective, where we provide the generator with a pair of abstract states (s, s'), have it generate a pair of observations (o, o') and maximize the mutual information betw"&amp;"een (s, s') and (o, o'), so that s and s' become good low-dimensional representations of o and o'. They show that Causal InfoGAN can create sequences of waypoints in a rope manipulation task, that previously had to be done manually.")</f>
        <v>Hierarchical reinforcement learning aims to learn a hierarchy of actions that an agent can take, each implemented in terms of actions lower in the hierarchy, in order to get more efficient planning. Another way we can achieve this is to use a classical planning algorithm to find a sequence of _waypoints_, or states that the agent should reach that will allow it to reach its goal. These waypoints can be thought of as a high-level plan. You can then use standard RL algorithms to figure out how to go from one waypoint to the next. However, typical planning algorithms that can produce a sequence of waypoints require very structured state representations, that were designed by humans in the past. How can we learn them directly from data? This paper proposes Causal InfoGAN. They use a GAN where the generator creates adjacent waypoints in the sequence, while the discriminator tries to distinguish between waypoints from the generator and pairs of points sampled from the true environment. This incentivizes the generator to generate waypoints that are close to each other, so that we can use an RL algorithm to learn to go from one waypoint to the next. However, this only lets us generate adjacent waypoints. In order to use this to make a sequence of waypoints that gets from a start state to a goal state, we need to use some classical planning algorithm. In order to do that, we need to have a structured state representation. GANs do not do this by default. InfoGAN tries to make the latent representation in a GAN more meaningful by providing the generator with a "code" (a state in our case) and maximizing the mutual information of the code and the output of the generator. In this setting, we want to learn representations that are good for planning, so we want to encode information about _transitions_ between states. This leads to the Causal InfoGAN objective, where we provide the generator with a pair of abstract states (s, s'), have it generate a pair of observations (o, o') and maximize the mutual information between (s, s') and (o, o'), so that s and s' become good low-dimensional representations of o and o'. They show that Causal InfoGAN can create sequences of waypoints in a rope manipulation task, that previously had to be done manually.</v>
      </c>
      <c r="K1722" t="str">
        <f>IFERROR(__xludf.DUMMYFUNCTION("""COMPUTED_VALUE"""),"We're seeing more and more work combining classical symbolic approaches with the current wave of statistical machine learning from big data, that gives them the best of both worlds. While the results we see are not general intelligence, it's becoming less"&amp;" and less true that you can point to a broad swath of capabilities that AI cannot do yet. I wouldn't be surprised if a combination of symbolic and stastical AI techniques led to large capability gains in the next few years.")</f>
        <v>We're seeing more and more work combining classical symbolic approaches with the current wave of statistical machine learning from big data, that gives them the best of both worlds. While the results we see are not general intelligence, it's becoming less and less true that you can point to a broad swath of capabilities that AI cannot do yet. I wouldn't be surprised if a combination of symbolic and stastical AI techniques led to large capability gains in the next few years.</v>
      </c>
    </row>
    <row r="1723">
      <c r="A1723" t="str">
        <f>IFERROR(__xludf.DUMMYFUNCTION("""COMPUTED_VALUE"""),"Reinforcement learning")</f>
        <v>Reinforcement learning</v>
      </c>
      <c r="B1723" t="str">
        <f>IFERROR(__xludf.DUMMYFUNCTION("""COMPUTED_VALUE"""),"")</f>
        <v/>
      </c>
      <c r="C1723" s="3" t="str">
        <f>IFERROR(__xludf.DUMMYFUNCTION("""COMPUTED_VALUE"""),"Learning Heuristics for Automated Reasoning through Deep Reinforcement Learning")</f>
        <v>Learning Heuristics for Automated Reasoning through Deep Reinforcement Learning</v>
      </c>
      <c r="D1723" t="str">
        <f>IFERROR(__xludf.DUMMYFUNCTION("""COMPUTED_VALUE"""),"Gil Lederman, Markus N. Rabe, Edward A. Lee, Sanjit A. Seshia")</f>
        <v>Gil Lederman, Markus N. Rabe, Edward A. Lee, Sanjit A. Seshia</v>
      </c>
      <c r="E1723" t="str">
        <f>IFERROR(__xludf.DUMMYFUNCTION("""COMPUTED_VALUE"""),"arXiv")</f>
        <v>arXiv</v>
      </c>
      <c r="F1723">
        <f>IFERROR(__xludf.DUMMYFUNCTION("""COMPUTED_VALUE"""),2018.0)</f>
        <v>2018</v>
      </c>
      <c r="H1723" s="3" t="str">
        <f>IFERROR(__xludf.DUMMYFUNCTION("""COMPUTED_VALUE"""),"AN #17")</f>
        <v>AN #17</v>
      </c>
      <c r="I1723" t="str">
        <f>IFERROR(__xludf.DUMMYFUNCTION("""COMPUTED_VALUE"""),"Rohin")</f>
        <v>Rohin</v>
      </c>
      <c r="J1723" t="str">
        <f>IFERROR(__xludf.DUMMYFUNCTION("""COMPUTED_VALUE"""),"The formal methods community uses SAT solvers all the time in order to solve complex search-based problems. These solvers use handtuned heuristics in order to drastically improve performance. The heuristics only affect the choices in the search process, n"&amp;"ot the correctness of the algorithm overall. Obviously, we should consider using neural nets to learn these heuristics instead. However, neural nets take a long time to run, and SAT solvers have to make these decisions very frequently, so it's unlikely to"&amp;" actually be helpful -- the neural net would have to be orders of magnitude better than existing heuristics. So, they instead do this for QBF (quantified boolean formulas) -- these are PSPACE complete, and the infrastructure needed to support the theory t"&amp;"akes more time, so it's more likely that neural nets can actually help. They implement this using a graph neural network and engineer some simple features for variables and clauses. (Feature engineering is needed because there can hundreds of thousands of"&amp;" variables, so you can only have ~10 numbers to describe the variable.) It works well, doing better than the handcoded heuristics.")</f>
        <v>The formal methods community uses SAT solvers all the time in order to solve complex search-based problems. These solvers use handtuned heuristics in order to drastically improve performance. The heuristics only affect the choices in the search process, not the correctness of the algorithm overall. Obviously, we should consider using neural nets to learn these heuristics instead. However, neural nets take a long time to run, and SAT solvers have to make these decisions very frequently, so it's unlikely to actually be helpful -- the neural net would have to be orders of magnitude better than existing heuristics. So, they instead do this for QBF (quantified boolean formulas) -- these are PSPACE complete, and the infrastructure needed to support the theory takes more time, so it's more likely that neural nets can actually help. They implement this using a graph neural network and engineer some simple features for variables and clauses. (Feature engineering is needed because there can hundreds of thousands of variables, so you can only have ~10 numbers to describe the variable.) It works well, doing better than the handcoded heuristics.</v>
      </c>
      <c r="K1723" t="str">
        <f>IFERROR(__xludf.DUMMYFUNCTION("""COMPUTED_VALUE"""),"For over a year now people keep asking me whether something like this is doable, since it seems like an obvious win combining PL and ML, and why no one has done it yet. I've mentioned the issue about neural nets being too slow, but it still seemed doable,"&amp;" and I was really tempted to do it myself. So I'm really excited that it's finally been done!
Oh right, AI alignment. Yeah, I do actually think this is somewhat relevant -- this sort of work could lead to much better theorem provers and formal reasoning,"&amp;" which could make it possible to create AI systems with formal guarantees. I'm not very optimistic about this approach myself, but I know others are.")</f>
        <v>For over a year now people keep asking me whether something like this is doable, since it seems like an obvious win combining PL and ML, and why no one has done it yet. I've mentioned the issue about neural nets being too slow, but it still seemed doable, and I was really tempted to do it myself. So I'm really excited that it's finally been done!
Oh right, AI alignment. Yeah, I do actually think this is somewhat relevant -- this sort of work could lead to much better theorem provers and formal reasoning, which could make it possible to create AI systems with formal guarantees. I'm not very optimistic about this approach myself, but I know others are.</v>
      </c>
    </row>
    <row r="1724">
      <c r="A1724" t="str">
        <f>IFERROR(__xludf.DUMMYFUNCTION("""COMPUTED_VALUE"""),"Reinforcement learning")</f>
        <v>Reinforcement learning</v>
      </c>
      <c r="B1724" t="str">
        <f>IFERROR(__xludf.DUMMYFUNCTION("""COMPUTED_VALUE"""),"")</f>
        <v/>
      </c>
      <c r="C1724" s="3" t="str">
        <f>IFERROR(__xludf.DUMMYFUNCTION("""COMPUTED_VALUE"""),"Visual Reinforcement Learning with Imagined Goals")</f>
        <v>Visual Reinforcement Learning with Imagined Goals</v>
      </c>
      <c r="D1724" t="str">
        <f>IFERROR(__xludf.DUMMYFUNCTION("""COMPUTED_VALUE"""),"Ashvin Nair, Vitchyr Pong, Murtaza Dalal, Shikhar Bahl, Steven Lin, Sergey Levine")</f>
        <v>Ashvin Nair, Vitchyr Pong, Murtaza Dalal, Shikhar Bahl, Steven Lin, Sergey Levine</v>
      </c>
      <c r="E1724" t="str">
        <f>IFERROR(__xludf.DUMMYFUNCTION("""COMPUTED_VALUE"""),"arXiv")</f>
        <v>arXiv</v>
      </c>
      <c r="F1724">
        <f>IFERROR(__xludf.DUMMYFUNCTION("""COMPUTED_VALUE"""),2018.0)</f>
        <v>2018</v>
      </c>
      <c r="H1724" s="3" t="str">
        <f>IFERROR(__xludf.DUMMYFUNCTION("""COMPUTED_VALUE"""),"AN #16")</f>
        <v>AN #16</v>
      </c>
      <c r="I1724" t="str">
        <f>IFERROR(__xludf.DUMMYFUNCTION("""COMPUTED_VALUE"""),"Rohin")</f>
        <v>Rohin</v>
      </c>
      <c r="J1724" t="str">
        <f>IFERROR(__xludf.DUMMYFUNCTION("""COMPUTED_VALUE"""),"[Hindsight Experience Replay](https://blog.openai.com/ingredients-for-robotics-research/) (HER) introduced the idea of accelerating learning with sparse rewards, by taking trajectories where you fail to achieve the goal (and so get no reward, and thus no "&amp;"learning signal) and replacing the actual goal with an ""imagined"" goal chosen in hindsight such that you actually achieved that goal, which means you get reward and can learn. This requires that you have a space of goals such that for any trajectory, yo"&amp;"u can come up with a goal such that the trajectory achieves that goal. In practice, this means that you are limited to tasks where the goals are of the form ""reach this goal state"". However, if your goal state is an image, it is very hard to learn how t"&amp;"o act in order to reach any possible image goal state (even if you restrict to realistic ones), since the space is so large and unstructured. The authors propose to first learn a structured latent representation of the space of images using a variational "&amp;"autoencoder (VAE), and then use that structured latent space as the space of goals which can be achieved. They also use Q-learning instead of DDPG (which is what HER used), so that they can imagine any goal with a minibatch (s, a, s') and learn from it (w"&amp;"hereas HER/DDPG is limited to states on the trajectory).")</f>
        <v>[Hindsight Experience Replay](https://blog.openai.com/ingredients-for-robotics-research/) (HER) introduced the idea of accelerating learning with sparse rewards, by taking trajectories where you fail to achieve the goal (and so get no reward, and thus no learning signal) and replacing the actual goal with an "imagined" goal chosen in hindsight such that you actually achieved that goal, which means you get reward and can learn. This requires that you have a space of goals such that for any trajectory, you can come up with a goal such that the trajectory achieves that goal. In practice, this means that you are limited to tasks where the goals are of the form "reach this goal state". However, if your goal state is an image, it is very hard to learn how to act in order to reach any possible image goal state (even if you restrict to realistic ones), since the space is so large and unstructured. The authors propose to first learn a structured latent representation of the space of images using a variational autoencoder (VAE), and then use that structured latent space as the space of goals which can be achieved. They also use Q-learning instead of DDPG (which is what HER used), so that they can imagine any goal with a minibatch (s, a, s') and learn from it (whereas HER/DDPG is limited to states on the trajectory).</v>
      </c>
      <c r="K1724" t="str">
        <f>IFERROR(__xludf.DUMMYFUNCTION("""COMPUTED_VALUE"""),"This is a cool example of a relatively simple yet powerful idea -- instead of having a goal space over all states, learn a good latent representation and use that as your goal space. This enables unsupervised learning in order to figure out how to use a r"&amp;"obot to generally affect the world, probably similarly to how babies explore and learn.")</f>
        <v>This is a cool example of a relatively simple yet powerful idea -- instead of having a goal space over all states, learn a good latent representation and use that as your goal space. This enables unsupervised learning in order to figure out how to use a robot to generally affect the world, probably similarly to how babies explore and learn.</v>
      </c>
    </row>
    <row r="1725">
      <c r="A1725" t="str">
        <f>IFERROR(__xludf.DUMMYFUNCTION("""COMPUTED_VALUE"""),"Reinforcement learning")</f>
        <v>Reinforcement learning</v>
      </c>
      <c r="B1725" t="str">
        <f>IFERROR(__xludf.DUMMYFUNCTION("""COMPUTED_VALUE"""),"")</f>
        <v/>
      </c>
      <c r="C1725" s="3" t="str">
        <f>IFERROR(__xludf.DUMMYFUNCTION("""COMPUTED_VALUE"""),"OpenAI Five Benchmark")</f>
        <v>OpenAI Five Benchmark</v>
      </c>
      <c r="E1725" t="str">
        <f>IFERROR(__xludf.DUMMYFUNCTION("""COMPUTED_VALUE"""),"OpenAI Blog")</f>
        <v>OpenAI Blog</v>
      </c>
      <c r="F1725">
        <f>IFERROR(__xludf.DUMMYFUNCTION("""COMPUTED_VALUE"""),2018.0)</f>
        <v>2018</v>
      </c>
      <c r="H1725" s="3" t="str">
        <f>IFERROR(__xludf.DUMMYFUNCTION("""COMPUTED_VALUE"""),"AN #16")</f>
        <v>AN #16</v>
      </c>
      <c r="I1725" t="str">
        <f>IFERROR(__xludf.DUMMYFUNCTION("""COMPUTED_VALUE"""),"Rohin")</f>
        <v>Rohin</v>
      </c>
      <c r="J1725" t="str">
        <f>IFERROR(__xludf.DUMMYFUNCTION("""COMPUTED_VALUE"""),"The benchmark match for OpenAI Five will be a best-of-three match on August 5 at 2pm. They have already removed many of the restrictions on gameplay, including the two most important ones (wards and Roshan), as well as widening the pool of heroes to choos"&amp;"e from 5 to 18.")</f>
        <v>The benchmark match for OpenAI Five will be a best-of-three match on August 5 at 2pm. They have already removed many of the restrictions on gameplay, including the two most important ones (wards and Roshan), as well as widening the pool of heroes to choose from 5 to 18.</v>
      </c>
      <c r="K1725" t="str">
        <f>IFERROR(__xludf.DUMMYFUNCTION("""COMPUTED_VALUE"""),"I wonder if they are planning to play a game where both sides draft heroes, or where both sides get a randomly chosen team of 5 heroes. Previously I would have expected that they were choosing randomly, since it seems very difficult to learn solely from e"&amp;"xperience whether your team choice works well, given that the number of possible drafts is combinatorially large, and the way that the draft affects outcome is very complicated and long term and so hard to capture in a gradient. Now, I'm pretty uncertain "&amp;"-- if deep RL was enough to get this far, it could be good enough to deal with that as well. And it's possible that you can actually do well at drafting with some relatively simple heuristics -- I don't know Dota well enough to say.")</f>
        <v>I wonder if they are planning to play a game where both sides draft heroes, or where both sides get a randomly chosen team of 5 heroes. Previously I would have expected that they were choosing randomly, since it seems very difficult to learn solely from experience whether your team choice works well, given that the number of possible drafts is combinatorially large, and the way that the draft affects outcome is very complicated and long term and so hard to capture in a gradient. Now, I'm pretty uncertain -- if deep RL was enough to get this far, it could be good enough to deal with that as well. And it's possible that you can actually do well at drafting with some relatively simple heuristics -- I don't know Dota well enough to say.</v>
      </c>
    </row>
    <row r="1726">
      <c r="A1726" t="str">
        <f>IFERROR(__xludf.DUMMYFUNCTION("""COMPUTED_VALUE"""),"Reinforcement learning")</f>
        <v>Reinforcement learning</v>
      </c>
      <c r="B1726" t="str">
        <f>IFERROR(__xludf.DUMMYFUNCTION("""COMPUTED_VALUE"""),"")</f>
        <v/>
      </c>
      <c r="C1726" s="3" t="str">
        <f>IFERROR(__xludf.DUMMYFUNCTION("""COMPUTED_VALUE"""),"The Bottleneck Simulator: A Model-based Deep Reinforcement Learning Approach")</f>
        <v>The Bottleneck Simulator: A Model-based Deep Reinforcement Learning Approach</v>
      </c>
      <c r="D1726" t="str">
        <f>IFERROR(__xludf.DUMMYFUNCTION("""COMPUTED_VALUE"""),"Iulian Vlad Serban, Chinnadhurai Sankar, Michael Pieper, Joelle Pineau, Yoshua Bengio")</f>
        <v>Iulian Vlad Serban, Chinnadhurai Sankar, Michael Pieper, Joelle Pineau, Yoshua Bengio</v>
      </c>
      <c r="E1726" t="str">
        <f>IFERROR(__xludf.DUMMYFUNCTION("""COMPUTED_VALUE"""),"arXiv")</f>
        <v>arXiv</v>
      </c>
      <c r="F1726">
        <f>IFERROR(__xludf.DUMMYFUNCTION("""COMPUTED_VALUE"""),2018.0)</f>
        <v>2018</v>
      </c>
      <c r="H1726" s="3" t="str">
        <f>IFERROR(__xludf.DUMMYFUNCTION("""COMPUTED_VALUE"""),"AN #16")</f>
        <v>AN #16</v>
      </c>
    </row>
    <row r="1727">
      <c r="A1727" t="str">
        <f>IFERROR(__xludf.DUMMYFUNCTION("""COMPUTED_VALUE"""),"Reinforcement learning")</f>
        <v>Reinforcement learning</v>
      </c>
      <c r="B1727" t="str">
        <f>IFERROR(__xludf.DUMMYFUNCTION("""COMPUTED_VALUE"""),"")</f>
        <v/>
      </c>
      <c r="C1727" s="3" t="str">
        <f>IFERROR(__xludf.DUMMYFUNCTION("""COMPUTED_VALUE"""),"Decision Transformer: Reinforcement Learning via Sequence Modeling")</f>
        <v>Decision Transformer: Reinforcement Learning via Sequence Modeling</v>
      </c>
      <c r="D1727" t="str">
        <f>IFERROR(__xludf.DUMMYFUNCTION("""COMPUTED_VALUE"""),"Lili Chen, Kevin Lu, Aravind Rajeswaran, Kimin Lee, Aditya Grover, Michael Laskin, Pieter Abbeel, Aravind Srinivas, Igor Mordatch")</f>
        <v>Lili Chen, Kevin Lu, Aravind Rajeswaran, Kimin Lee, Aditya Grover, Michael Laskin, Pieter Abbeel, Aravind Srinivas, Igor Mordatch</v>
      </c>
      <c r="E1727" t="str">
        <f>IFERROR(__xludf.DUMMYFUNCTION("""COMPUTED_VALUE"""),"arXiv")</f>
        <v>arXiv</v>
      </c>
      <c r="F1727">
        <f>IFERROR(__xludf.DUMMYFUNCTION("""COMPUTED_VALUE"""),2021.0)</f>
        <v>2021</v>
      </c>
      <c r="H1727" s="3" t="str">
        <f>IFERROR(__xludf.DUMMYFUNCTION("""COMPUTED_VALUE"""),"AN #153")</f>
        <v>AN #153</v>
      </c>
      <c r="I1727" t="str">
        <f>IFERROR(__xludf.DUMMYFUNCTION("""COMPUTED_VALUE"""),"Zach")</f>
        <v>Zach</v>
      </c>
      <c r="J1727" t="str">
        <f>IFERROR(__xludf.DUMMYFUNCTION("""COMPUTED_VALUE"""),"In this paper, the authors abstract reinforcement learning (RL) as a sequence modeling problem. The authors are inspired by the rise of powerful sequence models (i.e transformers) in natural language processing. Specifically, they hypothesize that when mo"&amp;"dels are trained to predict the expected reward-to-go alongside state and action sequences, the transformer architecture can be used to do RL.
As an example, consider finding the shortest path between two vertices on a graph. We could start by recording "&amp;"random walks with their expected returns. Once we have enough data, we could condition on paths such that the expected return-to-go (length remaining) is low. This would effectively return shortest paths without the explicit need for optimization.
This f"&amp;"ramework works well in practice and is competitive with state-of-the-art model-free offline RL baselines on Atari and OpenAI gym. The authors also carry out ablation studies to determine if the sequence modeler is just doing imitation learning on a subset"&amp;" of the data with high returns. This turns out not to be the case, indicating that the approach effectively uses the entire dataset.")</f>
        <v>In this paper, the authors abstract reinforcement learning (RL) as a sequence modeling problem. The authors are inspired by the rise of powerful sequence models (i.e transformers) in natural language processing. Specifically, they hypothesize that when models are trained to predict the expected reward-to-go alongside state and action sequences, the transformer architecture can be used to do RL.
As an example, consider finding the shortest path between two vertices on a graph. We could start by recording random walks with their expected returns. Once we have enough data, we could condition on paths such that the expected return-to-go (length remaining) is low. This would effectively return shortest paths without the explicit need for optimization.
This framework works well in practice and is competitive with state-of-the-art model-free offline RL baselines on Atari and OpenAI gym. The authors also carry out ablation studies to determine if the sequence modeler is just doing imitation learning on a subset of the data with high returns. This turns out not to be the case, indicating that the approach effectively uses the entire dataset.</v>
      </c>
      <c r="K1727" t="str">
        <f>IFERROR(__xludf.DUMMYFUNCTION("""COMPUTED_VALUE"""),"It's worth highlighting that this can be seen as an extension to [Upside-Down RL](http://arxiv.org/abs/1912.02877) ([AN #83](https://mailchi.mp/ff565f097630/an-83-sample-efficient-deep-learning-with-remixmatch)). In that report, the goal is also to produc"&amp;"e actions consistent with the desired reward. This paper extends that line of work by using transformers to expand context beyond the immediate state which aids in long-term credit assignment. The authors claim this helps via self-attention, but it seems "&amp;"much more likely that this effect comes from using the return-to-go as in Upside-Down RL.")</f>
        <v>It's worth highlighting that this can be seen as an extension to [Upside-Down RL](http://arxiv.org/abs/1912.02877) ([AN #83](https://mailchi.mp/ff565f097630/an-83-sample-efficient-deep-learning-with-remixmatch)). In that report, the goal is also to produce actions consistent with the desired reward. This paper extends that line of work by using transformers to expand context beyond the immediate state which aids in long-term credit assignment. The authors claim this helps via self-attention, but it seems much more likely that this effect comes from using the return-to-go as in Upside-Down RL.</v>
      </c>
    </row>
    <row r="1728">
      <c r="A1728" t="str">
        <f>IFERROR(__xludf.DUMMYFUNCTION("""COMPUTED_VALUE"""),"Reinforcement learning")</f>
        <v>Reinforcement learning</v>
      </c>
      <c r="B1728" t="str">
        <f>IFERROR(__xludf.DUMMYFUNCTION("""COMPUTED_VALUE"""),"")</f>
        <v/>
      </c>
      <c r="C1728" s="3" t="str">
        <f>IFERROR(__xludf.DUMMYFUNCTION("""COMPUTED_VALUE"""),"Reinforcement Learning as One Big Sequence Modeling Problem")</f>
        <v>Reinforcement Learning as One Big Sequence Modeling Problem</v>
      </c>
      <c r="D1728" t="str">
        <f>IFERROR(__xludf.DUMMYFUNCTION("""COMPUTED_VALUE"""),"Michael Janner, Qiyang Li, Sergey Levine")</f>
        <v>Michael Janner, Qiyang Li, Sergey Levine</v>
      </c>
      <c r="E1728" t="str">
        <f>IFERROR(__xludf.DUMMYFUNCTION("""COMPUTED_VALUE"""),"arXiv")</f>
        <v>arXiv</v>
      </c>
      <c r="F1728">
        <f>IFERROR(__xludf.DUMMYFUNCTION("""COMPUTED_VALUE"""),2021.0)</f>
        <v>2021</v>
      </c>
      <c r="H1728" s="3" t="str">
        <f>IFERROR(__xludf.DUMMYFUNCTION("""COMPUTED_VALUE"""),"AN #153")</f>
        <v>AN #153</v>
      </c>
      <c r="I1728" t="str">
        <f>IFERROR(__xludf.DUMMYFUNCTION("""COMPUTED_VALUE"""),"Zach")</f>
        <v>Zach</v>
      </c>
      <c r="J1728" t="str">
        <f>IFERROR(__xludf.DUMMYFUNCTION("""COMPUTED_VALUE"""),"Typically, RL is concerned with estimating policies that utilize immediate state information to produce high returns. However, we can also view RL as concerned with predicting sequences of actions that lead to high returns. From this perspective, it's nat"&amp;"ural to wonder if sequence modelers that work well in other domains, such as transformers in NLP, would work well for RL. This paper tests this hypothesis and demonstrates the utility of transformers in RL for a variety of problem settings.
As with the l"&amp;"ast paper, the authors train the model to predict the reward-to-go. In place of trajectory optimizers, the authors make use of beam search as a planning algorithm. To do RL, rather than maximize the log-probability of potential sequences, the authors repl"&amp;"ace the log-probability search heuristic with the reward-to-go. In experiments, transformers that maintain the log-probability can imitate expert policies to high fidelity. Visually, the resulting policies are indistinguishable from that of the expert.
T"&amp;"he authors also show that their method is competitive on the standard OpenAI gym benchmarks. Finally, the authors look at the attention patterns of the trained models. They identify two patterns: the first links variables in a strictly Markovian fashion a"&amp;"nd the other links dimensions of the state-action variables across time. Interestingly, action variables are more strongly coupled to past actions than past state variables. This suggests a connection to action-smoothing proposed previously for deep-dynam"&amp;"ics models.")</f>
        <v>Typically, RL is concerned with estimating policies that utilize immediate state information to produce high returns. However, we can also view RL as concerned with predicting sequences of actions that lead to high returns. From this perspective, it's natural to wonder if sequence modelers that work well in other domains, such as transformers in NLP, would work well for RL. This paper tests this hypothesis and demonstrates the utility of transformers in RL for a variety of problem settings.
As with the last paper, the authors train the model to predict the reward-to-go. In place of trajectory optimizers, the authors make use of beam search as a planning algorithm. To do RL, rather than maximize the log-probability of potential sequences, the authors replace the log-probability search heuristic with the reward-to-go. In experiments, transformers that maintain the log-probability can imitate expert policies to high fidelity. Visually, the resulting policies are indistinguishable from that of the expert.
The authors also show that their method is competitive on the standard OpenAI gym benchmarks. Finally, the authors look at the attention patterns of the trained models. They identify two patterns: the first links variables in a strictly Markovian fashion and the other links dimensions of the state-action variables across time. Interestingly, action variables are more strongly coupled to past actions than past state variables. This suggests a connection to action-smoothing proposed previously for deep-dynamics models.</v>
      </c>
      <c r="K1728" t="str">
        <f>IFERROR(__xludf.DUMMYFUNCTION("""COMPUTED_VALUE"""),"It's fun to note that this paper came out of the same lab as Decision Transformer (the paper summarized above) only a day after. In contrast to Decision Transformer, this paper focuses more on the finer technical details of transformers by utilizing beam-"&amp;"search and studying the attentional patterns of the resulting models. The figures in this paper are informative. I feel I did learn something about *why* transformers seem to work in this domain. While the idea of goal-conditioned RL itself isn't novel, s"&amp;"howing that 'off-the-shelf' transformers can do well in this domain is impressive.")</f>
        <v>It's fun to note that this paper came out of the same lab as Decision Transformer (the paper summarized above) only a day after. In contrast to Decision Transformer, this paper focuses more on the finer technical details of transformers by utilizing beam-search and studying the attentional patterns of the resulting models. The figures in this paper are informative. I feel I did learn something about *why* transformers seem to work in this domain. While the idea of goal-conditioned RL itself isn't novel, showing that 'off-the-shelf' transformers can do well in this domain is impressive.</v>
      </c>
    </row>
    <row r="1729">
      <c r="A1729" t="str">
        <f>IFERROR(__xludf.DUMMYFUNCTION("""COMPUTED_VALUE"""),"Reinforcement learning")</f>
        <v>Reinforcement learning</v>
      </c>
      <c r="B1729" t="str">
        <f>IFERROR(__xludf.DUMMYFUNCTION("""COMPUTED_VALUE"""),"")</f>
        <v/>
      </c>
      <c r="C1729" s="3" t="str">
        <f>IFERROR(__xludf.DUMMYFUNCTION("""COMPUTED_VALUE"""),"The Pursuit of (Robotic) Happiness: How TRPO and PPO Stabilize Policy Gradient Methods")</f>
        <v>The Pursuit of (Robotic) Happiness: How TRPO and PPO Stabilize Policy Gradient Methods</v>
      </c>
      <c r="D1729" t="str">
        <f>IFERROR(__xludf.DUMMYFUNCTION("""COMPUTED_VALUE"""),"Cody Marie Wild")</f>
        <v>Cody Marie Wild</v>
      </c>
      <c r="E1729" t="str">
        <f>IFERROR(__xludf.DUMMYFUNCTION("""COMPUTED_VALUE"""),"Towards Data Science")</f>
        <v>Towards Data Science</v>
      </c>
      <c r="F1729">
        <f>IFERROR(__xludf.DUMMYFUNCTION("""COMPUTED_VALUE"""),2018.0)</f>
        <v>2018</v>
      </c>
      <c r="H1729" s="3" t="str">
        <f>IFERROR(__xludf.DUMMYFUNCTION("""COMPUTED_VALUE"""),"AN #15")</f>
        <v>AN #15</v>
      </c>
      <c r="I1729" t="str">
        <f>IFERROR(__xludf.DUMMYFUNCTION("""COMPUTED_VALUE"""),"Rohin")</f>
        <v>Rohin</v>
      </c>
      <c r="J1729" t="str">
        <f>IFERROR(__xludf.DUMMYFUNCTION("""COMPUTED_VALUE"""),"I barely looked at this -- I think it's an introduction to policy gradient methods for reinforcement learning. It assumes very little background (less than I assume in these summaries).")</f>
        <v>I barely looked at this -- I think it's an introduction to policy gradient methods for reinforcement learning. It assumes very little background (less than I assume in these summaries).</v>
      </c>
    </row>
    <row r="1730">
      <c r="A1730" t="str">
        <f>IFERROR(__xludf.DUMMYFUNCTION("""COMPUTED_VALUE"""),"Reinforcement learning")</f>
        <v>Reinforcement learning</v>
      </c>
      <c r="B1730" t="str">
        <f>IFERROR(__xludf.DUMMYFUNCTION("""COMPUTED_VALUE"""),"")</f>
        <v/>
      </c>
      <c r="C1730" s="3" t="str">
        <f>IFERROR(__xludf.DUMMYFUNCTION("""COMPUTED_VALUE"""),"Counterfactual Multi-Agent Policy Gradients")</f>
        <v>Counterfactual Multi-Agent Policy Gradients</v>
      </c>
      <c r="D1730" t="str">
        <f>IFERROR(__xludf.DUMMYFUNCTION("""COMPUTED_VALUE"""),"Jakob Foerster, Gregory Farquhar, Triantafyllos Afouras, Nantas Nardelli, Shimon Whiteson")</f>
        <v>Jakob Foerster, Gregory Farquhar, Triantafyllos Afouras, Nantas Nardelli, Shimon Whiteson</v>
      </c>
      <c r="E1730" t="str">
        <f>IFERROR(__xludf.DUMMYFUNCTION("""COMPUTED_VALUE"""),"Thirty-Second AAAI Conference on Artificial Intelligence")</f>
        <v>Thirty-Second AAAI Conference on Artificial Intelligence</v>
      </c>
      <c r="F1730">
        <f>IFERROR(__xludf.DUMMYFUNCTION("""COMPUTED_VALUE"""),2018.0)</f>
        <v>2018</v>
      </c>
      <c r="H1730" s="3" t="str">
        <f>IFERROR(__xludf.DUMMYFUNCTION("""COMPUTED_VALUE"""),"AN #15")</f>
        <v>AN #15</v>
      </c>
    </row>
    <row r="1731">
      <c r="A1731" t="str">
        <f>IFERROR(__xludf.DUMMYFUNCTION("""COMPUTED_VALUE"""),"Reinforcement learning")</f>
        <v>Reinforcement learning</v>
      </c>
      <c r="B1731" t="str">
        <f>IFERROR(__xludf.DUMMYFUNCTION("""COMPUTED_VALUE"""),"")</f>
        <v/>
      </c>
      <c r="C1731" s="3" t="str">
        <f>IFERROR(__xludf.DUMMYFUNCTION("""COMPUTED_VALUE"""),"The Uncertainty Bellman Equation and Exploration")</f>
        <v>The Uncertainty Bellman Equation and Exploration</v>
      </c>
      <c r="D1731" t="str">
        <f>IFERROR(__xludf.DUMMYFUNCTION("""COMPUTED_VALUE"""),"Brendan O'Donoghue, Ian Osband, Remi Munos, Volodymyr Mnih")</f>
        <v>Brendan O'Donoghue, Ian Osband, Remi Munos, Volodymyr Mnih</v>
      </c>
      <c r="E1731" t="str">
        <f>IFERROR(__xludf.DUMMYFUNCTION("""COMPUTED_VALUE"""),"ICML 2018")</f>
        <v>ICML 2018</v>
      </c>
      <c r="F1731">
        <f>IFERROR(__xludf.DUMMYFUNCTION("""COMPUTED_VALUE"""),2018.0)</f>
        <v>2018</v>
      </c>
      <c r="H1731" s="3" t="str">
        <f>IFERROR(__xludf.DUMMYFUNCTION("""COMPUTED_VALUE"""),"AN #15")</f>
        <v>AN #15</v>
      </c>
    </row>
    <row r="1732">
      <c r="A1732" t="str">
        <f>IFERROR(__xludf.DUMMYFUNCTION("""COMPUTED_VALUE"""),"Reinforcement learning")</f>
        <v>Reinforcement learning</v>
      </c>
      <c r="B1732" t="str">
        <f>IFERROR(__xludf.DUMMYFUNCTION("""COMPUTED_VALUE"""),"")</f>
        <v/>
      </c>
      <c r="C1732" s="3" t="str">
        <f>IFERROR(__xludf.DUMMYFUNCTION("""COMPUTED_VALUE"""),"Procedural Level Generation Improves Generality of Deep Reinforcement Learning")</f>
        <v>Procedural Level Generation Improves Generality of Deep Reinforcement Learning</v>
      </c>
      <c r="D1732" t="str">
        <f>IFERROR(__xludf.DUMMYFUNCTION("""COMPUTED_VALUE"""),"Niels Justesen, Ruben Rodriguez Torrado, Philip Bontrager, Ahmed Khalifa, Julian Togelius, Sebastian Risi")</f>
        <v>Niels Justesen, Ruben Rodriguez Torrado, Philip Bontrager, Ahmed Khalifa, Julian Togelius, Sebastian Risi</v>
      </c>
      <c r="E1732" t="str">
        <f>IFERROR(__xludf.DUMMYFUNCTION("""COMPUTED_VALUE"""),"arXiv")</f>
        <v>arXiv</v>
      </c>
      <c r="F1732">
        <f>IFERROR(__xludf.DUMMYFUNCTION("""COMPUTED_VALUE"""),2018.0)</f>
        <v>2018</v>
      </c>
      <c r="H1732" s="3" t="str">
        <f>IFERROR(__xludf.DUMMYFUNCTION("""COMPUTED_VALUE"""),"AN #14")</f>
        <v>AN #14</v>
      </c>
    </row>
    <row r="1733">
      <c r="A1733" t="str">
        <f>IFERROR(__xludf.DUMMYFUNCTION("""COMPUTED_VALUE"""),"Reinforcement learning")</f>
        <v>Reinforcement learning</v>
      </c>
      <c r="B1733" t="str">
        <f>IFERROR(__xludf.DUMMYFUNCTION("""COMPUTED_VALUE"""),"")</f>
        <v/>
      </c>
      <c r="C1733" s="3" t="str">
        <f>IFERROR(__xludf.DUMMYFUNCTION("""COMPUTED_VALUE"""),"Ranked Reward: Enabling Self-Play Reinforcement Learning for Combinatorial Optimization")</f>
        <v>Ranked Reward: Enabling Self-Play Reinforcement Learning for Combinatorial Optimization</v>
      </c>
      <c r="D1733" t="str">
        <f>IFERROR(__xludf.DUMMYFUNCTION("""COMPUTED_VALUE"""),"Alexandre Laterre, Yunguan Fu, Mohamed Khalil Jabri, Alain-Sam Cohen, David Kas, Karl Hajjar, Torbjorn S. Dahl, Amine Kerkeni, Karim Beguir")</f>
        <v>Alexandre Laterre, Yunguan Fu, Mohamed Khalil Jabri, Alain-Sam Cohen, David Kas, Karl Hajjar, Torbjorn S. Dahl, Amine Kerkeni, Karim Beguir</v>
      </c>
      <c r="E1733" t="str">
        <f>IFERROR(__xludf.DUMMYFUNCTION("""COMPUTED_VALUE"""),"arXiv")</f>
        <v>arXiv</v>
      </c>
      <c r="F1733">
        <f>IFERROR(__xludf.DUMMYFUNCTION("""COMPUTED_VALUE"""),2018.0)</f>
        <v>2018</v>
      </c>
      <c r="H1733" s="3" t="str">
        <f>IFERROR(__xludf.DUMMYFUNCTION("""COMPUTED_VALUE"""),"AN #14")</f>
        <v>AN #14</v>
      </c>
    </row>
    <row r="1734">
      <c r="A1734" t="str">
        <f>IFERROR(__xludf.DUMMYFUNCTION("""COMPUTED_VALUE"""),"Reinforcement learning")</f>
        <v>Reinforcement learning</v>
      </c>
      <c r="B1734" t="str">
        <f>IFERROR(__xludf.DUMMYFUNCTION("""COMPUTED_VALUE"""),"")</f>
        <v/>
      </c>
      <c r="C1734" s="3" t="str">
        <f>IFERROR(__xludf.DUMMYFUNCTION("""COMPUTED_VALUE"""),"Retro Contest: Results")</f>
        <v>Retro Contest: Results</v>
      </c>
      <c r="D1734" t="str">
        <f>IFERROR(__xludf.DUMMYFUNCTION("""COMPUTED_VALUE"""),"John Schulman, Vicki Pfau, Alex Nichol, Christopher Hesse, Oleg Klimov and Larissa Schiavo")</f>
        <v>John Schulman, Vicki Pfau, Alex Nichol, Christopher Hesse, Oleg Klimov and Larissa Schiavo</v>
      </c>
      <c r="E1734" t="str">
        <f>IFERROR(__xludf.DUMMYFUNCTION("""COMPUTED_VALUE"""),"OpenAI Blog")</f>
        <v>OpenAI Blog</v>
      </c>
      <c r="F1734">
        <f>IFERROR(__xludf.DUMMYFUNCTION("""COMPUTED_VALUE"""),2018.0)</f>
        <v>2018</v>
      </c>
      <c r="H1734" s="3" t="str">
        <f>IFERROR(__xludf.DUMMYFUNCTION("""COMPUTED_VALUE"""),"AN #13")</f>
        <v>AN #13</v>
      </c>
      <c r="I1734" t="str">
        <f>IFERROR(__xludf.DUMMYFUNCTION("""COMPUTED_VALUE"""),"Rohin")</f>
        <v>Rohin</v>
      </c>
      <c r="J1734" t="str">
        <f>IFERROR(__xludf.DUMMYFUNCTION("""COMPUTED_VALUE"""),"OpenAI has announced the results of the [Retro Contest](https://blog.openai.com/retro-contest/). The winning submissions were modified versions of existing algorithms like joint PPO and Rainbow, without any Sonic-specific parts.")</f>
        <v>OpenAI has announced the results of the [Retro Contest](https://blog.openai.com/retro-contest/). The winning submissions were modified versions of existing algorithms like joint PPO and Rainbow, without any Sonic-specific parts.</v>
      </c>
    </row>
    <row r="1735">
      <c r="A1735" t="str">
        <f>IFERROR(__xludf.DUMMYFUNCTION("""COMPUTED_VALUE"""),"Reinforcement learning")</f>
        <v>Reinforcement learning</v>
      </c>
      <c r="B1735" t="str">
        <f>IFERROR(__xludf.DUMMYFUNCTION("""COMPUTED_VALUE"""),"")</f>
        <v/>
      </c>
      <c r="C1735" s="3" t="str">
        <f>IFERROR(__xludf.DUMMYFUNCTION("""COMPUTED_VALUE"""),"A Tour of Reinforcement Learning: The View from Continuous Control")</f>
        <v>A Tour of Reinforcement Learning: The View from Continuous Control</v>
      </c>
      <c r="D1735" t="str">
        <f>IFERROR(__xludf.DUMMYFUNCTION("""COMPUTED_VALUE"""),"Benjamin Recht")</f>
        <v>Benjamin Recht</v>
      </c>
      <c r="E1735" t="str">
        <f>IFERROR(__xludf.DUMMYFUNCTION("""COMPUTED_VALUE"""),"Annual Review of Control, Robotics, and Autonomous Systems 2019")</f>
        <v>Annual Review of Control, Robotics, and Autonomous Systems 2019</v>
      </c>
      <c r="F1735">
        <f>IFERROR(__xludf.DUMMYFUNCTION("""COMPUTED_VALUE"""),2018.0)</f>
        <v>2018</v>
      </c>
      <c r="H1735" s="3" t="str">
        <f>IFERROR(__xludf.DUMMYFUNCTION("""COMPUTED_VALUE"""),"AN #13")</f>
        <v>AN #13</v>
      </c>
    </row>
    <row r="1736">
      <c r="A1736" t="str">
        <f>IFERROR(__xludf.DUMMYFUNCTION("""COMPUTED_VALUE"""),"Reinforcement learning")</f>
        <v>Reinforcement learning</v>
      </c>
      <c r="B1736" t="str">
        <f>IFERROR(__xludf.DUMMYFUNCTION("""COMPUTED_VALUE"""),"")</f>
        <v/>
      </c>
      <c r="C1736" s="3" t="str">
        <f>IFERROR(__xludf.DUMMYFUNCTION("""COMPUTED_VALUE"""),"Evolving simple programs for playing Atari games")</f>
        <v>Evolving simple programs for playing Atari games</v>
      </c>
      <c r="D1736" t="str">
        <f>IFERROR(__xludf.DUMMYFUNCTION("""COMPUTED_VALUE"""),"Dennis G Wilson, Sylvain Cussat-Blanc, Hervé Luga, Julian F Miller")</f>
        <v>Dennis G Wilson, Sylvain Cussat-Blanc, Hervé Luga, Julian F Miller</v>
      </c>
      <c r="E1736" t="str">
        <f>IFERROR(__xludf.DUMMYFUNCTION("""COMPUTED_VALUE"""),"arXiv")</f>
        <v>arXiv</v>
      </c>
      <c r="F1736">
        <f>IFERROR(__xludf.DUMMYFUNCTION("""COMPUTED_VALUE"""),2018.0)</f>
        <v>2018</v>
      </c>
      <c r="H1736" s="3" t="str">
        <f>IFERROR(__xludf.DUMMYFUNCTION("""COMPUTED_VALUE"""),"AN #13")</f>
        <v>AN #13</v>
      </c>
    </row>
    <row r="1737">
      <c r="A1737" t="str">
        <f>IFERROR(__xludf.DUMMYFUNCTION("""COMPUTED_VALUE"""),"Reinforcement learning")</f>
        <v>Reinforcement learning</v>
      </c>
      <c r="B1737" t="str">
        <f>IFERROR(__xludf.DUMMYFUNCTION("""COMPUTED_VALUE"""),"")</f>
        <v/>
      </c>
      <c r="C1737" s="3" t="str">
        <f>IFERROR(__xludf.DUMMYFUNCTION("""COMPUTED_VALUE"""),"DeepSpeed: Extreme-scale model training for everyone")</f>
        <v>DeepSpeed: Extreme-scale model training for everyone</v>
      </c>
      <c r="D1737" t="str">
        <f>IFERROR(__xludf.DUMMYFUNCTION("""COMPUTED_VALUE"""),"DeepSpeed Team, Rangan Majumder, Junhua Wang")</f>
        <v>DeepSpeed Team, Rangan Majumder, Junhua Wang</v>
      </c>
      <c r="E1737" t="str">
        <f>IFERROR(__xludf.DUMMYFUNCTION("""COMPUTED_VALUE"""),"Microsoft Research Blog")</f>
        <v>Microsoft Research Blog</v>
      </c>
      <c r="F1737">
        <f>IFERROR(__xludf.DUMMYFUNCTION("""COMPUTED_VALUE"""),2020.0)</f>
        <v>2020</v>
      </c>
      <c r="H1737" s="3" t="str">
        <f>IFERROR(__xludf.DUMMYFUNCTION("""COMPUTED_VALUE"""),"AN #125")</f>
        <v>AN #125</v>
      </c>
      <c r="I1737" t="str">
        <f>IFERROR(__xludf.DUMMYFUNCTION("""COMPUTED_VALUE"""),"Asya")</f>
        <v>Asya</v>
      </c>
      <c r="J1737" t="str">
        <f>IFERROR(__xludf.DUMMYFUNCTION("""COMPUTED_VALUE"""),"In this post, Microsoft announces updates to DeepSpeed, its open-source deep learning training optimization library. The new updates include:
 - '3D parallelism', a scheme for carefully optimizing how training runs are split across machines. Training run"&amp;"s that use 3D parallelism demonstrate linear scaling of GPU memory and compute efficiency, enabling the theoretical training of extremely large models of over a trillion parameters on as few as 800 NVIDIA V100 GPUs.
 - 'ZeRO-Offload', which allows CPU mem"&amp;"ory to be used during training runs, enabling running models of up to 13 billion parameters on a single NVIDIA V100 GPU.
 - 'DeepSpeed Sparse Attention', an instrumental technology that reduces the compute and memory requirements of attention computations"&amp;" used in models like Transformers. Compared to models that use densely computed attention, this enables models that pay attention to sequences that are 10x longer and can be trained up to 6.3x faster.
 - '1-bit Adam', a scheme for compressing the communic"&amp;"ation requirements between machines doing training runs that use the Adam gradient descent optimizer. 1-bit Adam enables up to 5x less communication and up to 3.5x faster training runs.")</f>
        <v>In this post, Microsoft announces updates to DeepSpeed, its open-source deep learning training optimization library. The new updates include:
 - '3D parallelism', a scheme for carefully optimizing how training runs are split across machines. Training runs that use 3D parallelism demonstrate linear scaling of GPU memory and compute efficiency, enabling the theoretical training of extremely large models of over a trillion parameters on as few as 800 NVIDIA V100 GPUs.
 - 'ZeRO-Offload', which allows CPU memory to be used during training runs, enabling running models of up to 13 billion parameters on a single NVIDIA V100 GPU.
 - 'DeepSpeed Sparse Attention', an instrumental technology that reduces the compute and memory requirements of attention computations used in models like Transformers. Compared to models that use densely computed attention, this enables models that pay attention to sequences that are 10x longer and can be trained up to 6.3x faster.
 - '1-bit Adam', a scheme for compressing the communication requirements between machines doing training runs that use the Adam gradient descent optimizer. 1-bit Adam enables up to 5x less communication and up to 3.5x faster training runs.</v>
      </c>
    </row>
    <row r="1738">
      <c r="A1738" t="str">
        <f>IFERROR(__xludf.DUMMYFUNCTION("""COMPUTED_VALUE"""),"Reinforcement learning")</f>
        <v>Reinforcement learning</v>
      </c>
      <c r="B1738" t="str">
        <f>IFERROR(__xludf.DUMMYFUNCTION("""COMPUTED_VALUE"""),"")</f>
        <v/>
      </c>
      <c r="C1738" s="3" t="str">
        <f>IFERROR(__xludf.DUMMYFUNCTION("""COMPUTED_VALUE"""),"Fast reinforcement learning through the composition of behaviours")</f>
        <v>Fast reinforcement learning through the composition of behaviours</v>
      </c>
      <c r="D1738" t="str">
        <f>IFERROR(__xludf.DUMMYFUNCTION("""COMPUTED_VALUE"""),"André Barreto, Shaobo Hou, Diana Borsa, David Silver, Doina Precup")</f>
        <v>André Barreto, Shaobo Hou, Diana Borsa, David Silver, Doina Precup</v>
      </c>
      <c r="E1738" t="str">
        <f>IFERROR(__xludf.DUMMYFUNCTION("""COMPUTED_VALUE"""),"DeepMind Blog")</f>
        <v>DeepMind Blog</v>
      </c>
      <c r="F1738">
        <f>IFERROR(__xludf.DUMMYFUNCTION("""COMPUTED_VALUE"""),2020.0)</f>
        <v>2020</v>
      </c>
      <c r="H1738" s="3" t="str">
        <f>IFERROR(__xludf.DUMMYFUNCTION("""COMPUTED_VALUE"""),"AN #125")</f>
        <v>AN #125</v>
      </c>
      <c r="I1738" t="str">
        <f>IFERROR(__xludf.DUMMYFUNCTION("""COMPUTED_VALUE"""),"Flo")</f>
        <v>Flo</v>
      </c>
      <c r="J1738" t="str">
        <f>IFERROR(__xludf.DUMMYFUNCTION("""COMPUTED_VALUE"""),"While model-based RL agents can easily adapt their policy to changed rewards on the same environment, planning is expensive and learning good models can be challenging for many tasks. On the other hand, it is challenging to get model-free agents to adapt "&amp;"their policy to a new reward without extensive retraining. An intermediate solution is to use so-called successor features: Instead of a value function **V(π,s)** representing the expected discounted reward for a policy **π** starting in state **s**, succ"&amp;"essor features are a vector-valued value function **ψ(π,s)** representing an expected discounted feature vector **ϕ**. If our reward equals **r = w ⋅ ϕ** for some weight vector **w**, we can easily obtain the original value function by taking the scalar p"&amp;"roduct of the successor features and the weight vector: **V(π,s) = w ⋅ ψ(π,s)**. Successor features thus allow us to evaluate a fixed policy **π** for all rewards that are linear in **ϕ**, which is called *generalized policy evaluation*.
Now that we can "&amp;"evaluate policies for different preferences, we would like to efficiently find a good policy for a given novel preference. Inspired by human learning that often combines previously learned skills, we employ *generalized policy improvement*. In vanilla pol"&amp;"icy improvement, we improve upon a policy **π** we can evaluate by choosing the action that maximizes the immediate reward plus the discounted value **V(π,s')** of following **π** starting in the next state **s'**. In generalized policy improvement, we ha"&amp;"ve multiple policies and choose the action that maximizes the reward plus the discounted value of following the best of these policies starting in the next state **s'**. To obtain a policy for the new preference, we ""stitch together"" all policies we lea"&amp;"rnt for previous preferences and the resulting policy performs at least as good as all of the old policies with respect to the new preference. As generalized policy improvement does not require any additional environment samples, it enables zero-shot tran"&amp;"sfer to new preferences. Empirically, even if the weight vector **w** has to be learnt from reward signals, generalized policy improvement is very sample efficient. Additional samples can then be used to further improve the policy using standard RL.")</f>
        <v>While model-based RL agents can easily adapt their policy to changed rewards on the same environment, planning is expensive and learning good models can be challenging for many tasks. On the other hand, it is challenging to get model-free agents to adapt their policy to a new reward without extensive retraining. An intermediate solution is to use so-called successor features: Instead of a value function **V(π,s)** representing the expected discounted reward for a policy **π** starting in state **s**, successor features are a vector-valued value function **ψ(π,s)** representing an expected discounted feature vector **ϕ**. If our reward equals **r = w ⋅ ϕ** for some weight vector **w**, we can easily obtain the original value function by taking the scalar product of the successor features and the weight vector: **V(π,s) = w ⋅ ψ(π,s)**. Successor features thus allow us to evaluate a fixed policy **π** for all rewards that are linear in **ϕ**, which is called *generalized policy evaluation*.
Now that we can evaluate policies for different preferences, we would like to efficiently find a good policy for a given novel preference. Inspired by human learning that often combines previously learned skills, we employ *generalized policy improvement*. In vanilla policy improvement, we improve upon a policy **π** we can evaluate by choosing the action that maximizes the immediate reward plus the discounted value **V(π,s')** of following **π** starting in the next state **s'**. In generalized policy improvement, we have multiple policies and choose the action that maximizes the reward plus the discounted value of following the best of these policies starting in the next state **s'**. To obtain a policy for the new preference, we "stitch together" all policies we learnt for previous preferences and the resulting policy performs at least as good as all of the old policies with respect to the new preference. As generalized policy improvement does not require any additional environment samples, it enables zero-shot transfer to new preferences. Empirically, even if the weight vector **w** has to be learnt from reward signals, generalized policy improvement is very sample efficient. Additional samples can then be used to further improve the policy using standard RL.</v>
      </c>
      <c r="K1738" t="str">
        <f>IFERROR(__xludf.DUMMYFUNCTION("""COMPUTED_VALUE"""),"I really like the idea of successor features. Similar to model-based systems, they allow us to evaluate policies for many different rewards, which can be useful for anticipating problematic behaviour before deploying a system. However, note that we still "&amp;"need to execute the policy we obtained by generalized policy improvement to evaluate it for different rewards: The only guarantees we have is that it is better than the previous policies for the reward for which the improvement step was carried out (and p"&amp;"otentially some weaker bounds based on the similarity of different rewards).")</f>
        <v>I really like the idea of successor features. Similar to model-based systems, they allow us to evaluate policies for many different rewards, which can be useful for anticipating problematic behaviour before deploying a system. However, note that we still need to execute the policy we obtained by generalized policy improvement to evaluate it for different rewards: The only guarantees we have is that it is better than the previous policies for the reward for which the improvement step was carried out (and potentially some weaker bounds based on the similarity of different rewards).</v>
      </c>
      <c r="M1738" s="3" t="str">
        <f>IFERROR(__xludf.DUMMYFUNCTION("""COMPUTED_VALUE"""),"Fast reinforcement learning with generalized policy updates")</f>
        <v>Fast reinforcement learning with generalized policy updates</v>
      </c>
    </row>
    <row r="1739">
      <c r="A1739" t="str">
        <f>IFERROR(__xludf.DUMMYFUNCTION("""COMPUTED_VALUE"""),"Reinforcement learning")</f>
        <v>Reinforcement learning</v>
      </c>
      <c r="B1739" t="str">
        <f>IFERROR(__xludf.DUMMYFUNCTION("""COMPUTED_VALUE"""),"")</f>
        <v/>
      </c>
      <c r="C1739" s="3" t="str">
        <f>IFERROR(__xludf.DUMMYFUNCTION("""COMPUTED_VALUE"""),"γ-Models: Generative Temporal Difference Learning for Infinite-Horizon Prediction")</f>
        <v>γ-Models: Generative Temporal Difference Learning for Infinite-Horizon Prediction</v>
      </c>
      <c r="D1739" t="str">
        <f>IFERROR(__xludf.DUMMYFUNCTION("""COMPUTED_VALUE"""),"Michael Janner, Igor Mordatch, Sergey Levine")</f>
        <v>Michael Janner, Igor Mordatch, Sergey Levine</v>
      </c>
      <c r="E1739" t="str">
        <f>IFERROR(__xludf.DUMMYFUNCTION("""COMPUTED_VALUE"""),"arXiv")</f>
        <v>arXiv</v>
      </c>
      <c r="F1739">
        <f>IFERROR(__xludf.DUMMYFUNCTION("""COMPUTED_VALUE"""),2020.0)</f>
        <v>2020</v>
      </c>
      <c r="H1739" s="3" t="str">
        <f>IFERROR(__xludf.DUMMYFUNCTION("""COMPUTED_VALUE"""),"AN #125")</f>
        <v>AN #125</v>
      </c>
      <c r="I1739" t="str">
        <f>IFERROR(__xludf.DUMMYFUNCTION("""COMPUTED_VALUE"""),"Flo")</f>
        <v>Flo</v>
      </c>
      <c r="J1739" t="str">
        <f>IFERROR(__xludf.DUMMYFUNCTION("""COMPUTED_VALUE"""),"Long planning horizons are often necessary for competitive performance of model-based agents, but single-step models get less and less accurate with longer planning horizons as errors accumulate. Model-free algorithms don't have this problem but are usual"&amp;"ly reward- and policy-specific, such that transfer to other tasks can be hard. The paper proposes policy-specific γ-models as an intermediate solution: instead of learning the distribution of the next state given a state-action pair **(s,a)**, or the fina"&amp;"l state of an n-step rollout given **(s,a)** and a policy **π**, it learns the distribution of a rollout with a stochastic, geometrically distributed length. Unlike for n-step models with n&gt;1, the distribution follows a Bellman-style decomposition into th"&amp;"e single-step distribution and the discounted distribution for the next state **s'**, which allows for off-policy training of the model by bootstrapping the target distribution. 
Now, if rewards are consequentialist in the sense that they only depend on "&amp;"the state, the expected reward under this distribution is equal to **1-γ** times the Q-value for  **π** of **(s,a)** such that we can use the model for policy evaluation given arbitrary consequentialist rewards. Similar to how single-step models (0-models"&amp;") can be rolled out to obtain (less accurate) multi-step models, sequential rollouts of a γ-model can be reweighed to obtain a γ-model with larger **γ**. While this introduces some error, it reduces the bootstrap error during training, which grows with **"&amp;"γ**. Being able to interpolate between rollouts of single-step models that accumulate error during testing and models with large **γ** that accumulate error during training allows us to find a sweet spot between the two extremes.  
In practice, single-st"&amp;"ep models are often used for model-based value expansion (MVE), where only **N** steps are rolled out and a value function is used for evaluating longer-term consequences. The authors' algorithm, γ-MVE instead uses **N** rollouts of the γ-model and adjust"&amp;"s the weighing of the value function accordingly. γ-MVE performs strongly both in terms of sample efficiency and final performance on a set of low-dimensional continuous control tasks.")</f>
        <v>Long planning horizons are often necessary for competitive performance of model-based agents, but single-step models get less and less accurate with longer planning horizons as errors accumulate. Model-free algorithms don't have this problem but are usually reward- and policy-specific, such that transfer to other tasks can be hard. The paper proposes policy-specific γ-models as an intermediate solution: instead of learning the distribution of the next state given a state-action pair **(s,a)**, or the final state of an n-step rollout given **(s,a)** and a policy **π**, it learns the distribution of a rollout with a stochastic, geometrically distributed length. Unlike for n-step models with n&gt;1, the distribution follows a Bellman-style decomposition into the single-step distribution and the discounted distribution for the next state **s'**, which allows for off-policy training of the model by bootstrapping the target distribution. 
Now, if rewards are consequentialist in the sense that they only depend on the state, the expected reward under this distribution is equal to **1-γ** times the Q-value for  **π** of **(s,a)** such that we can use the model for policy evaluation given arbitrary consequentialist rewards. Similar to how single-step models (0-models) can be rolled out to obtain (less accurate) multi-step models, sequential rollouts of a γ-model can be reweighed to obtain a γ-model with larger **γ**. While this introduces some error, it reduces the bootstrap error during training, which grows with **γ**. Being able to interpolate between rollouts of single-step models that accumulate error during testing and models with large **γ** that accumulate error during training allows us to find a sweet spot between the two extremes.  
In practice, single-step models are often used for model-based value expansion (MVE), where only **N** steps are rolled out and a value function is used for evaluating longer-term consequences. The authors' algorithm, γ-MVE instead uses **N** rollouts of the γ-model and adjusts the weighing of the value function accordingly. γ-MVE performs strongly both in terms of sample efficiency and final performance on a set of low-dimensional continuous control tasks.</v>
      </c>
      <c r="K1739" t="str">
        <f>IFERROR(__xludf.DUMMYFUNCTION("""COMPUTED_VALUE"""),"I am a bit surprised that this works so well, as both bootstrapping and learning generative models for distributions can be unstable and the method combines both. On the other hand, there is a long tradition of continuous interpolations between different "&amp;"RL algorithms and their performance at the sweet spot is often significantly stronger than at the extremes. ")</f>
        <v>I am a bit surprised that this works so well, as both bootstrapping and learning generative models for distributions can be unstable and the method combines both. On the other hand, there is a long tradition of continuous interpolations between different RL algorithms and their performance at the sweet spot is often significantly stronger than at the extremes. </v>
      </c>
    </row>
    <row r="1740">
      <c r="A1740" t="str">
        <f>IFERROR(__xludf.DUMMYFUNCTION("""COMPUTED_VALUE"""),"Reinforcement learning")</f>
        <v>Reinforcement learning</v>
      </c>
      <c r="B1740" t="str">
        <f>IFERROR(__xludf.DUMMYFUNCTION("""COMPUTED_VALUE"""),"")</f>
        <v/>
      </c>
      <c r="C1740" s="3" t="str">
        <f>IFERROR(__xludf.DUMMYFUNCTION("""COMPUTED_VALUE"""),"Does On-Policy Data Collection Fix Errors in Off-Policy Reinforcement Learning?")</f>
        <v>Does On-Policy Data Collection Fix Errors in Off-Policy Reinforcement Learning?</v>
      </c>
      <c r="D1740" t="str">
        <f>IFERROR(__xludf.DUMMYFUNCTION("""COMPUTED_VALUE"""),"Aviral Kumar, Abhishek Gupta, Sergey Levine")</f>
        <v>Aviral Kumar, Abhishek Gupta, Sergey Levine</v>
      </c>
      <c r="E1740" t="str">
        <f>IFERROR(__xludf.DUMMYFUNCTION("""COMPUTED_VALUE"""),"arXiv")</f>
        <v>arXiv</v>
      </c>
      <c r="F1740">
        <f>IFERROR(__xludf.DUMMYFUNCTION("""COMPUTED_VALUE"""),2020.0)</f>
        <v>2020</v>
      </c>
      <c r="H1740" s="3" t="str">
        <f>IFERROR(__xludf.DUMMYFUNCTION("""COMPUTED_VALUE"""),"AN #124")</f>
        <v>AN #124</v>
      </c>
      <c r="I1740" t="str">
        <f>IFERROR(__xludf.DUMMYFUNCTION("""COMPUTED_VALUE"""),"Flo")</f>
        <v>Flo</v>
      </c>
      <c r="J1740" t="str">
        <f>IFERROR(__xludf.DUMMYFUNCTION("""COMPUTED_VALUE"""),"Q-learning finds the optimal **Q**-function **Q*** by updating our estimate **Q(s,a)** for a state-action pair **(s,a)** to get closer to the immediate reward plus the discounted **Q**-value for the best action **a'** in the next state **s'**. To generate"&amp;" samples, we usually pick actions corresponding to high **Q**-values. In bandit problems where **s'** is always terminal and thus has all **Q**-values at zero, this leads to **corrective feedback**: If we overestimated an actions value, we will pick this "&amp;"action again soon and are quickly able to correct our misconception. In general MDPs, corrective feedback can be a lot weaker as our update of **Q(s,a)** also depends on the **Q**-values for the next state: To get corrective feedback, we need somewhat cor"&amp;"rect **Q**-values for the next state, but to get these we likely needed good values for the second to next state, etc. This is particularly problematic with function approximation as updating the current state's **Q**-value might lead to a worse estimate "&amp;"for values down the chain. Consequently, we might see convergence to suboptimal **Q**-functions, instable learning, or problems with sparse or noisy rewards.
To deal with this, we would like to first prioritize correct estimates for states near the end o"&amp;"f the chain. But in many branching problems, we actually observe these states with the least frequency such that their values are influenced disproportionally by other states' values when function approximation is used. The authors' approach, dubbed DisCo"&amp;"r, reweighs the data distribution to account for this: We would like to preferentially sample states for which we expect **Q** to be close to **Q*** after the update and thus give more weight to state-action pairs when we expect the error **|Q*-Q|** to al"&amp;"ready be small. As we don't know **Q***, we rely on a bound for the error at a state-action pair **(s,a)** equal to the sum of the magnitudes of previous updates down the chain plus the initial error, discounted by the usual discount rate **γ** as we move"&amp;" back in time. Thus, the error in the next state one step ago is discounted by **γ**, the error in the second to next state two steps ago is discounted by **γ** squared and the initial error is discounted by **γ** to the **k**. This bound can be approxima"&amp;"ted by a neural network using a SARSA-like update rule, for which the influence of the unknown initial error fades for large **k** due to the discounting.
DisCor is evaluated on MetaWorld tasks in both the single and multi-task setting and SAC augmented "&amp;"with DisCor clearly outperforms SAC in many settings. Similar improvements can be observed for DQN on Atari.")</f>
        <v>Q-learning finds the optimal **Q**-function **Q*** by updating our estimate **Q(s,a)** for a state-action pair **(s,a)** to get closer to the immediate reward plus the discounted **Q**-value for the best action **a'** in the next state **s'**. To generate samples, we usually pick actions corresponding to high **Q**-values. In bandit problems where **s'** is always terminal and thus has all **Q**-values at zero, this leads to **corrective feedback**: If we overestimated an actions value, we will pick this action again soon and are quickly able to correct our misconception. In general MDPs, corrective feedback can be a lot weaker as our update of **Q(s,a)** also depends on the **Q**-values for the next state: To get corrective feedback, we need somewhat correct **Q**-values for the next state, but to get these we likely needed good values for the second to next state, etc. This is particularly problematic with function approximation as updating the current state's **Q**-value might lead to a worse estimate for values down the chain. Consequently, we might see convergence to suboptimal **Q**-functions, instable learning, or problems with sparse or noisy rewards.
To deal with this, we would like to first prioritize correct estimates for states near the end of the chain. But in many branching problems, we actually observe these states with the least frequency such that their values are influenced disproportionally by other states' values when function approximation is used. The authors' approach, dubbed DisCor, reweighs the data distribution to account for this: We would like to preferentially sample states for which we expect **Q** to be close to **Q*** after the update and thus give more weight to state-action pairs when we expect the error **|Q*-Q|** to already be small. As we don't know **Q***, we rely on a bound for the error at a state-action pair **(s,a)** equal to the sum of the magnitudes of previous updates down the chain plus the initial error, discounted by the usual discount rate **γ** as we move back in time. Thus, the error in the next state one step ago is discounted by **γ**, the error in the second to next state two steps ago is discounted by **γ** squared and the initial error is discounted by **γ** to the **k**. This bound can be approximated by a neural network using a SARSA-like update rule, for which the influence of the unknown initial error fades for large **k** due to the discounting.
DisCor is evaluated on MetaWorld tasks in both the single and multi-task setting and SAC augmented with DisCor clearly outperforms SAC in many settings. Similar improvements can be observed for DQN on Atari.</v>
      </c>
      <c r="K1740" t="str">
        <f>IFERROR(__xludf.DUMMYFUNCTION("""COMPUTED_VALUE"""),"Putting less weight on updating values with fluctuating targets seems like a good idea. As the approach does not require much additional compute if weights are shared for the **Q**-network and the network estimating the bound, and as it seems quite orthog"&amp;"onal to previous improvements to methods based on **Q**-functions, I would not be surprised if it became somewhat widely used.")</f>
        <v>Putting less weight on updating values with fluctuating targets seems like a good idea. As the approach does not require much additional compute if weights are shared for the **Q**-network and the network estimating the bound, and as it seems quite orthogonal to previous improvements to methods based on **Q**-functions, I would not be surprised if it became somewhat widely used.</v>
      </c>
      <c r="M1740" s="3" t="str">
        <f>IFERROR(__xludf.DUMMYFUNCTION("""COMPUTED_VALUE"""),"Paper: DisCor: Corrective Feedback in Reinforcement Learning via Distribution Correction")</f>
        <v>Paper: DisCor: Corrective Feedback in Reinforcement Learning via Distribution Correction</v>
      </c>
    </row>
    <row r="1741">
      <c r="A1741" t="str">
        <f>IFERROR(__xludf.DUMMYFUNCTION("""COMPUTED_VALUE"""),"Reinforcement learning")</f>
        <v>Reinforcement learning</v>
      </c>
      <c r="B1741" t="str">
        <f>IFERROR(__xludf.DUMMYFUNCTION("""COMPUTED_VALUE"""),"")</f>
        <v/>
      </c>
      <c r="C1741" s="3" t="str">
        <f>IFERROR(__xludf.DUMMYFUNCTION("""COMPUTED_VALUE"""),"RUDDER: Return Decomposition for Delayed Rewards")</f>
        <v>RUDDER: Return Decomposition for Delayed Rewards</v>
      </c>
      <c r="D1741" t="str">
        <f>IFERROR(__xludf.DUMMYFUNCTION("""COMPUTED_VALUE"""),"Jose A. Arjona-Medina, Michael Gillhofer, Michael Widrich, Thomas Unterthiner, Johannes Brandstetter, Sepp Hochreiter")</f>
        <v>Jose A. Arjona-Medina, Michael Gillhofer, Michael Widrich, Thomas Unterthiner, Johannes Brandstetter, Sepp Hochreiter</v>
      </c>
      <c r="E1741" t="str">
        <f>IFERROR(__xludf.DUMMYFUNCTION("""COMPUTED_VALUE"""),"arXiv")</f>
        <v>arXiv</v>
      </c>
      <c r="F1741">
        <f>IFERROR(__xludf.DUMMYFUNCTION("""COMPUTED_VALUE"""),2018.0)</f>
        <v>2018</v>
      </c>
      <c r="H1741" s="3" t="str">
        <f>IFERROR(__xludf.DUMMYFUNCTION("""COMPUTED_VALUE"""),"AN #12")</f>
        <v>AN #12</v>
      </c>
    </row>
    <row r="1742">
      <c r="A1742" t="str">
        <f>IFERROR(__xludf.DUMMYFUNCTION("""COMPUTED_VALUE"""),"Reinforcement learning")</f>
        <v>Reinforcement learning</v>
      </c>
      <c r="B1742" t="str">
        <f>IFERROR(__xludf.DUMMYFUNCTION("""COMPUTED_VALUE"""),"")</f>
        <v/>
      </c>
      <c r="C1742" s="3" t="str">
        <f>IFERROR(__xludf.DUMMYFUNCTION("""COMPUTED_VALUE"""),"What Matters In On-Policy Reinforcement Learning? A Large-Scale Empirical Study")</f>
        <v>What Matters In On-Policy Reinforcement Learning? A Large-Scale Empirical Study</v>
      </c>
      <c r="D1742" t="str">
        <f>IFERROR(__xludf.DUMMYFUNCTION("""COMPUTED_VALUE"""),"Marcin Andrychowicz, Anton Raichuk, Piotr Stańczyk, Manu Orsini, Sertan Girgin, Raphael Marinier, Léonard Hussenot, Matthieu Geist, Olivier Pietquin, Marcin Michalski, Sylvain Gelly, Olivier Bachem")</f>
        <v>Marcin Andrychowicz, Anton Raichuk, Piotr Stańczyk, Manu Orsini, Sertan Girgin, Raphael Marinier, Léonard Hussenot, Matthieu Geist, Olivier Pietquin, Marcin Michalski, Sylvain Gelly, Olivier Bachem</v>
      </c>
      <c r="E1742" t="str">
        <f>IFERROR(__xludf.DUMMYFUNCTION("""COMPUTED_VALUE"""),"arXiv")</f>
        <v>arXiv</v>
      </c>
      <c r="F1742">
        <f>IFERROR(__xludf.DUMMYFUNCTION("""COMPUTED_VALUE"""),2020.0)</f>
        <v>2020</v>
      </c>
      <c r="H1742" s="3" t="str">
        <f>IFERROR(__xludf.DUMMYFUNCTION("""COMPUTED_VALUE"""),"AN #119")</f>
        <v>AN #119</v>
      </c>
      <c r="I1742" t="str">
        <f>IFERROR(__xludf.DUMMYFUNCTION("""COMPUTED_VALUE"""),"Sudhanshu")</f>
        <v>Sudhanshu</v>
      </c>
      <c r="J1742" t="str">
        <f>IFERROR(__xludf.DUMMYFUNCTION("""COMPUTED_VALUE"""),"In what is likely the largest study of on-policy reinforcement learning agents, this work unifies various algorithms into a collection of over 50 design choices, which the authors implement as tunable hyperparameters and systematically investigate how tho"&amp;"se parameters impact learning across five standard continuous control environments. Specifically, they choose subsets of these hyperparameters in eight experiment themes -- policy losses, network architectures, normalization and clipping, advantage estima"&amp;"tion, training setup, timestep handling, optimizers, and regularization. They train thousands of agents for various choices within each theme, for a total of over 250,000 agents.
They present nearly a hundred graphs summarizing their experiments for the "&amp;"reader to make their own conclusions. Their own recommendations include: using the PPO loss, using separate value and policy networks, initializing the last policy layer with x100 smaller weights, using tanh as activation functions, using observation norm"&amp;"alization, using generalized advantage estimation with \lambda = 0.9, tuning the number of transitions gathered in each training loop if possible, tuning the discount factor, using the Adam optimizer with a linearly decaying learning rate, among several o"&amp;"thers.")</f>
        <v>In what is likely the largest study of on-policy reinforcement learning agents, this work unifies various algorithms into a collection of over 50 design choices, which the authors implement as tunable hyperparameters and systematically investigate how those parameters impact learning across five standard continuous control environments. Specifically, they choose subsets of these hyperparameters in eight experiment themes -- policy losses, network architectures, normalization and clipping, advantage estimation, training setup, timestep handling, optimizers, and regularization. They train thousands of agents for various choices within each theme, for a total of over 250,000 agents.
They present nearly a hundred graphs summarizing their experiments for the reader to make their own conclusions. Their own recommendations include: using the PPO loss, using separate value and policy networks, initializing the last policy layer with x100 smaller weights, using tanh as activation functions, using observation normalization, using generalized advantage estimation with \lambda = 0.9, tuning the number of transitions gathered in each training loop if possible, tuning the discount factor, using the Adam optimizer with a linearly decaying learning rate, among several others.</v>
      </c>
      <c r="K1742" t="str">
        <f>IFERROR(__xludf.DUMMYFUNCTION("""COMPUTED_VALUE"""),"This is a paper worth a skim to glimpse at the complexity of today's RL research while noting how little we understand and can predict about the behaviour of our algorithms. A fun game to play here is to go through the graphs in Appendices D through K and"&amp;" arrive at one's own interpretations _before_ comparing them to the authors' in the main text. What was unsatisfying was that often there were contradictory results between environments, meaning there was no insight to be gleaned about what was happening:"&amp;" for instance, value function normalization always helps except in Walker2d where it significantly hurts performance. Such work raises more questions than it answers; perhaps it will motivate future research that fundamentally rethinks our environments an"&amp;"d algorithms.
A more mundane, but alignment-relevant observation is that seeing how difficult it is to tune an agent for a task in simulation, and how much hyperparameters may vary across tasks, is weak evidence against powerful sim-to-real transfer perf"&amp;"ormance arising out of the current paradigm of simulators/tasks and algorithms: agents will need to be trained in the real world, spawning associated risks which we may want to avoid.")</f>
        <v>This is a paper worth a skim to glimpse at the complexity of today's RL research while noting how little we understand and can predict about the behaviour of our algorithms. A fun game to play here is to go through the graphs in Appendices D through K and arrive at one's own interpretations _before_ comparing them to the authors' in the main text. What was unsatisfying was that often there were contradictory results between environments, meaning there was no insight to be gleaned about what was happening: for instance, value function normalization always helps except in Walker2d where it significantly hurts performance. Such work raises more questions than it answers; perhaps it will motivate future research that fundamentally rethinks our environments and algorithms.
A more mundane, but alignment-relevant observation is that seeing how difficult it is to tune an agent for a task in simulation, and how much hyperparameters may vary across tasks, is weak evidence against powerful sim-to-real transfer performance arising out of the current paradigm of simulators/tasks and algorithms: agents will need to be trained in the real world, spawning associated risks which we may want to avoid.</v>
      </c>
    </row>
    <row r="1743">
      <c r="A1743" t="str">
        <f>IFERROR(__xludf.DUMMYFUNCTION("""COMPUTED_VALUE"""),"Reinforcement learning")</f>
        <v>Reinforcement learning</v>
      </c>
      <c r="B1743" t="str">
        <f>IFERROR(__xludf.DUMMYFUNCTION("""COMPUTED_VALUE"""),"")</f>
        <v/>
      </c>
      <c r="C1743" s="3" t="str">
        <f>IFERROR(__xludf.DUMMYFUNCTION("""COMPUTED_VALUE"""),"Generalized Hindsight for Reinforcement Learning")</f>
        <v>Generalized Hindsight for Reinforcement Learning</v>
      </c>
      <c r="D1743" t="str">
        <f>IFERROR(__xludf.DUMMYFUNCTION("""COMPUTED_VALUE"""),"Alexander C. Li, Lerrel Pinto, Pieter Abbeel")</f>
        <v>Alexander C. Li, Lerrel Pinto, Pieter Abbeel</v>
      </c>
      <c r="E1743" t="str">
        <f>IFERROR(__xludf.DUMMYFUNCTION("""COMPUTED_VALUE"""),"arXiv")</f>
        <v>arXiv</v>
      </c>
      <c r="F1743">
        <f>IFERROR(__xludf.DUMMYFUNCTION("""COMPUTED_VALUE"""),2020.0)</f>
        <v>2020</v>
      </c>
      <c r="H1743" s="3" t="str">
        <f>IFERROR(__xludf.DUMMYFUNCTION("""COMPUTED_VALUE"""),"AN #117")</f>
        <v>AN #117</v>
      </c>
      <c r="I1743" t="str">
        <f>IFERROR(__xludf.DUMMYFUNCTION("""COMPUTED_VALUE"""),"Rohin")</f>
        <v>Rohin</v>
      </c>
      <c r="J1743" t="str">
        <f>IFERROR(__xludf.DUMMYFUNCTION("""COMPUTED_VALUE"""),"[Hindsight Experience Replay](https://arxiv.org/abs/1707.01495) (HER) introduced the idea of _relabeling_ trajectories in order to provide more learning signal for the algorithm. Intuitively, if you stumble upon the kitchen while searching for the bedroom"&amp;", you can’t learn much about the task of going to the bedroom, but you can learn a lot about the task of going to the kitchen. So even if the original task was to go to the bedroom, we can simply pretend that the trajectory got rewards as if the task was "&amp;"to go to the kitchen, and then update our kitchen-traversal policy using an off-policy algorithm.
HER was limited to goal-reaching tasks, in which a trajectory would be relabeled as attempting to reach the state at the end of the trajectory. What if we w"&amp;"ant to handle other kinds of goals? The key insight of this paper is that trajectory relabeling is effectively an inverse RL problem: we want to find the task or goal for which the given trajectory is (near-)optimal. This allows us to generalize hindsight"&amp;" to arbitrary spaces of reward functions.
This leads to a simple algorithm: given a set of N possible tasks, when we get a new trajectory, rank how well that trajectory does relative to past experience for each of the N possible tasks, and then relabel t"&amp;"hat trajectory with the task for which it is closest to optimal (relative to past experience). Experiments show that this is quite effective and can lead to significant gains in sample efficiency. They also experiment with other heuristics for relabeling "&amp;"trajectories, which are less accurate but more computationally efficient.")</f>
        <v>[Hindsight Experience Replay](https://arxiv.org/abs/1707.01495) (HER) introduced the idea of _relabeling_ trajectories in order to provide more learning signal for the algorithm. Intuitively, if you stumble upon the kitchen while searching for the bedroom, you can’t learn much about the task of going to the bedroom, but you can learn a lot about the task of going to the kitchen. So even if the original task was to go to the bedroom, we can simply pretend that the trajectory got rewards as if the task was to go to the kitchen, and then update our kitchen-traversal policy using an off-policy algorithm.
HER was limited to goal-reaching tasks, in which a trajectory would be relabeled as attempting to reach the state at the end of the trajectory. What if we want to handle other kinds of goals? The key insight of this paper is that trajectory relabeling is effectively an inverse RL problem: we want to find the task or goal for which the given trajectory is (near-)optimal. This allows us to generalize hindsight to arbitrary spaces of reward functions.
This leads to a simple algorithm: given a set of N possible tasks, when we get a new trajectory, rank how well that trajectory does relative to past experience for each of the N possible tasks, and then relabel that trajectory with the task for which it is closest to optimal (relative to past experience). Experiments show that this is quite effective and can lead to significant gains in sample efficiency. They also experiment with other heuristics for relabeling trajectories, which are less accurate but more computationally efficient.</v>
      </c>
      <c r="K1743" t="str">
        <f>IFERROR(__xludf.DUMMYFUNCTION("""COMPUTED_VALUE"""),"Getting a good learning signal can be a key challenge with RL. I’m somewhat surprised it took this long for HER to be generalized to arbitrary reward spaces -- it seems like a clear win that shouldn’t have taken too long to discover (though I didn’t think"&amp;" of it when I first read HER).")</f>
        <v>Getting a good learning signal can be a key challenge with RL. I’m somewhat surprised it took this long for HER to be generalized to arbitrary reward spaces -- it seems like a clear win that shouldn’t have taken too long to discover (though I didn’t think of it when I first read HER).</v>
      </c>
    </row>
    <row r="1744">
      <c r="A1744" t="str">
        <f>IFERROR(__xludf.DUMMYFUNCTION("""COMPUTED_VALUE"""),"Reinforcement learning")</f>
        <v>Reinforcement learning</v>
      </c>
      <c r="B1744" t="str">
        <f>IFERROR(__xludf.DUMMYFUNCTION("""COMPUTED_VALUE"""),"")</f>
        <v/>
      </c>
      <c r="C1744" s="3" t="str">
        <f>IFERROR(__xludf.DUMMYFUNCTION("""COMPUTED_VALUE"""),"Rewriting History with Inverse RL: Hindsight Inference for Policy Improvement")</f>
        <v>Rewriting History with Inverse RL: Hindsight Inference for Policy Improvement</v>
      </c>
      <c r="D1744" t="str">
        <f>IFERROR(__xludf.DUMMYFUNCTION("""COMPUTED_VALUE"""),"Benjamin Eysenbach*, Xinyang Geng*, Sergey Levine, Ruslan Salakhutdinov")</f>
        <v>Benjamin Eysenbach*, Xinyang Geng*, Sergey Levine, Ruslan Salakhutdinov</v>
      </c>
      <c r="E1744" t="str">
        <f>IFERROR(__xludf.DUMMYFUNCTION("""COMPUTED_VALUE"""),"arXiv")</f>
        <v>arXiv</v>
      </c>
      <c r="F1744">
        <f>IFERROR(__xludf.DUMMYFUNCTION("""COMPUTED_VALUE"""),2020.0)</f>
        <v>2020</v>
      </c>
      <c r="H1744" s="3" t="str">
        <f>IFERROR(__xludf.DUMMYFUNCTION("""COMPUTED_VALUE"""),"AN #117")</f>
        <v>AN #117</v>
      </c>
      <c r="I1744" t="str">
        <f>IFERROR(__xludf.DUMMYFUNCTION("""COMPUTED_VALUE"""),"Rohin")</f>
        <v>Rohin</v>
      </c>
      <c r="J1744" t="str">
        <f>IFERROR(__xludf.DUMMYFUNCTION("""COMPUTED_VALUE"""),"This paper was published at about the same time as the previous one, and has the same key insight. There are three main differences with the previous paper:
1. It shows theoretically that MaxEnt IRL is the “optimal” (sort of) way to relabel data if you w"&amp;"ant to optimize the multitask MaxEnt RL objective.
2. In addition to using the relabeled data with an off-policy RL algorithm, it also uses the relabeled data with behavior cloning.
3. It focuses on fewer environments and only uses a single relabeling str"&amp;"ategy (MaxEnt IRL relabeling).")</f>
        <v>This paper was published at about the same time as the previous one, and has the same key insight. There are three main differences with the previous paper:
1. It shows theoretically that MaxEnt IRL is the “optimal” (sort of) way to relabel data if you want to optimize the multitask MaxEnt RL objective.
2. In addition to using the relabeled data with an off-policy RL algorithm, it also uses the relabeled data with behavior cloning.
3. It focuses on fewer environments and only uses a single relabeling strategy (MaxEnt IRL relabeling).</v>
      </c>
    </row>
    <row r="1745">
      <c r="A1745" t="str">
        <f>IFERROR(__xludf.DUMMYFUNCTION("""COMPUTED_VALUE"""),"Reinforcement learning")</f>
        <v>Reinforcement learning</v>
      </c>
      <c r="B1745" t="str">
        <f>IFERROR(__xludf.DUMMYFUNCTION("""COMPUTED_VALUE"""),"")</f>
        <v/>
      </c>
      <c r="C1745" s="3" t="str">
        <f>IFERROR(__xludf.DUMMYFUNCTION("""COMPUTED_VALUE"""),"An Optimistic Perspective on Offline Reinforcement Learning")</f>
        <v>An Optimistic Perspective on Offline Reinforcement Learning</v>
      </c>
      <c r="D1745" t="str">
        <f>IFERROR(__xludf.DUMMYFUNCTION("""COMPUTED_VALUE"""),"Rishabh Agarwal, Dale Schuurmans, Mohammad Norouzi")</f>
        <v>Rishabh Agarwal, Dale Schuurmans, Mohammad Norouzi</v>
      </c>
      <c r="E1745" t="str">
        <f>IFERROR(__xludf.DUMMYFUNCTION("""COMPUTED_VALUE"""),"ICML")</f>
        <v>ICML</v>
      </c>
      <c r="F1745">
        <f>IFERROR(__xludf.DUMMYFUNCTION("""COMPUTED_VALUE"""),2020.0)</f>
        <v>2020</v>
      </c>
      <c r="H1745" s="3" t="str">
        <f>IFERROR(__xludf.DUMMYFUNCTION("""COMPUTED_VALUE"""),"AN #110")</f>
        <v>AN #110</v>
      </c>
      <c r="I1745" t="str">
        <f>IFERROR(__xludf.DUMMYFUNCTION("""COMPUTED_VALUE"""),"Zach")</f>
        <v>Zach</v>
      </c>
      <c r="J1745" t="str">
        <f>IFERROR(__xludf.DUMMYFUNCTION("""COMPUTED_VALUE"""),"Off-policy reinforcement learning (RL) that can be done using offline-logged interactions is an important aspect of real-world applications. However, most RL algorithms assume that an agent interacts with an online environment or simulator and learns from"&amp;" its own collected experience. Moreover, the authors show that DQN trained offline on its _own_ experience replay buffer has markedly decreased performance on most of the Atari suite. The authors attempt to address this discrepancy by introducing a robust"&amp;" Q-learning algorithm that randomly mixes estimates for particular Q-values. Specifically, by creating convex combinations from an underlying basis of Q-value estimates the authors are able to create a much larger ensemble. This is similar in spirit to dr"&amp;"opout in deep learning where connections in the network are randomly turned off. The authors then go on to show that offline DQN is feasible by training this algorithm and other related algorithms on the DQN Replay Dataset and show it has comparable perfo"&amp;"rmance to, and occasionally even surpasses, the original RL baselines. The DQN Replay Dataset is released at [https://offline-rl.github.io/](https://offline-rl.github.io/).")</f>
        <v>Off-policy reinforcement learning (RL) that can be done using offline-logged interactions is an important aspect of real-world applications. However, most RL algorithms assume that an agent interacts with an online environment or simulator and learns from its own collected experience. Moreover, the authors show that DQN trained offline on its _own_ experience replay buffer has markedly decreased performance on most of the Atari suite. The authors attempt to address this discrepancy by introducing a robust Q-learning algorithm that randomly mixes estimates for particular Q-values. Specifically, by creating convex combinations from an underlying basis of Q-value estimates the authors are able to create a much larger ensemble. This is similar in spirit to dropout in deep learning where connections in the network are randomly turned off. The authors then go on to show that offline DQN is feasible by training this algorithm and other related algorithms on the DQN Replay Dataset and show it has comparable performance to, and occasionally even surpasses, the original RL baselines. The DQN Replay Dataset is released at [https://offline-rl.github.io/](https://offline-rl.github.io/).</v>
      </c>
      <c r="K1745" t="str">
        <f>IFERROR(__xludf.DUMMYFUNCTION("""COMPUTED_VALUE"""),"What I learned from this paper is that estimating the mean Q-value is not always enough for robustness. By leveraging distributional information, via ensembles or quantiles, these methods can become quite effective at offline DQN. The release of the datas"&amp;"et is also impressive. I think the dataset will have broad applicability to researchers interested in offline RL as well as imitation learning. ")</f>
        <v>What I learned from this paper is that estimating the mean Q-value is not always enough for robustness. By leveraging distributional information, via ensembles or quantiles, these methods can become quite effective at offline DQN. The release of the dataset is also impressive. I think the dataset will have broad applicability to researchers interested in offline RL as well as imitation learning. </v>
      </c>
    </row>
    <row r="1746">
      <c r="A1746" t="str">
        <f>IFERROR(__xludf.DUMMYFUNCTION("""COMPUTED_VALUE"""),"Reinforcement learning")</f>
        <v>Reinforcement learning</v>
      </c>
      <c r="B1746" t="str">
        <f>IFERROR(__xludf.DUMMYFUNCTION("""COMPUTED_VALUE"""),"")</f>
        <v/>
      </c>
      <c r="C1746" s="3" t="str">
        <f>IFERROR(__xludf.DUMMYFUNCTION("""COMPUTED_VALUE"""),"Using Selective Attention in Reinforcement Learning Agents")</f>
        <v>Using Selective Attention in Reinforcement Learning Agents</v>
      </c>
      <c r="D1746" t="str">
        <f>IFERROR(__xludf.DUMMYFUNCTION("""COMPUTED_VALUE"""),"Yujin Tang, Duong Nguyen, David Ha")</f>
        <v>Yujin Tang, Duong Nguyen, David Ha</v>
      </c>
      <c r="E1746" t="str">
        <f>IFERROR(__xludf.DUMMYFUNCTION("""COMPUTED_VALUE"""),"GECCO 2020")</f>
        <v>GECCO 2020</v>
      </c>
      <c r="F1746">
        <f>IFERROR(__xludf.DUMMYFUNCTION("""COMPUTED_VALUE"""),2020.0)</f>
        <v>2020</v>
      </c>
      <c r="H1746" s="3" t="str">
        <f>IFERROR(__xludf.DUMMYFUNCTION("""COMPUTED_VALUE"""),"AN #109")</f>
        <v>AN #109</v>
      </c>
      <c r="I1746" t="str">
        <f>IFERROR(__xludf.DUMMYFUNCTION("""COMPUTED_VALUE"""),"Sudhanshu")</f>
        <v>Sudhanshu</v>
      </c>
      <c r="J1746" t="str">
        <f>IFERROR(__xludf.DUMMYFUNCTION("""COMPUTED_VALUE"""),"Recently winning a best paper award at GECCO 2020, this work marks a leap forward in the performance capabilities learned by small agents via evolutionary methods. Specifically, it shows that by jointly learning which small fraction of input to attend to,"&amp;" agents with only thousands of free parameters can be trained by an evolutionary strategy to achieve state-of-the-art performance in vision-based control tasks. 
The key pieces include self-attention over input patches, non-differentiable top-K patch sel"&amp;"ection that affect 'inattentional blindness', and training via CMA-ES. By design, the agent is interpretable as the top-K patches that are selected can be examined. Empirically, the agent has 1000x fewer weights than a competing neural architecture, and t"&amp;"he method shows robustness to changes in task-irrelevant inputs, as the agent learns to focus only on task-relevant patches.")</f>
        <v>Recently winning a best paper award at GECCO 2020, this work marks a leap forward in the performance capabilities learned by small agents via evolutionary methods. Specifically, it shows that by jointly learning which small fraction of input to attend to, agents with only thousands of free parameters can be trained by an evolutionary strategy to achieve state-of-the-art performance in vision-based control tasks. 
The key pieces include self-attention over input patches, non-differentiable top-K patch selection that affect 'inattentional blindness', and training via CMA-ES. By design, the agent is interpretable as the top-K patches that are selected can be examined. Empirically, the agent has 1000x fewer weights than a competing neural architecture, and the method shows robustness to changes in task-irrelevant inputs, as the agent learns to focus only on task-relevant patches.</v>
      </c>
      <c r="K1746" t="str">
        <f>IFERROR(__xludf.DUMMYFUNCTION("""COMPUTED_VALUE"""),"The parallelism afforded by evolutionary methods and genetic algorithms might be valuable in an environment where weak compute is plentiful, so it's exciting to see evidence of such methods besting GPU-hungry deep neural networks. However, I wonder how th"&amp;"is would do on sparse reward tasks, where the fitness function is almost always uninformative. Finally, while it generalises to settings where there are task-irrelevant distractions, its deliberately sharp self-attention likely leaves it vulnerable to eve"&amp;"n simple adversarial attacks. ")</f>
        <v>The parallelism afforded by evolutionary methods and genetic algorithms might be valuable in an environment where weak compute is plentiful, so it's exciting to see evidence of such methods besting GPU-hungry deep neural networks. However, I wonder how this would do on sparse reward tasks, where the fitness function is almost always uninformative. Finally, while it generalises to settings where there are task-irrelevant distractions, its deliberately sharp self-attention likely leaves it vulnerable to even simple adversarial attacks. </v>
      </c>
      <c r="M1746" s="3" t="str">
        <f>IFERROR(__xludf.DUMMYFUNCTION("""COMPUTED_VALUE"""),"Paper: Neuroevolution of Self-Interpretable Agents")</f>
        <v>Paper: Neuroevolution of Self-Interpretable Agents</v>
      </c>
    </row>
    <row r="1747">
      <c r="A1747" t="str">
        <f>IFERROR(__xludf.DUMMYFUNCTION("""COMPUTED_VALUE"""),"Reinforcement learning")</f>
        <v>Reinforcement learning</v>
      </c>
      <c r="B1747" t="str">
        <f>IFERROR(__xludf.DUMMYFUNCTION("""COMPUTED_VALUE"""),"")</f>
        <v/>
      </c>
      <c r="C1747" s="3" t="str">
        <f>IFERROR(__xludf.DUMMYFUNCTION("""COMPUTED_VALUE"""),"Improving Sample Efficiency in Model-Free Reinforcement Learning from Images")</f>
        <v>Improving Sample Efficiency in Model-Free Reinforcement Learning from Images</v>
      </c>
      <c r="D1747" t="str">
        <f>IFERROR(__xludf.DUMMYFUNCTION("""COMPUTED_VALUE"""),"Denis Yarats, Amy Zhang, Ilya Kostrikov, Brandon Amos, Joelle Pineau, Rob Fergus")</f>
        <v>Denis Yarats, Amy Zhang, Ilya Kostrikov, Brandon Amos, Joelle Pineau, Rob Fergus</v>
      </c>
      <c r="E1747" t="str">
        <f>IFERROR(__xludf.DUMMYFUNCTION("""COMPUTED_VALUE"""),"arXiv")</f>
        <v>arXiv</v>
      </c>
      <c r="F1747">
        <f>IFERROR(__xludf.DUMMYFUNCTION("""COMPUTED_VALUE"""),2019.0)</f>
        <v>2019</v>
      </c>
      <c r="H1747" s="3" t="str">
        <f>IFERROR(__xludf.DUMMYFUNCTION("""COMPUTED_VALUE"""),"AN #109")</f>
        <v>AN #109</v>
      </c>
      <c r="I1747" t="str">
        <f>IFERROR(__xludf.DUMMYFUNCTION("""COMPUTED_VALUE"""),"Flo")</f>
        <v>Flo</v>
      </c>
      <c r="J1747" t="str">
        <f>IFERROR(__xludf.DUMMYFUNCTION("""COMPUTED_VALUE"""),"Sample efficiency in RL can be improved by using off-policy methods that can reuse the same sample multiple times and by using self-supervised auxiliary losses that help with representation learning, especially when rewards are sparse. This work combines "&amp;"both approaches by proposing to learn a latent state representation using an autoencoder while jontly training an agent on that latent representation using &lt;@SAC@&gt;(@Soft Actor-Critic: Deep Reinforcement Learning for Robotics@). Previous work in the on-pol"&amp;"icy case shows a positive effect from propagating Actor-Critic gradients through the encoder to improve the usefulness of the encoding for policy learning. However, this destabilizes training in the off-policy case, as changing the encoding to facilitate "&amp;"the actor also changes the Q-function estimate, which in turn changes the actor's goal and can introduce nonstationarity. This problem is circumvented by only propagating the Q-network's gradients through the encoder while blocking the actor's gradients.
"&amp;"
The method strongly outperforms SAC trained on pixels. It also matches the previous state-of-the-art set by model-based approaches on an image-based continuous control task and outperforms them for noisy observations (as these make dynamics models hard t"&amp;"o learn). The authors also find that the learnt encodings generalize between tasks to some extent and that reconstructing the true environment state is easier using their latent representation than using a representation obtained by training SAC on pixels"&amp;" directly. ")</f>
        <v>Sample efficiency in RL can be improved by using off-policy methods that can reuse the same sample multiple times and by using self-supervised auxiliary losses that help with representation learning, especially when rewards are sparse. This work combines both approaches by proposing to learn a latent state representation using an autoencoder while jontly training an agent on that latent representation using &lt;@SAC@&gt;(@Soft Actor-Critic: Deep Reinforcement Learning for Robotics@). Previous work in the on-policy case shows a positive effect from propagating Actor-Critic gradients through the encoder to improve the usefulness of the encoding for policy learning. However, this destabilizes training in the off-policy case, as changing the encoding to facilitate the actor also changes the Q-function estimate, which in turn changes the actor's goal and can introduce nonstationarity. This problem is circumvented by only propagating the Q-network's gradients through the encoder while blocking the actor's gradients.
The method strongly outperforms SAC trained on pixels. It also matches the previous state-of-the-art set by model-based approaches on an image-based continuous control task and outperforms them for noisy observations (as these make dynamics models hard to learn). The authors also find that the learnt encodings generalize between tasks to some extent and that reconstructing the true environment state is easier using their latent representation than using a representation obtained by training SAC on pixels directly. </v>
      </c>
      <c r="K1747" t="str">
        <f>IFERROR(__xludf.DUMMYFUNCTION("""COMPUTED_VALUE"""),"Methods like this that can benefit from seeing a lot of action-independent environment observations might be quite important for applying RL to the real world, as this type of data is a lot cheaper to generate. For example, we can easily generate a ton of"&amp;" observations from a factory by equipping workers with cameras, but state-action-next-state triples from a robot interacting with the factory are very costly to obtain.")</f>
        <v>Methods like this that can benefit from seeing a lot of action-independent environment observations might be quite important for applying RL to the real world, as this type of data is a lot cheaper to generate. For example, we can easily generate a ton of observations from a factory by equipping workers with cameras, but state-action-next-state triples from a robot interacting with the factory are very costly to obtain.</v>
      </c>
    </row>
    <row r="1748">
      <c r="A1748" t="str">
        <f>IFERROR(__xludf.DUMMYFUNCTION("""COMPUTED_VALUE"""),"Reinforcement learning")</f>
        <v>Reinforcement learning</v>
      </c>
      <c r="B1748" t="str">
        <f>IFERROR(__xludf.DUMMYFUNCTION("""COMPUTED_VALUE"""),"")</f>
        <v/>
      </c>
      <c r="C1748" s="3" t="str">
        <f>IFERROR(__xludf.DUMMYFUNCTION("""COMPUTED_VALUE"""),"Learning to Play No-Press Diplomacy with Best Response Policy Iteration")</f>
        <v>Learning to Play No-Press Diplomacy with Best Response Policy Iteration</v>
      </c>
      <c r="D1748" t="str">
        <f>IFERROR(__xludf.DUMMYFUNCTION("""COMPUTED_VALUE"""),"Thomas Anthony*, Tom Eccles*, Andrea Tacchetti, János Kramár, Ian Gemp, Thomas C. Hudson, Nicolas Porcel, Marc Lanctot, Julien Pérolat, Richard Everett, Satinder Singh, Thore Graepel, Yoram Bachrach")</f>
        <v>Thomas Anthony*, Tom Eccles*, Andrea Tacchetti, János Kramár, Ian Gemp, Thomas C. Hudson, Nicolas Porcel, Marc Lanctot, Julien Pérolat, Richard Everett, Satinder Singh, Thore Graepel, Yoram Bachrach</v>
      </c>
      <c r="E1748" t="str">
        <f>IFERROR(__xludf.DUMMYFUNCTION("""COMPUTED_VALUE"""),"arXiv")</f>
        <v>arXiv</v>
      </c>
      <c r="F1748">
        <f>IFERROR(__xludf.DUMMYFUNCTION("""COMPUTED_VALUE"""),2020.0)</f>
        <v>2020</v>
      </c>
      <c r="H1748" s="3" t="str">
        <f>IFERROR(__xludf.DUMMYFUNCTION("""COMPUTED_VALUE"""),"AN #106")</f>
        <v>AN #106</v>
      </c>
      <c r="I1748" t="str">
        <f>IFERROR(__xludf.DUMMYFUNCTION("""COMPUTED_VALUE"""),"Asya")</f>
        <v>Asya</v>
      </c>
      <c r="J1748" t="str">
        <f>IFERROR(__xludf.DUMMYFUNCTION("""COMPUTED_VALUE"""),"Diplomacy is a game with simple rules where 7 players simultaneously move units every turn to capture territory. Units are evenly matched by default, so winning relies on getting support from some players against others. 'No-Press' Diplomacy limits commun"&amp;"ication between players to only orders submitted to units, removing the complex verbal negotiations that characterize traditional gameplay.
Previous state-of-the-art No-Press Diplomacy methods were trained to imitate human actions after collecting a data"&amp;"set of 150,000 human Diplomacy games. This paper presents a new algorithmic method for playing No-Press Diplomacy using a policy iteration approach initialized with human imitation. To find better policies, their methods use ""best response"" calculations"&amp;", where the best response policy for some player is the policy that maximizes the expected return for that player against opponent policies. Diplomacy is far too large for exact best response calculation, so the paper introduces an approximation, ""Sample"&amp;"d Best Response"", which
- Uses Monte-Carlo sampling to estimate opponents' actions each turn
- Only considers a small set of actions sampled from each candidate best response policy
- Only tries to make a single-turn improvement to its policy (rather tha"&amp;"n trying to optimize for the whole rest of the game)
Similar to other policy iteration methods, the paper creates a dataset of games every iteration using its Sampled Best Response method, then trains neural networks to create policy and value functions t"&amp;"hat predict the actions chosen by Sampled Best Response. To remedy issues where Sampled Best Response continually cycles through the best strategy for the last iteration,  the paper tries several variants of a technique called ""Fictitious Play"". In the "&amp;"best-performing variant, the policy network is trained to predict the latest Sampled Best Response given explicitly averaged _historical_ opponent and player policies, rather than just the latest policies.
The paper's methods outperform existing algorith"&amp;"mic methods for No-Press Diplomacy on a variety of metrics, but are still fairly few-shot _exploitable_-- at the end of training, the strongest (non-human) exploiter of the final policy wins 48% of the time. They also find that the strongest exploit doesn"&amp;"'t change much through training, though few-shot exploitability does decrease from the beginning of training to the end.")</f>
        <v>Diplomacy is a game with simple rules where 7 players simultaneously move units every turn to capture territory. Units are evenly matched by default, so winning relies on getting support from some players against others. 'No-Press' Diplomacy limits communication between players to only orders submitted to units, removing the complex verbal negotiations that characterize traditional gameplay.
Previous state-of-the-art No-Press Diplomacy methods were trained to imitate human actions after collecting a dataset of 150,000 human Diplomacy games. This paper presents a new algorithmic method for playing No-Press Diplomacy using a policy iteration approach initialized with human imitation. To find better policies, their methods use "best response" calculations, where the best response policy for some player is the policy that maximizes the expected return for that player against opponent policies. Diplomacy is far too large for exact best response calculation, so the paper introduces an approximation, "Sampled Best Response", which
- Uses Monte-Carlo sampling to estimate opponents' actions each turn
- Only considers a small set of actions sampled from each candidate best response policy
- Only tries to make a single-turn improvement to its policy (rather than trying to optimize for the whole rest of the game)
Similar to other policy iteration methods, the paper creates a dataset of games every iteration using its Sampled Best Response method, then trains neural networks to create policy and value functions that predict the actions chosen by Sampled Best Response. To remedy issues where Sampled Best Response continually cycles through the best strategy for the last iteration,  the paper tries several variants of a technique called "Fictitious Play". In the best-performing variant, the policy network is trained to predict the latest Sampled Best Response given explicitly averaged _historical_ opponent and player policies, rather than just the latest policies.
The paper's methods outperform existing algorithmic methods for No-Press Diplomacy on a variety of metrics, but are still fairly few-shot _exploitable_-- at the end of training, the strongest (non-human) exploiter of the final policy wins 48% of the time. They also find that the strongest exploit doesn't change much through training, though few-shot exploitability does decrease from the beginning of training to the end.</v>
      </c>
      <c r="K1748" t="str">
        <f>IFERROR(__xludf.DUMMYFUNCTION("""COMPUTED_VALUE"""),"This paper represented real progress in automated Diplomacy, but is still far from human-level. I’ll be pretty interested to see whether we can reach human-level by creating improved self-play algorithms, like the one presented in this paper, and the ones"&amp;" used for Poker and Go, or if we will have to wait for novel, more general reasoning algorithms applied to Diplomacy. Unlike Poker, Diplomacy against multiple human players involves collusion and implicit signalling, even with No Press. It seems possible "&amp;"to me that it is very difficult to become good at modeling those dynamics through self-play alone. If we did get to human-level through self-play, it would make me more optimistic about the extent to which training is likely to be a bottleneck in other do"&amp;"mains which require sophisticated models of human behavior.")</f>
        <v>This paper represented real progress in automated Diplomacy, but is still far from human-level. I’ll be pretty interested to see whether we can reach human-level by creating improved self-play algorithms, like the one presented in this paper, and the ones used for Poker and Go, or if we will have to wait for novel, more general reasoning algorithms applied to Diplomacy. Unlike Poker, Diplomacy against multiple human players involves collusion and implicit signalling, even with No Press. It seems possible to me that it is very difficult to become good at modeling those dynamics through self-play alone. If we did get to human-level through self-play, it would make me more optimistic about the extent to which training is likely to be a bottleneck in other domains which require sophisticated models of human behavior.</v>
      </c>
    </row>
    <row r="1749">
      <c r="A1749" t="str">
        <f>IFERROR(__xludf.DUMMYFUNCTION("""COMPUTED_VALUE"""),"Reinforcement learning")</f>
        <v>Reinforcement learning</v>
      </c>
      <c r="B1749" t="str">
        <f>IFERROR(__xludf.DUMMYFUNCTION("""COMPUTED_VALUE"""),"")</f>
        <v/>
      </c>
      <c r="C1749" s="3" t="str">
        <f>IFERROR(__xludf.DUMMYFUNCTION("""COMPUTED_VALUE"""),"Towards Learning Multi-agent Negotiations via Self-Play")</f>
        <v>Towards Learning Multi-agent Negotiations via Self-Play</v>
      </c>
      <c r="D1749" t="str">
        <f>IFERROR(__xludf.DUMMYFUNCTION("""COMPUTED_VALUE"""),"Yichuan Charlie Tang")</f>
        <v>Yichuan Charlie Tang</v>
      </c>
      <c r="E1749" t="str">
        <f>IFERROR(__xludf.DUMMYFUNCTION("""COMPUTED_VALUE"""),"arXiv")</f>
        <v>arXiv</v>
      </c>
      <c r="F1749">
        <f>IFERROR(__xludf.DUMMYFUNCTION("""COMPUTED_VALUE"""),2020.0)</f>
        <v>2020</v>
      </c>
      <c r="H1749" s="3" t="str">
        <f>IFERROR(__xludf.DUMMYFUNCTION("""COMPUTED_VALUE"""),"AN #100")</f>
        <v>AN #100</v>
      </c>
      <c r="I1749" t="str">
        <f>IFERROR(__xludf.DUMMYFUNCTION("""COMPUTED_VALUE"""),"Rohin")</f>
        <v>Rohin</v>
      </c>
      <c r="J1749" t="str">
        <f>IFERROR(__xludf.DUMMYFUNCTION("""COMPUTED_VALUE"""),"While the previous paper introduces other-play to become robust to unknown partners, this paper takes the other approach of simply training an agent that is robust to a wide, diverse population of possible agents. In particular, it studies a self-driving "&amp;"car ""zipper merge"" environment, and trains an agent to be robust to a variety of rule-based agents, as well as past versions of itself, and finds that this leads to a much more successful merging policy. However, this is evaluated against the population"&amp;" it is trained with, and not against any previously unseen agents.")</f>
        <v>While the previous paper introduces other-play to become robust to unknown partners, this paper takes the other approach of simply training an agent that is robust to a wide, diverse population of possible agents. In particular, it studies a self-driving car "zipper merge" environment, and trains an agent to be robust to a variety of rule-based agents, as well as past versions of itself, and finds that this leads to a much more successful merging policy. However, this is evaluated against the population it is trained with, and not against any previously unseen agents.</v>
      </c>
    </row>
    <row r="1750">
      <c r="A1750" t="str">
        <f>IFERROR(__xludf.DUMMYFUNCTION("""COMPUTED_VALUE"""),"Reinforcement learning")</f>
        <v>Reinforcement learning</v>
      </c>
      <c r="B1750" t="str">
        <f>IFERROR(__xludf.DUMMYFUNCTION("""COMPUTED_VALUE"""),"")</f>
        <v/>
      </c>
      <c r="C1750" s="3" t="str">
        <f>IFERROR(__xludf.DUMMYFUNCTION("""COMPUTED_VALUE"""),"Retro Contest")</f>
        <v>Retro Contest</v>
      </c>
      <c r="D1750" t="str">
        <f>IFERROR(__xludf.DUMMYFUNCTION("""COMPUTED_VALUE"""),"Christopher Hesse, John Schulman, Vicki Pfau, Alex Nichol, Oleg Klimov, and Larissa Schiavo")</f>
        <v>Christopher Hesse, John Schulman, Vicki Pfau, Alex Nichol, Oleg Klimov, and Larissa Schiavo</v>
      </c>
      <c r="E1750" t="str">
        <f>IFERROR(__xludf.DUMMYFUNCTION("""COMPUTED_VALUE"""),"OpenAI Blog")</f>
        <v>OpenAI Blog</v>
      </c>
      <c r="F1750">
        <f>IFERROR(__xludf.DUMMYFUNCTION("""COMPUTED_VALUE"""),2018.0)</f>
        <v>2018</v>
      </c>
      <c r="H1750" s="3" t="str">
        <f>IFERROR(__xludf.DUMMYFUNCTION("""COMPUTED_VALUE"""),"AN #1")</f>
        <v>AN #1</v>
      </c>
      <c r="I1750" t="str">
        <f>IFERROR(__xludf.DUMMYFUNCTION("""COMPUTED_VALUE"""),"Rohin")</f>
        <v>Rohin</v>
      </c>
      <c r="J1750" t="str">
        <f>IFERROR(__xludf.DUMMYFUNCTION("""COMPUTED_VALUE"""),"OpenAI has released Gym Retro, providing an interface to work with video games from SEGA Genesis, which are more complex than the ones from Atari. They want to use these environments to test transfer learning in particular, where the agent may be pretrain"&amp;"ed on initial levels for as long as desired, and then must learn how to complete a new test level with only 1 million timesteps (~18 hours) of gameplay. (Humans do well with 2 hours of pretraining and 1 hour of play on the test level.)")</f>
        <v>OpenAI has released Gym Retro, providing an interface to work with video games from SEGA Genesis, which are more complex than the ones from Atari. They want to use these environments to test transfer learning in particular, where the agent may be pretrained on initial levels for as long as desired, and then must learn how to complete a new test level with only 1 million timesteps (~18 hours) of gameplay. (Humans do well with 2 hours of pretraining and 1 hour of play on the test level.)</v>
      </c>
      <c r="K1750" t="str">
        <f>IFERROR(__xludf.DUMMYFUNCTION("""COMPUTED_VALUE"""),"If you want to keep track of progress in deep RL, probably -- this seems quite likely to become the new set of benchmarks that researchers work on. There's also another example of specification gaming in the post.")</f>
        <v>If you want to keep track of progress in deep RL, probably -- this seems quite likely to become the new set of benchmarks that researchers work on. There's also another example of specification gaming in the post.</v>
      </c>
    </row>
    <row r="1751">
      <c r="A1751" t="str">
        <f>IFERROR(__xludf.DUMMYFUNCTION("""COMPUTED_VALUE"""),"Reinforcement learning")</f>
        <v>Reinforcement learning</v>
      </c>
      <c r="B1751" t="str">
        <f>IFERROR(__xludf.DUMMYFUNCTION("""COMPUTED_VALUE"""),"")</f>
        <v/>
      </c>
      <c r="C1751" s="3" t="str">
        <f>IFERROR(__xludf.DUMMYFUNCTION("""COMPUTED_VALUE"""),"Mastering Atari with Discrete World Models")</f>
        <v>Mastering Atari with Discrete World Models</v>
      </c>
      <c r="D1751" t="str">
        <f>IFERROR(__xludf.DUMMYFUNCTION("""COMPUTED_VALUE"""),"Danijar Hafner, Timothy Lillicrap, Mohammad Norouzi, Jimmy Ba")</f>
        <v>Danijar Hafner, Timothy Lillicrap, Mohammad Norouzi, Jimmy Ba</v>
      </c>
      <c r="E1751" t="str">
        <f>IFERROR(__xludf.DUMMYFUNCTION("""COMPUTED_VALUE"""),"arXiv")</f>
        <v>arXiv</v>
      </c>
      <c r="F1751">
        <f>IFERROR(__xludf.DUMMYFUNCTION("""COMPUTED_VALUE"""),2021.0)</f>
        <v>2021</v>
      </c>
      <c r="I1751" t="str">
        <f>IFERROR(__xludf.DUMMYFUNCTION("""COMPUTED_VALUE"""),"Flo")</f>
        <v>Flo</v>
      </c>
      <c r="J1751" t="str">
        <f>IFERROR(__xludf.DUMMYFUNCTION("""COMPUTED_VALUE"""),"Model-based reinforcement learning can have better sample efficiency, allows for smarter exploration strategies, and facilitates generalization between different tasks. Still, previous attempts at model-based RL on the Atari Benchmark like &lt;@Dreamer@&gt;(@Dr"&amp;"eam to Control: Learning Behaviors by Latent Imagination@) and &lt;@SimPLe@&gt;(@Simulated Policy Learning in Video Models@) were unable to compete with model-free algorithms in terms of final performance. This paper presents DreamerV2, a model-based algorithm "&amp;"that outperforms DQN and its variants -- including Rainbow -- in terms of both median human- or gamer-normalized performance and on mean world-record normalized performance on Atari after 200M environment steps, achieving roughly 35% on the latter (25% if"&amp;" algorithm performance is clipped to max out at 100% for each game). 
DreamerV2 learns a recurrent state-space model that stochastically encodes frames and a hidden state into a latent variable and uses the hidden state to predict the next value of the l"&amp;"atent variable. Frames and reward are then reconstructed using both the hidden state and the latent variable. A policy is obtained by actor-critic training on the latent state space, leveraging parallelization to train on 468B imagined samples. As Dreamer"&amp;"V2 does not use MCTS, it requires 8x less wall clock time to train than the more complicated but better performing &lt;@MuZero Reanalyze@&gt;(@Mastering Atari, Go, Chess and Shogi by Planning with a Learned Model@).  Unlike earlier approaches, DreamerV2 uses a "&amp;"vector of categorical latent variables rather than gaussians to enable better model predictions for dynamics with multiple distinct modes, as well as KL-balancing (scaling up the importance of the transition loss compared to the entropy regularizer on the"&amp;" latent variable). Ablations confirm that the image reconstruction loss is crucial for DreamerV2's performance and that both the use of discrete latent variables and KL-balancing lead to significant improvements. Interestingly, preventing the gradients fo"&amp;"r reward prediction from affecting the world model does not affect performance at all.")</f>
        <v>Model-based reinforcement learning can have better sample efficiency, allows for smarter exploration strategies, and facilitates generalization between different tasks. Still, previous attempts at model-based RL on the Atari Benchmark like &lt;@Dreamer@&gt;(@Dream to Control: Learning Behaviors by Latent Imagination@) and &lt;@SimPLe@&gt;(@Simulated Policy Learning in Video Models@) were unable to compete with model-free algorithms in terms of final performance. This paper presents DreamerV2, a model-based algorithm that outperforms DQN and its variants -- including Rainbow -- in terms of both median human- or gamer-normalized performance and on mean world-record normalized performance on Atari after 200M environment steps, achieving roughly 35% on the latter (25% if algorithm performance is clipped to max out at 100% for each game). 
DreamerV2 learns a recurrent state-space model that stochastically encodes frames and a hidden state into a latent variable and uses the hidden state to predict the next value of the latent variable. Frames and reward are then reconstructed using both the hidden state and the latent variable. A policy is obtained by actor-critic training on the latent state space, leveraging parallelization to train on 468B imagined samples. As DreamerV2 does not use MCTS, it requires 8x less wall clock time to train than the more complicated but better performing &lt;@MuZero Reanalyze@&gt;(@Mastering Atari, Go, Chess and Shogi by Planning with a Learned Model@).  Unlike earlier approaches, DreamerV2 uses a vector of categorical latent variables rather than gaussians to enable better model predictions for dynamics with multiple distinct modes, as well as KL-balancing (scaling up the importance of the transition loss compared to the entropy regularizer on the latent variable). Ablations confirm that the image reconstruction loss is crucial for DreamerV2's performance and that both the use of discrete latent variables and KL-balancing lead to significant improvements. Interestingly, preventing the gradients for reward prediction from affecting the world model does not affect performance at all.</v>
      </c>
      <c r="K1751" t="str">
        <f>IFERROR(__xludf.DUMMYFUNCTION("""COMPUTED_VALUE"""),"It is worth noting that the authors use the &lt;@Dopamine@&gt;(@Introducing a New Framework for Flexible and Reproducible Reinforcement Learning Research@) framework for evaluating the model-free baselines, meaning that a slightly stunted version of Rainbow is "&amp;"used on an evaluation protocol different from the original publication without retuning hyperparameters. That said, DreamerV2 definitely performs at a level similar to Rainbow, which is significant progress in model-based RL. In particular, the fact that "&amp;"the reward can be inferred from the world model even without gradients flowing back from the reward suggests transferability of the world models to different tasks with the same underlying dynamics. ")</f>
        <v>It is worth noting that the authors use the &lt;@Dopamine@&gt;(@Introducing a New Framework for Flexible and Reproducible Reinforcement Learning Research@) framework for evaluating the model-free baselines, meaning that a slightly stunted version of Rainbow is used on an evaluation protocol different from the original publication without retuning hyperparameters. That said, DreamerV2 definitely performs at a level similar to Rainbow, which is significant progress in model-based RL. In particular, the fact that the reward can be inferred from the world model even without gradients flowing back from the reward suggests transferability of the world models to different tasks with the same underlying dynamics. </v>
      </c>
      <c r="M1751" s="3" t="str">
        <f>IFERROR(__xludf.DUMMYFUNCTION("""COMPUTED_VALUE"""),"Paper: Mastering Atari with Discrete World Models")</f>
        <v>Paper: Mastering Atari with Discrete World Models</v>
      </c>
    </row>
    <row r="1752">
      <c r="A1752" t="str">
        <f>IFERROR(__xludf.DUMMYFUNCTION("""COMPUTED_VALUE"""),"Reinforcement learning")</f>
        <v>Reinforcement learning</v>
      </c>
      <c r="B1752" t="str">
        <f>IFERROR(__xludf.DUMMYFUNCTION("""COMPUTED_VALUE"""),"")</f>
        <v/>
      </c>
      <c r="C1752" s="3" t="str">
        <f>IFERROR(__xludf.DUMMYFUNCTION("""COMPUTED_VALUE"""),"What Can Learned Intrinsic Rewards Capture?")</f>
        <v>What Can Learned Intrinsic Rewards Capture?</v>
      </c>
      <c r="D1752" t="str">
        <f>IFERROR(__xludf.DUMMYFUNCTION("""COMPUTED_VALUE"""),"Zeyu Zheng*, Junhyuk Oh*, Matteo Hessel, Zhongwen Xu, Manuel Kroiss, Hado van Hasselt, David Silver, Satinder Singh")</f>
        <v>Zeyu Zheng*, Junhyuk Oh*, Matteo Hessel, Zhongwen Xu, Manuel Kroiss, Hado van Hasselt, David Silver, Satinder Singh</v>
      </c>
      <c r="E1752" t="str">
        <f>IFERROR(__xludf.DUMMYFUNCTION("""COMPUTED_VALUE"""),"arXiv")</f>
        <v>arXiv</v>
      </c>
      <c r="F1752">
        <f>IFERROR(__xludf.DUMMYFUNCTION("""COMPUTED_VALUE"""),2019.0)</f>
        <v>2019</v>
      </c>
      <c r="H1752" s="3" t="str">
        <f>IFERROR(__xludf.DUMMYFUNCTION("""COMPUTED_VALUE"""),"AN #89")</f>
        <v>AN #89</v>
      </c>
      <c r="I1752" t="str">
        <f>IFERROR(__xludf.DUMMYFUNCTION("""COMPUTED_VALUE"""),"Rohin")</f>
        <v>Rohin</v>
      </c>
      <c r="J1752" t="str">
        <f>IFERROR(__xludf.DUMMYFUNCTION("""COMPUTED_VALUE"""),"This paper studies whether a learned reward function can serve as a locus of knowledge about the environment, that can be used to accelerate training of new agents. In particular, such a learned intrinsic reward can help with test-time adaptation: in a no"&amp;"vel environment, the intrinsic reward can quickly ""tell"" the agent e.g. where it should explore -- even if in the new environment the agent has a different action space, or uses a different learning algorithm (situations that meta learning would typical"&amp;"ly not be able to handle).
The authors create an algorithm that learns an intrinsic reward function, that when used to train a new agent over a “lifetime” (which consists of multiple episodes), leads to the best cumulative reward over the lifetime, using"&amp;" a meta-gradient approach. Experiments on gridworlds demonstrate that these learned intrinsic rewards: 1. switch between early exploration and later exploitation, 2. explore only for information that is relevant for optimal behavior, 3. capture invariant "&amp;"causal relationships, and 4. can anticipate and adapt to changes in the extrinsic reward within a lifetime.")</f>
        <v>This paper studies whether a learned reward function can serve as a locus of knowledge about the environment, that can be used to accelerate training of new agents. In particular, such a learned intrinsic reward can help with test-time adaptation: in a novel environment, the intrinsic reward can quickly "tell" the agent e.g. where it should explore -- even if in the new environment the agent has a different action space, or uses a different learning algorithm (situations that meta learning would typically not be able to handle).
The authors create an algorithm that learns an intrinsic reward function, that when used to train a new agent over a “lifetime” (which consists of multiple episodes), leads to the best cumulative reward over the lifetime, using a meta-gradient approach. Experiments on gridworlds demonstrate that these learned intrinsic rewards: 1. switch between early exploration and later exploitation, 2. explore only for information that is relevant for optimal behavior, 3. capture invariant causal relationships, and 4. can anticipate and adapt to changes in the extrinsic reward within a lifetime.</v>
      </c>
      <c r="K1752" t="str">
        <f>IFERROR(__xludf.DUMMYFUNCTION("""COMPUTED_VALUE"""),"A common intuition that many researchers have is that specifying _what_ to do (the reward function) should be easier than specifying _how_ to do it (the policy). In practice, this _doesn't_ seem to be the case for deep learning, where imitation via invers"&amp;"e reinforcement learning (inferring a reward function and optimizing it) seems to be similar to imitation learning via behavior cloning (""copying"" the policy). Similarly, this method seems broadly similar to meta learning algorithms like MAML and RL^2, "&amp;"though it does outperform them on one (probably carefully designed) transfer learning task.")</f>
        <v>A common intuition that many researchers have is that specifying _what_ to do (the reward function) should be easier than specifying _how_ to do it (the policy). In practice, this _doesn't_ seem to be the case for deep learning, where imitation via inverse reinforcement learning (inferring a reward function and optimizing it) seems to be similar to imitation learning via behavior cloning ("copying" the policy). Similarly, this method seems broadly similar to meta learning algorithms like MAML and RL^2, though it does outperform them on one (probably carefully designed) transfer learning task.</v>
      </c>
    </row>
    <row r="1753">
      <c r="A1753" t="str">
        <f>IFERROR(__xludf.DUMMYFUNCTION("""COMPUTED_VALUE"""),"Reinforcement learning")</f>
        <v>Reinforcement learning</v>
      </c>
      <c r="B1753" t="str">
        <f>IFERROR(__xludf.DUMMYFUNCTION("""COMPUTED_VALUE"""),"")</f>
        <v/>
      </c>
      <c r="C1753" s="3" t="str">
        <f>IFERROR(__xludf.DUMMYFUNCTION("""COMPUTED_VALUE"""),"Integrating Behavior Cloning and Reinforcement Learning for Improved Performance in Sparse Reward Environments")</f>
        <v>Integrating Behavior Cloning and Reinforcement Learning for Improved Performance in Sparse Reward Environments</v>
      </c>
      <c r="D1753" t="str">
        <f>IFERROR(__xludf.DUMMYFUNCTION("""COMPUTED_VALUE"""),"Vinicius G. Goecks, Gregory M. Gremillion, Vernon J. Lawhern, John Valasek, Nicholas R. Waytowich")</f>
        <v>Vinicius G. Goecks, Gregory M. Gremillion, Vernon J. Lawhern, John Valasek, Nicholas R. Waytowich</v>
      </c>
      <c r="E1753" t="str">
        <f>IFERROR(__xludf.DUMMYFUNCTION("""COMPUTED_VALUE"""),"arXiv")</f>
        <v>arXiv</v>
      </c>
      <c r="F1753">
        <f>IFERROR(__xludf.DUMMYFUNCTION("""COMPUTED_VALUE"""),2019.0)</f>
        <v>2019</v>
      </c>
      <c r="H1753" s="3" t="str">
        <f>IFERROR(__xludf.DUMMYFUNCTION("""COMPUTED_VALUE"""),"AN #73")</f>
        <v>AN #73</v>
      </c>
      <c r="I1753" t="str">
        <f>IFERROR(__xludf.DUMMYFUNCTION("""COMPUTED_VALUE"""),"Zach")</f>
        <v>Zach</v>
      </c>
      <c r="J1753" t="str">
        <f>IFERROR(__xludf.DUMMYFUNCTION("""COMPUTED_VALUE"""),"This paper contributes to the effort of combining imitation and reinforcement learning to train agents more efficiently. The current difficulty in this area is that imitation and reinforcement learning proceed under rather different objectives which prese"&amp;"nts a significant challenge to updating a policy learned from a pure demonstration. A major portion of this difficulty stems from the use of so-called ""on-policy"" methods for training which require a significant number of environment interactions to be "&amp;"effective. In this paper, the authors propose a framework dubbed ""Cycle-of-Learning"" (CoL) that allows for the off-policy combination of imitation and reinforcement learning. This allows the two approaches to be combined much more directly which grounds"&amp;" the agent's policy in the expert demonstrations while simultaneously allowing for RL to fine-tune the policy. The authors show that CoL is an improvement over the current state of the art by testing their algorithm in several environments and performing "&amp;"an ablation study. ")</f>
        <v>This paper contributes to the effort of combining imitation and reinforcement learning to train agents more efficiently. The current difficulty in this area is that imitation and reinforcement learning proceed under rather different objectives which presents a significant challenge to updating a policy learned from a pure demonstration. A major portion of this difficulty stems from the use of so-called "on-policy" methods for training which require a significant number of environment interactions to be effective. In this paper, the authors propose a framework dubbed "Cycle-of-Learning" (CoL) that allows for the off-policy combination of imitation and reinforcement learning. This allows the two approaches to be combined much more directly which grounds the agent's policy in the expert demonstrations while simultaneously allowing for RL to fine-tune the policy. The authors show that CoL is an improvement over the current state of the art by testing their algorithm in several environments and performing an ablation study. </v>
      </c>
      <c r="K1753" t="str">
        <f>IFERROR(__xludf.DUMMYFUNCTION("""COMPUTED_VALUE"""),"At first glance, it would seem as though the idea of using an off-policy method to combine imitation and reinforcement learning is obvious. However, the implementation is complicated by the fact that we want the value functions being estimated by our agen"&amp;"t to satisfy the optimality condition for the Bellman equation. Prior work, such as [Hester et al. 2018](https://aaai.org/ocs/index.php/AAAI/AAAI18/paper/view/16976/16682) uses n-step returns to help pre-training and make use of on-policy methods when per"&amp;"forming RL. What I like about this paper is that they perform an ablation study and show that simple sequencing of imitation learning and RL algorithms isn't enough to get good performance. This means that combining the imitation and reinforcement objecti"&amp;"ves into a single loss function is providing a significant improvement over other methods.")</f>
        <v>At first glance, it would seem as though the idea of using an off-policy method to combine imitation and reinforcement learning is obvious. However, the implementation is complicated by the fact that we want the value functions being estimated by our agent to satisfy the optimality condition for the Bellman equation. Prior work, such as [Hester et al. 2018](https://aaai.org/ocs/index.php/AAAI/AAAI18/paper/view/16976/16682) uses n-step returns to help pre-training and make use of on-policy methods when performing RL. What I like about this paper is that they perform an ablation study and show that simple sequencing of imitation learning and RL algorithms isn't enough to get good performance. This means that combining the imitation and reinforcement objectives into a single loss function is providing a significant improvement over other methods.</v>
      </c>
    </row>
    <row r="1754">
      <c r="A1754" t="str">
        <f>IFERROR(__xludf.DUMMYFUNCTION("""COMPUTED_VALUE"""),"Reinforcement learning")</f>
        <v>Reinforcement learning</v>
      </c>
      <c r="B1754" t="str">
        <f>IFERROR(__xludf.DUMMYFUNCTION("""COMPUTED_VALUE"""),"")</f>
        <v/>
      </c>
      <c r="C1754" s="3" t="str">
        <f>IFERROR(__xludf.DUMMYFUNCTION("""COMPUTED_VALUE"""),"On Inductive Biases in Deep Reinforcement Learning")</f>
        <v>On Inductive Biases in Deep Reinforcement Learning</v>
      </c>
      <c r="D1754" t="str">
        <f>IFERROR(__xludf.DUMMYFUNCTION("""COMPUTED_VALUE"""),"Matteo Hessel*, Hado van Hasselt*, Joseph Modayil, David Silver")</f>
        <v>Matteo Hessel*, Hado van Hasselt*, Joseph Modayil, David Silver</v>
      </c>
      <c r="E1754" t="str">
        <f>IFERROR(__xludf.DUMMYFUNCTION("""COMPUTED_VALUE"""),"arXiv")</f>
        <v>arXiv</v>
      </c>
      <c r="F1754">
        <f>IFERROR(__xludf.DUMMYFUNCTION("""COMPUTED_VALUE"""),2019.0)</f>
        <v>2019</v>
      </c>
      <c r="H1754" s="3" t="str">
        <f>IFERROR(__xludf.DUMMYFUNCTION("""COMPUTED_VALUE"""),"AN #64")</f>
        <v>AN #64</v>
      </c>
      <c r="I1754" t="str">
        <f>IFERROR(__xludf.DUMMYFUNCTION("""COMPUTED_VALUE"""),"Sudhanshu Kasewa")</f>
        <v>Sudhanshu Kasewa</v>
      </c>
      <c r="J1754" t="str">
        <f>IFERROR(__xludf.DUMMYFUNCTION("""COMPUTED_VALUE"""),"The fewer inductive biases we use, the more general our algorithms will be. But how much does it really help to have fewer inductive biases? This paper replaces several hand-engineered components of an A2C agent with generic or adaptive variants.
Specifi"&amp;"cally, they compared: 1) reward clipping vs. reward normalization via &lt;@PopArt@&gt;(@Preserving Outputs Precisely while Adaptively Rescaling Targets@), 2) handpicked discount factor vs. online adaptive discounting via meta-learning, 3) fixed action repeats v"&amp;"s. learned action-commitment, and 4) standard Atari observation preprocessing vs. passing raw observations to a recurrent network. Over 57 Atari tasks, they found that the tuned algorithm outperformed the adaptive method only in (1). Performance was simil"&amp;"ar for (2) and (3), and the proposed method outperformed the baseline for (4). When the fully adaptive agent was compared to the vanilla agent (with heuristics designed for Atari) over 28 unseen continuous control tasks, the adaptive agent performed bette"&amp;"r in 14 of them, worse in one, and about the same in the rest, providing evidence that fewer inductive biases do lead to more general agents.")</f>
        <v>The fewer inductive biases we use, the more general our algorithms will be. But how much does it really help to have fewer inductive biases? This paper replaces several hand-engineered components of an A2C agent with generic or adaptive variants.
Specifically, they compared: 1) reward clipping vs. reward normalization via &lt;@PopArt@&gt;(@Preserving Outputs Precisely while Adaptively Rescaling Targets@), 2) handpicked discount factor vs. online adaptive discounting via meta-learning, 3) fixed action repeats vs. learned action-commitment, and 4) standard Atari observation preprocessing vs. passing raw observations to a recurrent network. Over 57 Atari tasks, they found that the tuned algorithm outperformed the adaptive method only in (1). Performance was similar for (2) and (3), and the proposed method outperformed the baseline for (4). When the fully adaptive agent was compared to the vanilla agent (with heuristics designed for Atari) over 28 unseen continuous control tasks, the adaptive agent performed better in 14 of them, worse in one, and about the same in the rest, providing evidence that fewer inductive biases do lead to more general agents.</v>
      </c>
      <c r="K1754" t="str">
        <f>IFERROR(__xludf.DUMMYFUNCTION("""COMPUTED_VALUE"""),"On net, I am quite happy to see work which argues in favour of reducing time spent hand-tuning and hand-crafting parts of a complex pipeline, and demonstrates the alternatives that currently exist to do so.
However, I feel the work did not fully compare "&amp;"the trade-off between tuning hyperparameters, and increasing the complexity of the pipeline by adding the adaptive components. I agree, though, that the latter is a one-time effort (per inductive bias), and is thus far more scalable than the former which "&amp;"needs to be repeated for each bias for every new task.
It would also be interesting to see how adaptive agents fare on problems where we care more about failures than successes, or if they are better/worse suited for safe exploration than baseline agents"&amp;". My intuition is that adaptive internals of the agent cause it behave more noisily/unpredictably, and it may not fare as well as our current efforts for such problems.
**Rohin's opinion:** While it's certainly true that fewer inductive biases imply more"&amp;" general agents, it also usually means more compute and data requirements. For action repetition and learned discount factors, only one new parameter has to be learned, so it doesn't make much of a difference either way (and in fact performance on Atari d"&amp;"oesn't change much). Clipped rewards do in fact learn faster than PopArt. I don't know why a recurrent network improves upon standard observation preprocessing for Atari -- perhaps initially RNNs were hard to train, and it became a de facto standard to us"&amp;"e observation preprocessing, and no one checked about using recurrent networks later when RNNs became easier to train?")</f>
        <v>On net, I am quite happy to see work which argues in favour of reducing time spent hand-tuning and hand-crafting parts of a complex pipeline, and demonstrates the alternatives that currently exist to do so.
However, I feel the work did not fully compare the trade-off between tuning hyperparameters, and increasing the complexity of the pipeline by adding the adaptive components. I agree, though, that the latter is a one-time effort (per inductive bias), and is thus far more scalable than the former which needs to be repeated for each bias for every new task.
It would also be interesting to see how adaptive agents fare on problems where we care more about failures than successes, or if they are better/worse suited for safe exploration than baseline agents. My intuition is that adaptive internals of the agent cause it behave more noisily/unpredictably, and it may not fare as well as our current efforts for such problems.
**Rohin's opinion:** While it's certainly true that fewer inductive biases imply more general agents, it also usually means more compute and data requirements. For action repetition and learned discount factors, only one new parameter has to be learned, so it doesn't make much of a difference either way (and in fact performance on Atari doesn't change much). Clipped rewards do in fact learn faster than PopArt. I don't know why a recurrent network improves upon standard observation preprocessing for Atari -- perhaps initially RNNs were hard to train, and it became a de facto standard to use observation preprocessing, and no one checked about using recurrent networks later when RNNs became easier to train?</v>
      </c>
    </row>
    <row r="1755">
      <c r="A1755" t="str">
        <f>IFERROR(__xludf.DUMMYFUNCTION("""COMPUTED_VALUE"""),"Reinforcement learning")</f>
        <v>Reinforcement learning</v>
      </c>
      <c r="B1755" t="str">
        <f>IFERROR(__xludf.DUMMYFUNCTION("""COMPUTED_VALUE"""),"")</f>
        <v/>
      </c>
      <c r="C1755" s="3" t="str">
        <f>IFERROR(__xludf.DUMMYFUNCTION("""COMPUTED_VALUE"""),"Investigating Generalisation in Continuous Deep Reinforcement Learning")</f>
        <v>Investigating Generalisation in Continuous Deep Reinforcement Learning</v>
      </c>
      <c r="D1755" t="str">
        <f>IFERROR(__xludf.DUMMYFUNCTION("""COMPUTED_VALUE"""),"Chenyang Zhao, Olivier Sigaud, Freek Stulp, Timothy M. Hospedales")</f>
        <v>Chenyang Zhao, Olivier Sigaud, Freek Stulp, Timothy M. Hospedales</v>
      </c>
      <c r="E1755" t="str">
        <f>IFERROR(__xludf.DUMMYFUNCTION("""COMPUTED_VALUE"""),"arXiv")</f>
        <v>arXiv</v>
      </c>
      <c r="F1755">
        <f>IFERROR(__xludf.DUMMYFUNCTION("""COMPUTED_VALUE"""),2019.0)</f>
        <v>2019</v>
      </c>
      <c r="H1755" s="3" t="str">
        <f>IFERROR(__xludf.DUMMYFUNCTION("""COMPUTED_VALUE"""),"AN #47")</f>
        <v>AN #47</v>
      </c>
    </row>
    <row r="1756">
      <c r="A1756" t="str">
        <f>IFERROR(__xludf.DUMMYFUNCTION("""COMPUTED_VALUE"""),"Reinforcement learning")</f>
        <v>Reinforcement learning</v>
      </c>
      <c r="B1756" t="str">
        <f>IFERROR(__xludf.DUMMYFUNCTION("""COMPUTED_VALUE"""),"")</f>
        <v/>
      </c>
      <c r="C1756" s="3" t="str">
        <f>IFERROR(__xludf.DUMMYFUNCTION("""COMPUTED_VALUE"""),"Quantifying Generalization in Reinforcement Learning")</f>
        <v>Quantifying Generalization in Reinforcement Learning</v>
      </c>
      <c r="D1756" t="str">
        <f>IFERROR(__xludf.DUMMYFUNCTION("""COMPUTED_VALUE"""),"Karl Cobbe")</f>
        <v>Karl Cobbe</v>
      </c>
      <c r="E1756" t="str">
        <f>IFERROR(__xludf.DUMMYFUNCTION("""COMPUTED_VALUE"""),"OpenAI Blog")</f>
        <v>OpenAI Blog</v>
      </c>
      <c r="F1756">
        <f>IFERROR(__xludf.DUMMYFUNCTION("""COMPUTED_VALUE"""),2018.0)</f>
        <v>2018</v>
      </c>
      <c r="H1756" s="3" t="str">
        <f>IFERROR(__xludf.DUMMYFUNCTION("""COMPUTED_VALUE"""),"AN #36")</f>
        <v>AN #36</v>
      </c>
    </row>
    <row r="1757">
      <c r="A1757" t="str">
        <f>IFERROR(__xludf.DUMMYFUNCTION("""COMPUTED_VALUE"""),"Reinforcement learning")</f>
        <v>Reinforcement learning</v>
      </c>
      <c r="B1757" t="str">
        <f>IFERROR(__xludf.DUMMYFUNCTION("""COMPUTED_VALUE"""),"")</f>
        <v/>
      </c>
      <c r="C1757" s="3" t="str">
        <f>IFERROR(__xludf.DUMMYFUNCTION("""COMPUTED_VALUE"""),"Modular Architecture for StarCraft II with Deep Reinforcement Learning")</f>
        <v>Modular Architecture for StarCraft II with Deep Reinforcement Learning</v>
      </c>
      <c r="D1757" t="str">
        <f>IFERROR(__xludf.DUMMYFUNCTION("""COMPUTED_VALUE"""),"Dennis Lee, Haoran Tang, Jeffrey O Zhang, Huazhe Xu, Trevor Darrell, Pieter Abbeel")</f>
        <v>Dennis Lee, Haoran Tang, Jeffrey O Zhang, Huazhe Xu, Trevor Darrell, Pieter Abbeel</v>
      </c>
      <c r="E1757" t="str">
        <f>IFERROR(__xludf.DUMMYFUNCTION("""COMPUTED_VALUE"""),"NIPS 2018")</f>
        <v>NIPS 2018</v>
      </c>
      <c r="F1757">
        <f>IFERROR(__xludf.DUMMYFUNCTION("""COMPUTED_VALUE"""),2018.0)</f>
        <v>2018</v>
      </c>
      <c r="H1757" s="3" t="str">
        <f>IFERROR(__xludf.DUMMYFUNCTION("""COMPUTED_VALUE"""),"AN #33")</f>
        <v>AN #33</v>
      </c>
    </row>
    <row r="1758">
      <c r="A1758" t="str">
        <f>IFERROR(__xludf.DUMMYFUNCTION("""COMPUTED_VALUE"""),"Reinforcement learning")</f>
        <v>Reinforcement learning</v>
      </c>
      <c r="B1758" t="str">
        <f>IFERROR(__xludf.DUMMYFUNCTION("""COMPUTED_VALUE"""),"")</f>
        <v/>
      </c>
      <c r="C1758" s="3" t="str">
        <f>IFERROR(__xludf.DUMMYFUNCTION("""COMPUTED_VALUE"""),"Are Deep Policy Gradient Algorithms Truly Policy Gradient Algorithms?")</f>
        <v>Are Deep Policy Gradient Algorithms Truly Policy Gradient Algorithms?</v>
      </c>
      <c r="D1758" t="str">
        <f>IFERROR(__xludf.DUMMYFUNCTION("""COMPUTED_VALUE"""),"Andrew Ilyas, Logan Engstrom, Shibani Santurkar, Dimitris Tsipras, Firdaus Janoos, Larry Rudolph, Aleksander Madry")</f>
        <v>Andrew Ilyas, Logan Engstrom, Shibani Santurkar, Dimitris Tsipras, Firdaus Janoos, Larry Rudolph, Aleksander Madry</v>
      </c>
      <c r="E1758" t="str">
        <f>IFERROR(__xludf.DUMMYFUNCTION("""COMPUTED_VALUE"""),"arXiv")</f>
        <v>arXiv</v>
      </c>
      <c r="F1758">
        <f>IFERROR(__xludf.DUMMYFUNCTION("""COMPUTED_VALUE"""),2018.0)</f>
        <v>2018</v>
      </c>
      <c r="H1758" s="3" t="str">
        <f>IFERROR(__xludf.DUMMYFUNCTION("""COMPUTED_VALUE"""),"AN #32")</f>
        <v>AN #32</v>
      </c>
      <c r="I1758" t="str">
        <f>IFERROR(__xludf.DUMMYFUNCTION("""COMPUTED_VALUE"""),"Richard")</f>
        <v>Richard</v>
      </c>
      <c r="J1758" t="str">
        <f>IFERROR(__xludf.DUMMYFUNCTION("""COMPUTED_VALUE"""),"This paper argues that policy gradient algorithms are very dependent on additional optimisations (such as value function clipping, reward scaling, etc), and that they operate with poor estimates of the gradient. It also demonstrates that the PPO objective"&amp;" is unable to enforce a trust region, and that the algorithm's empirical success at doing so is due to the additional optimisations.")</f>
        <v>This paper argues that policy gradient algorithms are very dependent on additional optimisations (such as value function clipping, reward scaling, etc), and that they operate with poor estimates of the gradient. It also demonstrates that the PPO objective is unable to enforce a trust region, and that the algorithm's empirical success at doing so is due to the additional optimisations.</v>
      </c>
      <c r="K1758" t="str">
        <f>IFERROR(__xludf.DUMMYFUNCTION("""COMPUTED_VALUE"""),"While the work in this paper is solid, the conclusions don't seem particularly surprising: everyone knows that deep RL is incredibly sample intensive (which straightforwardly implies inaccurate gradient estimates) and relies on many implementation tricks."&amp;" I'm not familiar enough with PPO to know how surprising their last result is.")</f>
        <v>While the work in this paper is solid, the conclusions don't seem particularly surprising: everyone knows that deep RL is incredibly sample intensive (which straightforwardly implies inaccurate gradient estimates) and relies on many implementation tricks. I'm not familiar enough with PPO to know how surprising their last result is.</v>
      </c>
    </row>
    <row r="1759">
      <c r="A1759" t="str">
        <f>IFERROR(__xludf.DUMMYFUNCTION("""COMPUTED_VALUE"""),"Reinforcement learning")</f>
        <v>Reinforcement learning</v>
      </c>
      <c r="B1759" t="str">
        <f>IFERROR(__xludf.DUMMYFUNCTION("""COMPUTED_VALUE"""),"")</f>
        <v/>
      </c>
      <c r="C1759" s="3" t="str">
        <f>IFERROR(__xludf.DUMMYFUNCTION("""COMPUTED_VALUE"""),"Learning Shared Dynamics with Meta-World Models")</f>
        <v>Learning Shared Dynamics with Meta-World Models</v>
      </c>
      <c r="D1759" t="str">
        <f>IFERROR(__xludf.DUMMYFUNCTION("""COMPUTED_VALUE"""),"Lisheng Wu, Minne Li, Jun Wang")</f>
        <v>Lisheng Wu, Minne Li, Jun Wang</v>
      </c>
      <c r="E1759" t="str">
        <f>IFERROR(__xludf.DUMMYFUNCTION("""COMPUTED_VALUE"""),"arXiv")</f>
        <v>arXiv</v>
      </c>
      <c r="F1759">
        <f>IFERROR(__xludf.DUMMYFUNCTION("""COMPUTED_VALUE"""),2018.0)</f>
        <v>2018</v>
      </c>
      <c r="H1759" s="3" t="str">
        <f>IFERROR(__xludf.DUMMYFUNCTION("""COMPUTED_VALUE"""),"AN #32")</f>
        <v>AN #32</v>
      </c>
    </row>
    <row r="1760">
      <c r="A1760" t="str">
        <f>IFERROR(__xludf.DUMMYFUNCTION("""COMPUTED_VALUE"""),"Reinforcement learning")</f>
        <v>Reinforcement learning</v>
      </c>
      <c r="B1760" t="str">
        <f>IFERROR(__xludf.DUMMYFUNCTION("""COMPUTED_VALUE"""),"")</f>
        <v/>
      </c>
      <c r="C1760" s="3" t="str">
        <f>IFERROR(__xludf.DUMMYFUNCTION("""COMPUTED_VALUE"""),"Assessing Generalization in Deep Reinforcement Learning")</f>
        <v>Assessing Generalization in Deep Reinforcement Learning</v>
      </c>
      <c r="D1760" t="str">
        <f>IFERROR(__xludf.DUMMYFUNCTION("""COMPUTED_VALUE"""),"Charles Packer, Katelyn Gao, Jernej Kos, Philipp Krähenbühl, Vladlen Koltun, Dawn Song")</f>
        <v>Charles Packer, Katelyn Gao, Jernej Kos, Philipp Krähenbühl, Vladlen Koltun, Dawn Song</v>
      </c>
      <c r="E1760" t="str">
        <f>IFERROR(__xludf.DUMMYFUNCTION("""COMPUTED_VALUE"""),"arXiv")</f>
        <v>arXiv</v>
      </c>
      <c r="F1760">
        <f>IFERROR(__xludf.DUMMYFUNCTION("""COMPUTED_VALUE"""),2018.0)</f>
        <v>2018</v>
      </c>
      <c r="H1760" s="3" t="str">
        <f>IFERROR(__xludf.DUMMYFUNCTION("""COMPUTED_VALUE"""),"AN #31")</f>
        <v>AN #31</v>
      </c>
      <c r="I1760" t="str">
        <f>IFERROR(__xludf.DUMMYFUNCTION("""COMPUTED_VALUE"""),"Richard")</f>
        <v>Richard</v>
      </c>
      <c r="J1760" t="str">
        <f>IFERROR(__xludf.DUMMYFUNCTION("""COMPUTED_VALUE"""),"This paper aims to create a benchmark for measuring generalisation in reinforcement learning. They evaluate a range of standard model-free algorithms on OpenAI Gym and Roboschool environments; the extent of generalisation is measured by varying environmen"&amp;"tal parameters at test time (note that these tasks are intended for algorithms which do not update at test time, unlike many transfer and multi-task learners). They distinguish between two forms of generalisation: interpolation (between values seen during"&amp;" training) and extrapolation (beyond them). The latter, which is typically much harder for neural networks, is measured by setting environmental parameters to more extreme values in testing than in training.")</f>
        <v>This paper aims to create a benchmark for measuring generalisation in reinforcement learning. They evaluate a range of standard model-free algorithms on OpenAI Gym and Roboschool environments; the extent of generalisation is measured by varying environmental parameters at test time (note that these tasks are intended for algorithms which do not update at test time, unlike many transfer and multi-task learners). They distinguish between two forms of generalisation: interpolation (between values seen during training) and extrapolation (beyond them). The latter, which is typically much harder for neural networks, is measured by setting environmental parameters to more extreme values in testing than in training.</v>
      </c>
      <c r="K1760" t="str">
        <f>IFERROR(__xludf.DUMMYFUNCTION("""COMPUTED_VALUE"""),"I agree that having standard benchmarks is often useful for spurring progress in deep learning, and that this one will be useful. I'm somewhat concerned that the tasks the authors have selected (CartPole, HalfCheetah, etc) are too simple, and that the pro"&amp;"perty they're measuring is more like robustness to peturbations than the sort of combinatorial generalisation discussed in [this paper] (http://arxiv.org/abs/1806.01261) from [last week's newsletter](https://mailchi.mp/c1f376f3a12e/alignment-newsletter-30"&amp;"). The paper would benefit from more clarity about what they mean by ""generalisation"".")</f>
        <v>I agree that having standard benchmarks is often useful for spurring progress in deep learning, and that this one will be useful. I'm somewhat concerned that the tasks the authors have selected (CartPole, HalfCheetah, etc) are too simple, and that the property they're measuring is more like robustness to peturbations than the sort of combinatorial generalisation discussed in [this paper] (http://arxiv.org/abs/1806.01261) from [last week's newsletter](https://mailchi.mp/c1f376f3a12e/alignment-newsletter-30). The paper would benefit from more clarity about what they mean by "generalisation".</v>
      </c>
    </row>
    <row r="1761">
      <c r="A1761" t="str">
        <f>IFERROR(__xludf.DUMMYFUNCTION("""COMPUTED_VALUE"""),"Reinforcement learning")</f>
        <v>Reinforcement learning</v>
      </c>
      <c r="B1761" t="str">
        <f>IFERROR(__xludf.DUMMYFUNCTION("""COMPUTED_VALUE"""),"")</f>
        <v/>
      </c>
      <c r="C1761" s="3" t="str">
        <f>IFERROR(__xludf.DUMMYFUNCTION("""COMPUTED_VALUE"""),"CURIOUS: Intrinsically Motivated Multi-Task, Multi-Goal Reinforcement Learning")</f>
        <v>CURIOUS: Intrinsically Motivated Multi-Task, Multi-Goal Reinforcement Learning</v>
      </c>
      <c r="D1761" t="str">
        <f>IFERROR(__xludf.DUMMYFUNCTION("""COMPUTED_VALUE"""),"Cédric Colas, Pierre Fournier, Olivier Sigaud, Mohamed Chetouani, Pierre-Yves Oudeyer")</f>
        <v>Cédric Colas, Pierre Fournier, Olivier Sigaud, Mohamed Chetouani, Pierre-Yves Oudeyer</v>
      </c>
      <c r="E1761" t="str">
        <f>IFERROR(__xludf.DUMMYFUNCTION("""COMPUTED_VALUE"""),"arXiv")</f>
        <v>arXiv</v>
      </c>
      <c r="F1761">
        <f>IFERROR(__xludf.DUMMYFUNCTION("""COMPUTED_VALUE"""),2018.0)</f>
        <v>2018</v>
      </c>
      <c r="H1761" s="3" t="str">
        <f>IFERROR(__xludf.DUMMYFUNCTION("""COMPUTED_VALUE"""),"AN #29")</f>
        <v>AN #29</v>
      </c>
      <c r="I1761" t="str">
        <f>IFERROR(__xludf.DUMMYFUNCTION("""COMPUTED_VALUE"""),"Richard")</f>
        <v>Richard</v>
      </c>
      <c r="J1761" t="str">
        <f>IFERROR(__xludf.DUMMYFUNCTION("""COMPUTED_VALUE"""),"This paper presents an intrinsically-motivated algorithm (an extension of Universal Value Function Approximators) which learns to complete multiple tasks, each parameterised by multiple “goals” (e.g. the locations of targets). It prioritises replays of ta"&amp;"sks which are neither too easy nor too hard, but instead allow maximal learning progress; this also help prevent catastrophic forgetting by refocusing on tasks which it begins to forget.")</f>
        <v>This paper presents an intrinsically-motivated algorithm (an extension of Universal Value Function Approximators) which learns to complete multiple tasks, each parameterised by multiple “goals” (e.g. the locations of targets). It prioritises replays of tasks which are neither too easy nor too hard, but instead allow maximal learning progress; this also help prevent catastrophic forgetting by refocusing on tasks which it begins to forget.</v>
      </c>
      <c r="K1761" t="str">
        <f>IFERROR(__xludf.DUMMYFUNCTION("""COMPUTED_VALUE"""),"While I don’t think this paper is particularly novel, it usefully combines several ideas and provides easily-interpretable results.")</f>
        <v>While I don’t think this paper is particularly novel, it usefully combines several ideas and provides easily-interpretable results.</v>
      </c>
    </row>
    <row r="1762">
      <c r="A1762" t="str">
        <f>IFERROR(__xludf.DUMMYFUNCTION("""COMPUTED_VALUE"""),"Reinforcement learning")</f>
        <v>Reinforcement learning</v>
      </c>
      <c r="B1762" t="str">
        <f>IFERROR(__xludf.DUMMYFUNCTION("""COMPUTED_VALUE"""),"")</f>
        <v/>
      </c>
      <c r="C1762" s="3" t="str">
        <f>IFERROR(__xludf.DUMMYFUNCTION("""COMPUTED_VALUE"""),"Reinforcement Learning for Improving Agent Design")</f>
        <v>Reinforcement Learning for Improving Agent Design</v>
      </c>
      <c r="D1762" t="str">
        <f>IFERROR(__xludf.DUMMYFUNCTION("""COMPUTED_VALUE"""),"David Ha")</f>
        <v>David Ha</v>
      </c>
      <c r="E1762" t="str">
        <f>IFERROR(__xludf.DUMMYFUNCTION("""COMPUTED_VALUE"""),"Custom Website")</f>
        <v>Custom Website</v>
      </c>
      <c r="F1762">
        <f>IFERROR(__xludf.DUMMYFUNCTION("""COMPUTED_VALUE"""),2018.0)</f>
        <v>2018</v>
      </c>
      <c r="H1762" s="3" t="str">
        <f>IFERROR(__xludf.DUMMYFUNCTION("""COMPUTED_VALUE"""),"AN #28")</f>
        <v>AN #28</v>
      </c>
      <c r="I1762" t="str">
        <f>IFERROR(__xludf.DUMMYFUNCTION("""COMPUTED_VALUE"""),"Rohin")</f>
        <v>Rohin</v>
      </c>
      <c r="J1762" t="str">
        <f>IFERROR(__xludf.DUMMYFUNCTION("""COMPUTED_VALUE"""),"This paper explores what happens when you allow an RL agent to modify aspects of the environment; in this case, the agent's body. This allows you to learn asymmetric body designs that are better suited for the task at hand. There's another fun example of "&amp;"specification gaming -- the agent makes its legs so long that it simply falls forward to reach the goal.")</f>
        <v>This paper explores what happens when you allow an RL agent to modify aspects of the environment; in this case, the agent's body. This allows you to learn asymmetric body designs that are better suited for the task at hand. There's another fun example of specification gaming -- the agent makes its legs so long that it simply falls forward to reach the goal.</v>
      </c>
      <c r="M1762" s="3" t="str">
        <f>IFERROR(__xludf.DUMMYFUNCTION("""COMPUTED_VALUE"""),"Arxiv paper")</f>
        <v>Arxiv paper</v>
      </c>
    </row>
    <row r="1763">
      <c r="A1763" t="str">
        <f>IFERROR(__xludf.DUMMYFUNCTION("""COMPUTED_VALUE"""),"Reinforcement learning")</f>
        <v>Reinforcement learning</v>
      </c>
      <c r="B1763" t="str">
        <f>IFERROR(__xludf.DUMMYFUNCTION("""COMPUTED_VALUE"""),"")</f>
        <v/>
      </c>
      <c r="C1763" s="3" t="str">
        <f>IFERROR(__xludf.DUMMYFUNCTION("""COMPUTED_VALUE"""),"Learning and Planning with a Semantic Model")</f>
        <v>Learning and Planning with a Semantic Model</v>
      </c>
      <c r="D1763" t="str">
        <f>IFERROR(__xludf.DUMMYFUNCTION("""COMPUTED_VALUE"""),"Yi Wu, Yuxin Wu, Aviv Tamar, Stuart Russell, Georgia Gkioxari, Yuandong Tian")</f>
        <v>Yi Wu, Yuxin Wu, Aviv Tamar, Stuart Russell, Georgia Gkioxari, Yuandong Tian</v>
      </c>
      <c r="E1763" t="str">
        <f>IFERROR(__xludf.DUMMYFUNCTION("""COMPUTED_VALUE"""),"ICLR 2019")</f>
        <v>ICLR 2019</v>
      </c>
      <c r="F1763">
        <f>IFERROR(__xludf.DUMMYFUNCTION("""COMPUTED_VALUE"""),2018.0)</f>
        <v>2018</v>
      </c>
      <c r="H1763" s="3" t="str">
        <f>IFERROR(__xludf.DUMMYFUNCTION("""COMPUTED_VALUE"""),"AN #27")</f>
        <v>AN #27</v>
      </c>
    </row>
    <row r="1764">
      <c r="A1764" t="str">
        <f>IFERROR(__xludf.DUMMYFUNCTION("""COMPUTED_VALUE"""),"Reinforcement learning")</f>
        <v>Reinforcement learning</v>
      </c>
      <c r="B1764" t="str">
        <f>IFERROR(__xludf.DUMMYFUNCTION("""COMPUTED_VALUE"""),"")</f>
        <v/>
      </c>
      <c r="C1764" s="3" t="str">
        <f>IFERROR(__xludf.DUMMYFUNCTION("""COMPUTED_VALUE"""),"Introducing Holodeck")</f>
        <v>Introducing Holodeck</v>
      </c>
      <c r="D1764" t="str">
        <f>IFERROR(__xludf.DUMMYFUNCTION("""COMPUTED_VALUE"""),"joshgreaves32")</f>
        <v>joshgreaves32</v>
      </c>
      <c r="E1764" t="str">
        <f>IFERROR(__xludf.DUMMYFUNCTION("""COMPUTED_VALUE"""),"Brigham Young University Website")</f>
        <v>Brigham Young University Website</v>
      </c>
      <c r="F1764">
        <f>IFERROR(__xludf.DUMMYFUNCTION("""COMPUTED_VALUE"""),2018.0)</f>
        <v>2018</v>
      </c>
      <c r="H1764" s="3" t="str">
        <f>IFERROR(__xludf.DUMMYFUNCTION("""COMPUTED_VALUE"""),"AN #27")</f>
        <v>AN #27</v>
      </c>
    </row>
    <row r="1765">
      <c r="A1765" t="str">
        <f>IFERROR(__xludf.DUMMYFUNCTION("""COMPUTED_VALUE"""),"Reinforcement learning")</f>
        <v>Reinforcement learning</v>
      </c>
      <c r="B1765" t="str">
        <f>IFERROR(__xludf.DUMMYFUNCTION("""COMPUTED_VALUE"""),"")</f>
        <v/>
      </c>
      <c r="C1765" s="3" t="str">
        <f>IFERROR(__xludf.DUMMYFUNCTION("""COMPUTED_VALUE"""),"TStarBots: Defeating the Cheating Level Builtin AI in StarCraft II in the Full Game")</f>
        <v>TStarBots: Defeating the Cheating Level Builtin AI in StarCraft II in the Full Game</v>
      </c>
      <c r="D1765" t="str">
        <f>IFERROR(__xludf.DUMMYFUNCTION("""COMPUTED_VALUE"""),"Peng Sun, Xinghai Sun, Lei Han, Jiechao Xiong, Qing Wang, Bo Li, Yang Zheng, Ji Liu, Yongsheng Liu, Han Liu, Tong Zhang")</f>
        <v>Peng Sun, Xinghai Sun, Lei Han, Jiechao Xiong, Qing Wang, Bo Li, Yang Zheng, Ji Liu, Yongsheng Liu, Han Liu, Tong Zhang</v>
      </c>
      <c r="E1765" t="str">
        <f>IFERROR(__xludf.DUMMYFUNCTION("""COMPUTED_VALUE"""),"arXiv")</f>
        <v>arXiv</v>
      </c>
      <c r="F1765">
        <f>IFERROR(__xludf.DUMMYFUNCTION("""COMPUTED_VALUE"""),2018.0)</f>
        <v>2018</v>
      </c>
      <c r="H1765" s="3" t="str">
        <f>IFERROR(__xludf.DUMMYFUNCTION("""COMPUTED_VALUE"""),"AN #26")</f>
        <v>AN #26</v>
      </c>
      <c r="I1765" t="str">
        <f>IFERROR(__xludf.DUMMYFUNCTION("""COMPUTED_VALUE"""),"Richard")</f>
        <v>Richard</v>
      </c>
      <c r="J1765" t="str">
        <f>IFERROR(__xludf.DUMMYFUNCTION("""COMPUTED_VALUE"""),"This paper showcases an RL agent which is able to defeat the built-in Starcraft AI (roughly at the level of the 30th-50th percentile of players). It do so by choosing between 165 hand-coded macro actions, which each correspond to an elementary task like p"&amp;"roducing a certain building. This avoids the necessity of learning unimportant details like exactly where the building should be placed, as well as difficult rules like the prerequisites for each building. The authors create a second agent which uses an e"&amp;"xpert system to choose actions in a hierarchical fashion, which performs at a similar level to the first. See also [Import AI](https://jack-clark.net/2018/09/25/import-ai-113-why-satellitesai-gives-us-a-global-eye-industry-pays-academia-to-say-sorry-for-s"&amp;"trip-mining-it-and-kindred-researchers-seek-robot-standardization/).")</f>
        <v>This paper showcases an RL agent which is able to defeat the built-in Starcraft AI (roughly at the level of the 30th-50th percentile of players). It do so by choosing between 165 hand-coded macro actions, which each correspond to an elementary task like producing a certain building. This avoids the necessity of learning unimportant details like exactly where the building should be placed, as well as difficult rules like the prerequisites for each building. The authors create a second agent which uses an expert system to choose actions in a hierarchical fashion, which performs at a similar level to the first. See also [Import AI](https://jack-clark.net/2018/09/25/import-ai-113-why-satellitesai-gives-us-a-global-eye-industry-pays-academia-to-say-sorry-for-strip-mining-it-and-kindred-researchers-seek-robot-standardization/).</v>
      </c>
      <c r="K1765" t="str">
        <f>IFERROR(__xludf.DUMMYFUNCTION("""COMPUTED_VALUE"""),"I find Starcraft more interesting as a test-bed for deep RL than as a goal in itself. While the results of this paper are cool,  I doubt that its methods will scale well - in general, approaches which rely on a lot of human knowledge being hard-coded in d"&amp;"on't tend to.
Note the similarity between the macros in this paper and the way that OpenAI Five could choose between different hand-coded combinations of items. However, the latter is only a small part of the game, whereas the former is much more extensi"&amp;"ve.")</f>
        <v>I find Starcraft more interesting as a test-bed for deep RL than as a goal in itself. While the results of this paper are cool,  I doubt that its methods will scale well - in general, approaches which rely on a lot of human knowledge being hard-coded in don't tend to.
Note the similarity between the macros in this paper and the way that OpenAI Five could choose between different hand-coded combinations of items. However, the latter is only a small part of the game, whereas the former is much more extensive.</v>
      </c>
    </row>
    <row r="1766">
      <c r="A1766" t="str">
        <f>IFERROR(__xludf.DUMMYFUNCTION("""COMPUTED_VALUE"""),"Reinforcement learning")</f>
        <v>Reinforcement learning</v>
      </c>
      <c r="B1766" t="str">
        <f>IFERROR(__xludf.DUMMYFUNCTION("""COMPUTED_VALUE"""),"")</f>
        <v/>
      </c>
      <c r="C1766" s="3" t="str">
        <f>IFERROR(__xludf.DUMMYFUNCTION("""COMPUTED_VALUE"""),"Hierarchical Deep Multiagent Reinforcement Learning")</f>
        <v>Hierarchical Deep Multiagent Reinforcement Learning</v>
      </c>
      <c r="D1766" t="str">
        <f>IFERROR(__xludf.DUMMYFUNCTION("""COMPUTED_VALUE"""),"Hongyao Tang, Jianye Hao, Tangjie Lv, Yingfeng Chen, Zongzhang Zhang, Hangtian Jia, Chunxu Ren, Yan Zheng, Changjie Fan, Li Wang")</f>
        <v>Hongyao Tang, Jianye Hao, Tangjie Lv, Yingfeng Chen, Zongzhang Zhang, Hangtian Jia, Chunxu Ren, Yan Zheng, Changjie Fan, Li Wang</v>
      </c>
      <c r="E1766" t="str">
        <f>IFERROR(__xludf.DUMMYFUNCTION("""COMPUTED_VALUE"""),"ICLR 2019")</f>
        <v>ICLR 2019</v>
      </c>
      <c r="F1766">
        <f>IFERROR(__xludf.DUMMYFUNCTION("""COMPUTED_VALUE"""),2018.0)</f>
        <v>2018</v>
      </c>
      <c r="H1766" s="3" t="str">
        <f>IFERROR(__xludf.DUMMYFUNCTION("""COMPUTED_VALUE"""),"AN #26")</f>
        <v>AN #26</v>
      </c>
    </row>
    <row r="1767">
      <c r="A1767" t="str">
        <f>IFERROR(__xludf.DUMMYFUNCTION("""COMPUTED_VALUE"""),"Reinforcement learning")</f>
        <v>Reinforcement learning</v>
      </c>
      <c r="B1767" t="str">
        <f>IFERROR(__xludf.DUMMYFUNCTION("""COMPUTED_VALUE"""),"")</f>
        <v/>
      </c>
      <c r="C1767" s="3" t="str">
        <f>IFERROR(__xludf.DUMMYFUNCTION("""COMPUTED_VALUE"""),"On Reinforcement Learning for Full-length Game of StarCraft")</f>
        <v>On Reinforcement Learning for Full-length Game of StarCraft</v>
      </c>
      <c r="D1767" t="str">
        <f>IFERROR(__xludf.DUMMYFUNCTION("""COMPUTED_VALUE"""),"Zhen-Jia Pang, Ruo-Ze Liu, Zhou-Yu Meng, Yi Zhang, Yang Yu, Tong Lu")</f>
        <v>Zhen-Jia Pang, Ruo-Ze Liu, Zhou-Yu Meng, Yi Zhang, Yang Yu, Tong Lu</v>
      </c>
      <c r="E1767" t="str">
        <f>IFERROR(__xludf.DUMMYFUNCTION("""COMPUTED_VALUE"""),"arXiv")</f>
        <v>arXiv</v>
      </c>
      <c r="F1767">
        <f>IFERROR(__xludf.DUMMYFUNCTION("""COMPUTED_VALUE"""),2018.0)</f>
        <v>2018</v>
      </c>
      <c r="H1767" s="3" t="str">
        <f>IFERROR(__xludf.DUMMYFUNCTION("""COMPUTED_VALUE"""),"AN #26")</f>
        <v>AN #26</v>
      </c>
    </row>
    <row r="1768">
      <c r="A1768" t="str">
        <f>IFERROR(__xludf.DUMMYFUNCTION("""COMPUTED_VALUE"""),"Reinforcement learning")</f>
        <v>Reinforcement learning</v>
      </c>
      <c r="B1768" t="str">
        <f>IFERROR(__xludf.DUMMYFUNCTION("""COMPUTED_VALUE"""),"")</f>
        <v/>
      </c>
      <c r="C1768" s="3" t="str">
        <f>IFERROR(__xludf.DUMMYFUNCTION("""COMPUTED_VALUE"""),"Zero-shot Sim-to-Real Transfer with Modular Priors")</f>
        <v>Zero-shot Sim-to-Real Transfer with Modular Priors</v>
      </c>
      <c r="D1768" t="str">
        <f>IFERROR(__xludf.DUMMYFUNCTION("""COMPUTED_VALUE"""),"Robert Lee, Serena Mou, Vibhavari Dasagi, Jake Bruce, Jürgen Leitner, Niko Sünderhauf")</f>
        <v>Robert Lee, Serena Mou, Vibhavari Dasagi, Jake Bruce, Jürgen Leitner, Niko Sünderhauf</v>
      </c>
      <c r="E1768" t="str">
        <f>IFERROR(__xludf.DUMMYFUNCTION("""COMPUTED_VALUE"""),"arXiv")</f>
        <v>arXiv</v>
      </c>
      <c r="F1768">
        <f>IFERROR(__xludf.DUMMYFUNCTION("""COMPUTED_VALUE"""),2018.0)</f>
        <v>2018</v>
      </c>
      <c r="H1768" s="3" t="str">
        <f>IFERROR(__xludf.DUMMYFUNCTION("""COMPUTED_VALUE"""),"AN #26")</f>
        <v>AN #26</v>
      </c>
    </row>
    <row r="1769">
      <c r="A1769" t="str">
        <f>IFERROR(__xludf.DUMMYFUNCTION("""COMPUTED_VALUE"""),"Reinforcement learning")</f>
        <v>Reinforcement learning</v>
      </c>
      <c r="B1769" t="str">
        <f>IFERROR(__xludf.DUMMYFUNCTION("""COMPUTED_VALUE"""),"")</f>
        <v/>
      </c>
      <c r="C1769" s="3" t="str">
        <f>IFERROR(__xludf.DUMMYFUNCTION("""COMPUTED_VALUE"""),"Challenges of Context and Time in Reinforcement Learning: Introducing Space Fortress as a Benchmark")</f>
        <v>Challenges of Context and Time in Reinforcement Learning: Introducing Space Fortress as a Benchmark</v>
      </c>
      <c r="D1769" t="str">
        <f>IFERROR(__xludf.DUMMYFUNCTION("""COMPUTED_VALUE"""),"Akshat Agarwal, Ryan Hope, Katia Sycara")</f>
        <v>Akshat Agarwal, Ryan Hope, Katia Sycara</v>
      </c>
      <c r="E1769" t="str">
        <f>IFERROR(__xludf.DUMMYFUNCTION("""COMPUTED_VALUE"""),"arXiv")</f>
        <v>arXiv</v>
      </c>
      <c r="F1769">
        <f>IFERROR(__xludf.DUMMYFUNCTION("""COMPUTED_VALUE"""),2018.0)</f>
        <v>2018</v>
      </c>
      <c r="H1769" s="3" t="str">
        <f>IFERROR(__xludf.DUMMYFUNCTION("""COMPUTED_VALUE"""),"AN #25")</f>
        <v>AN #25</v>
      </c>
      <c r="I1769" t="str">
        <f>IFERROR(__xludf.DUMMYFUNCTION("""COMPUTED_VALUE"""),"Richard")</f>
        <v>Richard</v>
      </c>
      <c r="J1769" t="str">
        <f>IFERROR(__xludf.DUMMYFUNCTION("""COMPUTED_VALUE"""),"The authors note that most existing RL benchmarks (like Atari games) lack sharp context-dependence and temporal sensitivity. The former requires an agent to sometimes change strategies abruptly; the latter requires an agent's strategy to vary over time. S"&amp;"pace Fortress is an arcade-style game which does have these properties, and which cannot be solved by standard RL algorithms, even when rewards are made dense in a naive way. However, when the authors shape the rewards to highlight the context changes, th"&amp;"eir agent achieves superhuman performance.")</f>
        <v>The authors note that most existing RL benchmarks (like Atari games) lack sharp context-dependence and temporal sensitivity. The former requires an agent to sometimes change strategies abruptly; the latter requires an agent's strategy to vary over time. Space Fortress is an arcade-style game which does have these properties, and which cannot be solved by standard RL algorithms, even when rewards are made dense in a naive way. However, when the authors shape the rewards to highlight the context changes, their agent achieves superhuman performance.</v>
      </c>
      <c r="K1769" t="str">
        <f>IFERROR(__xludf.DUMMYFUNCTION("""COMPUTED_VALUE"""),"The two properties that this paper highlights do seem important, and the fact that they can be varied in Space Fortress makes it a good benchmark for them.
I'm not convinced that the experimental work is particularly useful, though. It seems to reinforce"&amp;" the well-known point that shaped rewards can work well when they're shaped in sensible ways, and much less well otherwise.")</f>
        <v>The two properties that this paper highlights do seem important, and the fact that they can be varied in Space Fortress makes it a good benchmark for them.
I'm not convinced that the experimental work is particularly useful, though. It seems to reinforce the well-known point that shaped rewards can work well when they're shaped in sensible ways, and much less well otherwise.</v>
      </c>
    </row>
    <row r="1770">
      <c r="A1770" t="str">
        <f>IFERROR(__xludf.DUMMYFUNCTION("""COMPUTED_VALUE"""),"Reinforcement learning")</f>
        <v>Reinforcement learning</v>
      </c>
      <c r="B1770" t="str">
        <f>IFERROR(__xludf.DUMMYFUNCTION("""COMPUTED_VALUE"""),"")</f>
        <v/>
      </c>
      <c r="C1770" s="3" t="str">
        <f>IFERROR(__xludf.DUMMYFUNCTION("""COMPUTED_VALUE"""),"Automata Guided Reinforcement Learning With Demonstrations")</f>
        <v>Automata Guided Reinforcement Learning With Demonstrations</v>
      </c>
      <c r="D1770" t="str">
        <f>IFERROR(__xludf.DUMMYFUNCTION("""COMPUTED_VALUE"""),"Xiao Li, Yao Ma, Calin Belta")</f>
        <v>Xiao Li, Yao Ma, Calin Belta</v>
      </c>
      <c r="E1770" t="str">
        <f>IFERROR(__xludf.DUMMYFUNCTION("""COMPUTED_VALUE"""),"arXiv")</f>
        <v>arXiv</v>
      </c>
      <c r="F1770">
        <f>IFERROR(__xludf.DUMMYFUNCTION("""COMPUTED_VALUE"""),2018.0)</f>
        <v>2018</v>
      </c>
      <c r="H1770" s="3" t="str">
        <f>IFERROR(__xludf.DUMMYFUNCTION("""COMPUTED_VALUE"""),"AN #25")</f>
        <v>AN #25</v>
      </c>
    </row>
    <row r="1771">
      <c r="A1771" t="str">
        <f>IFERROR(__xludf.DUMMYFUNCTION("""COMPUTED_VALUE"""),"Reinforcement learning")</f>
        <v>Reinforcement learning</v>
      </c>
      <c r="B1771" t="str">
        <f>IFERROR(__xludf.DUMMYFUNCTION("""COMPUTED_VALUE"""),"")</f>
        <v/>
      </c>
      <c r="C1771" s="3" t="str">
        <f>IFERROR(__xludf.DUMMYFUNCTION("""COMPUTED_VALUE"""),"Sim-to-Real Transfer Learning using Robustified Controllers in Robotic Tasks involving Complex Dynamics")</f>
        <v>Sim-to-Real Transfer Learning using Robustified Controllers in Robotic Tasks involving Complex Dynamics</v>
      </c>
      <c r="D1771" t="str">
        <f>IFERROR(__xludf.DUMMYFUNCTION("""COMPUTED_VALUE"""),"Jeroen van Baar, Alan Sullivan, Radu Cordorel, Devesh Jha, Diego Romeres, Daniel Nikovski")</f>
        <v>Jeroen van Baar, Alan Sullivan, Radu Cordorel, Devesh Jha, Diego Romeres, Daniel Nikovski</v>
      </c>
      <c r="E1771" t="str">
        <f>IFERROR(__xludf.DUMMYFUNCTION("""COMPUTED_VALUE"""),"arXiv")</f>
        <v>arXiv</v>
      </c>
      <c r="F1771">
        <f>IFERROR(__xludf.DUMMYFUNCTION("""COMPUTED_VALUE"""),2018.0)</f>
        <v>2018</v>
      </c>
      <c r="H1771" s="3" t="str">
        <f>IFERROR(__xludf.DUMMYFUNCTION("""COMPUTED_VALUE"""),"AN #25")</f>
        <v>AN #25</v>
      </c>
    </row>
    <row r="1772">
      <c r="A1772" t="str">
        <f>IFERROR(__xludf.DUMMYFUNCTION("""COMPUTED_VALUE"""),"Reinforcement learning")</f>
        <v>Reinforcement learning</v>
      </c>
      <c r="B1772" t="str">
        <f>IFERROR(__xludf.DUMMYFUNCTION("""COMPUTED_VALUE"""),"")</f>
        <v/>
      </c>
      <c r="C1772" s="3" t="str">
        <f>IFERROR(__xludf.DUMMYFUNCTION("""COMPUTED_VALUE"""),"Keep it stupid simple")</f>
        <v>Keep it stupid simple</v>
      </c>
      <c r="D1772" t="str">
        <f>IFERROR(__xludf.DUMMYFUNCTION("""COMPUTED_VALUE"""),"Erik J Peterson, Necati Alp Müyesser, Timothy Verstynen, Kyle Dunovan")</f>
        <v>Erik J Peterson, Necati Alp Müyesser, Timothy Verstynen, Kyle Dunovan</v>
      </c>
      <c r="E1772" t="str">
        <f>IFERROR(__xludf.DUMMYFUNCTION("""COMPUTED_VALUE"""),"arXiv")</f>
        <v>arXiv</v>
      </c>
      <c r="F1772">
        <f>IFERROR(__xludf.DUMMYFUNCTION("""COMPUTED_VALUE"""),2018.0)</f>
        <v>2018</v>
      </c>
      <c r="H1772" s="3" t="str">
        <f>IFERROR(__xludf.DUMMYFUNCTION("""COMPUTED_VALUE"""),"AN #24")</f>
        <v>AN #24</v>
      </c>
    </row>
    <row r="1773">
      <c r="A1773" t="str">
        <f>IFERROR(__xludf.DUMMYFUNCTION("""COMPUTED_VALUE"""),"Reinforcement learning")</f>
        <v>Reinforcement learning</v>
      </c>
      <c r="B1773" t="str">
        <f>IFERROR(__xludf.DUMMYFUNCTION("""COMPUTED_VALUE"""),"")</f>
        <v/>
      </c>
      <c r="C1773" s="3" t="str">
        <f>IFERROR(__xludf.DUMMYFUNCTION("""COMPUTED_VALUE"""),"Learn What Not to Learn: Action Elimination with Deep Reinforcement Learning")</f>
        <v>Learn What Not to Learn: Action Elimination with Deep Reinforcement Learning</v>
      </c>
      <c r="D1773" t="str">
        <f>IFERROR(__xludf.DUMMYFUNCTION("""COMPUTED_VALUE"""),"Tom Zahavy, Matan Haroush, Nadav Merlis, Daniel J. Mankowitz, Shie Mannor")</f>
        <v>Tom Zahavy, Matan Haroush, Nadav Merlis, Daniel J. Mankowitz, Shie Mannor</v>
      </c>
      <c r="E1773" t="str">
        <f>IFERROR(__xludf.DUMMYFUNCTION("""COMPUTED_VALUE"""),"NIPS 2018")</f>
        <v>NIPS 2018</v>
      </c>
      <c r="F1773">
        <f>IFERROR(__xludf.DUMMYFUNCTION("""COMPUTED_VALUE"""),2018.0)</f>
        <v>2018</v>
      </c>
      <c r="H1773" s="3" t="str">
        <f>IFERROR(__xludf.DUMMYFUNCTION("""COMPUTED_VALUE"""),"AN #24")</f>
        <v>AN #24</v>
      </c>
    </row>
    <row r="1774">
      <c r="A1774" t="str">
        <f>IFERROR(__xludf.DUMMYFUNCTION("""COMPUTED_VALUE"""),"Reinforcement learning")</f>
        <v>Reinforcement learning</v>
      </c>
      <c r="B1774" t="str">
        <f>IFERROR(__xludf.DUMMYFUNCTION("""COMPUTED_VALUE"""),"")</f>
        <v/>
      </c>
      <c r="C1774" s="3" t="str">
        <f>IFERROR(__xludf.DUMMYFUNCTION("""COMPUTED_VALUE"""),"World Models")</f>
        <v>World Models</v>
      </c>
      <c r="D1774" t="str">
        <f>IFERROR(__xludf.DUMMYFUNCTION("""COMPUTED_VALUE"""),"David Ha, Jürgen Schmidhuber")</f>
        <v>David Ha, Jürgen Schmidhuber</v>
      </c>
      <c r="E1774" t="str">
        <f>IFERROR(__xludf.DUMMYFUNCTION("""COMPUTED_VALUE"""),"arXiv")</f>
        <v>arXiv</v>
      </c>
      <c r="F1774">
        <f>IFERROR(__xludf.DUMMYFUNCTION("""COMPUTED_VALUE"""),2018.0)</f>
        <v>2018</v>
      </c>
      <c r="H1774" s="3" t="str">
        <f>IFERROR(__xludf.DUMMYFUNCTION("""COMPUTED_VALUE"""),"Recon #5")</f>
        <v>Recon #5</v>
      </c>
    </row>
    <row r="1775">
      <c r="A1775" t="str">
        <f>IFERROR(__xludf.DUMMYFUNCTION("""COMPUTED_VALUE"""),"Reinforcement learning")</f>
        <v>Reinforcement learning</v>
      </c>
      <c r="B1775" t="str">
        <f>IFERROR(__xludf.DUMMYFUNCTION("""COMPUTED_VALUE"""),"")</f>
        <v/>
      </c>
      <c r="C1775" s="3" t="str">
        <f>IFERROR(__xludf.DUMMYFUNCTION("""COMPUTED_VALUE"""),"Active Reinforcement Learning with Monte-Carlo Tree Search")</f>
        <v>Active Reinforcement Learning with Monte-Carlo Tree Search</v>
      </c>
      <c r="E1775" t="str">
        <f>IFERROR(__xludf.DUMMYFUNCTION("""COMPUTED_VALUE"""),"arXiv")</f>
        <v>arXiv</v>
      </c>
      <c r="H1775" s="3" t="str">
        <f>IFERROR(__xludf.DUMMYFUNCTION("""COMPUTED_VALUE"""),"Recon #4")</f>
        <v>Recon #4</v>
      </c>
    </row>
    <row r="1776">
      <c r="A1776" t="str">
        <f>IFERROR(__xludf.DUMMYFUNCTION("""COMPUTED_VALUE"""),"Reinforcement learning")</f>
        <v>Reinforcement learning</v>
      </c>
      <c r="B1776" t="str">
        <f>IFERROR(__xludf.DUMMYFUNCTION("""COMPUTED_VALUE"""),"")</f>
        <v/>
      </c>
      <c r="C1776" s="3" t="str">
        <f>IFERROR(__xludf.DUMMYFUNCTION("""COMPUTED_VALUE"""),"Hierarchical Reinforcement Learning: Approximating Optimal Discounted TSP Using Local Policies")</f>
        <v>Hierarchical Reinforcement Learning: Approximating Optimal Discounted TSP Using Local Policies</v>
      </c>
      <c r="E1776" t="str">
        <f>IFERROR(__xludf.DUMMYFUNCTION("""COMPUTED_VALUE"""),"ICLR 2019")</f>
        <v>ICLR 2019</v>
      </c>
      <c r="H1776" s="3" t="str">
        <f>IFERROR(__xludf.DUMMYFUNCTION("""COMPUTED_VALUE"""),"Recon #4")</f>
        <v>Recon #4</v>
      </c>
    </row>
    <row r="1777">
      <c r="A1777" t="str">
        <f>IFERROR(__xludf.DUMMYFUNCTION("""COMPUTED_VALUE"""),"Reinforcement learning")</f>
        <v>Reinforcement learning</v>
      </c>
      <c r="B1777" t="str">
        <f>IFERROR(__xludf.DUMMYFUNCTION("""COMPUTED_VALUE"""),"")</f>
        <v/>
      </c>
      <c r="C1777" s="3" t="str">
        <f>IFERROR(__xludf.DUMMYFUNCTION("""COMPUTED_VALUE"""),"Learning Memory Access Patterns")</f>
        <v>Learning Memory Access Patterns</v>
      </c>
      <c r="E1777" t="str">
        <f>IFERROR(__xludf.DUMMYFUNCTION("""COMPUTED_VALUE"""),"NIPS 2018")</f>
        <v>NIPS 2018</v>
      </c>
      <c r="H1777" s="3" t="str">
        <f>IFERROR(__xludf.DUMMYFUNCTION("""COMPUTED_VALUE"""),"Recon #4")</f>
        <v>Recon #4</v>
      </c>
    </row>
    <row r="1778">
      <c r="A1778" t="str">
        <f>IFERROR(__xludf.DUMMYFUNCTION("""COMPUTED_VALUE"""),"Reinforcement learning")</f>
        <v>Reinforcement learning</v>
      </c>
      <c r="B1778" t="str">
        <f>IFERROR(__xludf.DUMMYFUNCTION("""COMPUTED_VALUE"""),"")</f>
        <v/>
      </c>
      <c r="C1778" s="3" t="str">
        <f>IFERROR(__xludf.DUMMYFUNCTION("""COMPUTED_VALUE"""),"Feedback-Based Tree Search for Reinforcement Learning")</f>
        <v>Feedback-Based Tree Search for Reinforcement Learning</v>
      </c>
      <c r="D1778" t="str">
        <f>IFERROR(__xludf.DUMMYFUNCTION("""COMPUTED_VALUE"""),"Daniel R. Jiang, Emmanuel Ekwedike, Han Liu")</f>
        <v>Daniel R. Jiang, Emmanuel Ekwedike, Han Liu</v>
      </c>
      <c r="E1778" t="str">
        <f>IFERROR(__xludf.DUMMYFUNCTION("""COMPUTED_VALUE"""),"arXiv")</f>
        <v>arXiv</v>
      </c>
      <c r="F1778">
        <f>IFERROR(__xludf.DUMMYFUNCTION("""COMPUTED_VALUE"""),2018.0)</f>
        <v>2018</v>
      </c>
      <c r="H1778" s="3" t="str">
        <f>IFERROR(__xludf.DUMMYFUNCTION("""COMPUTED_VALUE"""),"AN #8")</f>
        <v>AN #8</v>
      </c>
      <c r="I1778" t="str">
        <f>IFERROR(__xludf.DUMMYFUNCTION("""COMPUTED_VALUE"""),"Rohin")</f>
        <v>Rohin</v>
      </c>
      <c r="J1778" t="str">
        <f>IFERROR(__xludf.DUMMYFUNCTION("""COMPUTED_VALUE"""),"See [Import AI](https://jack-clark.net/2018/05/22/import-ai-95-learning-to-predict-and-avoid-internet-arguments-with-deep-learning-white-house-announces-select-committee-on-ai-and-bmw-trains-cars-to-safely-change-lanes/)")</f>
        <v>See [Import AI](https://jack-clark.net/2018/05/22/import-ai-95-learning-to-predict-and-avoid-internet-arguments-with-deep-learning-white-house-announces-select-committee-on-ai-and-bmw-trains-cars-to-safely-change-lanes/)</v>
      </c>
    </row>
    <row r="1779">
      <c r="A1779" t="str">
        <f>IFERROR(__xludf.DUMMYFUNCTION("""COMPUTED_VALUE"""),"Reinforcement learning")</f>
        <v>Reinforcement learning</v>
      </c>
      <c r="B1779" t="str">
        <f>IFERROR(__xludf.DUMMYFUNCTION("""COMPUTED_VALUE"""),"")</f>
        <v/>
      </c>
      <c r="C1779" s="3" t="str">
        <f>IFERROR(__xludf.DUMMYFUNCTION("""COMPUTED_VALUE"""),"Episodic Memory Deep Q-Networks")</f>
        <v>Episodic Memory Deep Q-Networks</v>
      </c>
      <c r="D1779" t="str">
        <f>IFERROR(__xludf.DUMMYFUNCTION("""COMPUTED_VALUE"""),"Zichuan Lin, Tianqi Zhao, Guangwen Yang, Lintao Zhang")</f>
        <v>Zichuan Lin, Tianqi Zhao, Guangwen Yang, Lintao Zhang</v>
      </c>
      <c r="E1779" t="str">
        <f>IFERROR(__xludf.DUMMYFUNCTION("""COMPUTED_VALUE"""),"NeurIPS SECML 2018")</f>
        <v>NeurIPS SECML 2018</v>
      </c>
      <c r="F1779">
        <f>IFERROR(__xludf.DUMMYFUNCTION("""COMPUTED_VALUE"""),2018.0)</f>
        <v>2018</v>
      </c>
      <c r="H1779" s="3" t="str">
        <f>IFERROR(__xludf.DUMMYFUNCTION("""COMPUTED_VALUE"""),"AN #8")</f>
        <v>AN #8</v>
      </c>
    </row>
    <row r="1780">
      <c r="A1780" t="str">
        <f>IFERROR(__xludf.DUMMYFUNCTION("""COMPUTED_VALUE"""),"Reinforcement learning")</f>
        <v>Reinforcement learning</v>
      </c>
      <c r="B1780" t="str">
        <f>IFERROR(__xludf.DUMMYFUNCTION("""COMPUTED_VALUE"""),"")</f>
        <v/>
      </c>
      <c r="C1780" s="3" t="str">
        <f>IFERROR(__xludf.DUMMYFUNCTION("""COMPUTED_VALUE"""),"Learning Real-World Robot Policies by Dreaming")</f>
        <v>Learning Real-World Robot Policies by Dreaming</v>
      </c>
      <c r="D1780" t="str">
        <f>IFERROR(__xludf.DUMMYFUNCTION("""COMPUTED_VALUE"""),"AJ Piergiovanni, Alan Wu, Michael S. Ryoo")</f>
        <v>AJ Piergiovanni, Alan Wu, Michael S. Ryoo</v>
      </c>
      <c r="E1780" t="str">
        <f>IFERROR(__xludf.DUMMYFUNCTION("""COMPUTED_VALUE"""),"NIPS 2018")</f>
        <v>NIPS 2018</v>
      </c>
      <c r="F1780">
        <f>IFERROR(__xludf.DUMMYFUNCTION("""COMPUTED_VALUE"""),2018.0)</f>
        <v>2018</v>
      </c>
      <c r="H1780" s="3" t="str">
        <f>IFERROR(__xludf.DUMMYFUNCTION("""COMPUTED_VALUE"""),"AN #8")</f>
        <v>AN #8</v>
      </c>
    </row>
    <row r="1781">
      <c r="A1781" t="str">
        <f>IFERROR(__xludf.DUMMYFUNCTION("""COMPUTED_VALUE"""),"Reinforcement learning")</f>
        <v>Reinforcement learning</v>
      </c>
      <c r="B1781" t="str">
        <f>IFERROR(__xludf.DUMMYFUNCTION("""COMPUTED_VALUE"""),"")</f>
        <v/>
      </c>
      <c r="C1781" s="3" t="str">
        <f>IFERROR(__xludf.DUMMYFUNCTION("""COMPUTED_VALUE"""),"On Learning Intrinsic Rewards for Policy Gradient Methods")</f>
        <v>On Learning Intrinsic Rewards for Policy Gradient Methods</v>
      </c>
      <c r="D1781" t="str">
        <f>IFERROR(__xludf.DUMMYFUNCTION("""COMPUTED_VALUE"""),"Zeyu Zheng, Junhyuk Oh, Satinder Singh")</f>
        <v>Zeyu Zheng, Junhyuk Oh, Satinder Singh</v>
      </c>
      <c r="E1781" t="str">
        <f>IFERROR(__xludf.DUMMYFUNCTION("""COMPUTED_VALUE"""),"arXiv")</f>
        <v>arXiv</v>
      </c>
      <c r="F1781">
        <f>IFERROR(__xludf.DUMMYFUNCTION("""COMPUTED_VALUE"""),2018.0)</f>
        <v>2018</v>
      </c>
      <c r="H1781" s="3" t="str">
        <f>IFERROR(__xludf.DUMMYFUNCTION("""COMPUTED_VALUE"""),"AN #3")</f>
        <v>AN #3</v>
      </c>
      <c r="I1781" t="str">
        <f>IFERROR(__xludf.DUMMYFUNCTION("""COMPUTED_VALUE"""),"Rohin")</f>
        <v>Rohin</v>
      </c>
      <c r="J1781" t="str">
        <f>IFERROR(__xludf.DUMMYFUNCTION("""COMPUTED_VALUE"""),"")</f>
        <v/>
      </c>
      <c r="K1781" t="str">
        <f>IFERROR(__xludf.DUMMYFUNCTION("""COMPUTED_VALUE"""),"")</f>
        <v/>
      </c>
    </row>
    <row r="1782">
      <c r="A1782" t="str">
        <f>IFERROR(__xludf.DUMMYFUNCTION("""COMPUTED_VALUE"""),"Reinforcement learning")</f>
        <v>Reinforcement learning</v>
      </c>
      <c r="B1782" t="str">
        <f>IFERROR(__xludf.DUMMYFUNCTION("""COMPUTED_VALUE"""),"")</f>
        <v/>
      </c>
      <c r="C1782" s="3" t="str">
        <f>IFERROR(__xludf.DUMMYFUNCTION("""COMPUTED_VALUE"""),"Improving On-policy Learning with Statistical Reward Accumulation")</f>
        <v>Improving On-policy Learning with Statistical Reward Accumulation</v>
      </c>
      <c r="D1782" t="str">
        <f>IFERROR(__xludf.DUMMYFUNCTION("""COMPUTED_VALUE"""),"Yubin Deng, Ke Yu, Dahua Lin, Xiaoou Tang, Chen Change Loy")</f>
        <v>Yubin Deng, Ke Yu, Dahua Lin, Xiaoou Tang, Chen Change Loy</v>
      </c>
      <c r="E1782" t="str">
        <f>IFERROR(__xludf.DUMMYFUNCTION("""COMPUTED_VALUE"""),"USC CLASS Research Papers Series No. CLASS18-10")</f>
        <v>USC CLASS Research Papers Series No. CLASS18-10</v>
      </c>
      <c r="F1782">
        <f>IFERROR(__xludf.DUMMYFUNCTION("""COMPUTED_VALUE"""),2018.0)</f>
        <v>2018</v>
      </c>
      <c r="H1782" s="3" t="str">
        <f>IFERROR(__xludf.DUMMYFUNCTION("""COMPUTED_VALUE"""),"AN #24")</f>
        <v>AN #24</v>
      </c>
    </row>
    <row r="1783">
      <c r="A1783" t="str">
        <f>IFERROR(__xludf.DUMMYFUNCTION("""COMPUTED_VALUE"""),"Reinforcement learning")</f>
        <v>Reinforcement learning</v>
      </c>
      <c r="B1783" t="str">
        <f>IFERROR(__xludf.DUMMYFUNCTION("""COMPUTED_VALUE"""),"")</f>
        <v/>
      </c>
      <c r="C1783" s="3" t="str">
        <f>IFERROR(__xludf.DUMMYFUNCTION("""COMPUTED_VALUE"""),"ViZDoom Competitions: Playing Doom from Pixels")</f>
        <v>ViZDoom Competitions: Playing Doom from Pixels</v>
      </c>
      <c r="D1783" t="str">
        <f>IFERROR(__xludf.DUMMYFUNCTION("""COMPUTED_VALUE"""),"Marek Wydmuch, Michał Kempka, Wojciech Jaśkowski")</f>
        <v>Marek Wydmuch, Michał Kempka, Wojciech Jaśkowski</v>
      </c>
      <c r="E1783" t="str">
        <f>IFERROR(__xludf.DUMMYFUNCTION("""COMPUTED_VALUE"""),"arXiv")</f>
        <v>arXiv</v>
      </c>
      <c r="F1783">
        <f>IFERROR(__xludf.DUMMYFUNCTION("""COMPUTED_VALUE"""),2018.0)</f>
        <v>2018</v>
      </c>
      <c r="H1783" s="3" t="str">
        <f>IFERROR(__xludf.DUMMYFUNCTION("""COMPUTED_VALUE"""),"AN #24")</f>
        <v>AN #24</v>
      </c>
    </row>
    <row r="1784">
      <c r="A1784" t="str">
        <f>IFERROR(__xludf.DUMMYFUNCTION("""COMPUTED_VALUE"""),"Reinforcement learning")</f>
        <v>Reinforcement learning</v>
      </c>
      <c r="B1784" t="str">
        <f>IFERROR(__xludf.DUMMYFUNCTION("""COMPUTED_VALUE"""),"")</f>
        <v/>
      </c>
      <c r="C1784" s="3" t="str">
        <f>IFERROR(__xludf.DUMMYFUNCTION("""COMPUTED_VALUE"""),"ExpIt-OOS: Towards Learning from Planning in Imperfect Information Games")</f>
        <v>ExpIt-OOS: Towards Learning from Planning in Imperfect Information Games</v>
      </c>
      <c r="D1784" t="str">
        <f>IFERROR(__xludf.DUMMYFUNCTION("""COMPUTED_VALUE"""),"Andy Kitchen, Michela Benedetti")</f>
        <v>Andy Kitchen, Michela Benedetti</v>
      </c>
      <c r="E1784" t="str">
        <f>IFERROR(__xludf.DUMMYFUNCTION("""COMPUTED_VALUE"""),"FAT* 2019 Proceedings")</f>
        <v>FAT* 2019 Proceedings</v>
      </c>
      <c r="F1784">
        <f>IFERROR(__xludf.DUMMYFUNCTION("""COMPUTED_VALUE"""),2018.0)</f>
        <v>2018</v>
      </c>
      <c r="H1784" s="3" t="str">
        <f>IFERROR(__xludf.DUMMYFUNCTION("""COMPUTED_VALUE"""),"AN #23")</f>
        <v>AN #23</v>
      </c>
    </row>
    <row r="1785">
      <c r="A1785" t="str">
        <f>IFERROR(__xludf.DUMMYFUNCTION("""COMPUTED_VALUE"""),"Reinforcement learning")</f>
        <v>Reinforcement learning</v>
      </c>
      <c r="B1785" t="str">
        <f>IFERROR(__xludf.DUMMYFUNCTION("""COMPUTED_VALUE"""),"")</f>
        <v/>
      </c>
      <c r="C1785" s="3" t="str">
        <f>IFERROR(__xludf.DUMMYFUNCTION("""COMPUTED_VALUE"""),"Remember and Forget for Experience Replay")</f>
        <v>Remember and Forget for Experience Replay</v>
      </c>
      <c r="D1785" t="str">
        <f>IFERROR(__xludf.DUMMYFUNCTION("""COMPUTED_VALUE"""),"Guido Novati, Petros Koumoutsakos")</f>
        <v>Guido Novati, Petros Koumoutsakos</v>
      </c>
      <c r="E1785" t="str">
        <f>IFERROR(__xludf.DUMMYFUNCTION("""COMPUTED_VALUE"""),"arXiv")</f>
        <v>arXiv</v>
      </c>
      <c r="F1785">
        <f>IFERROR(__xludf.DUMMYFUNCTION("""COMPUTED_VALUE"""),2018.0)</f>
        <v>2018</v>
      </c>
      <c r="H1785" s="3" t="str">
        <f>IFERROR(__xludf.DUMMYFUNCTION("""COMPUTED_VALUE"""),"AN #16")</f>
        <v>AN #16</v>
      </c>
    </row>
    <row r="1786">
      <c r="A1786" t="str">
        <f>IFERROR(__xludf.DUMMYFUNCTION("""COMPUTED_VALUE"""),"Reinforcement learning")</f>
        <v>Reinforcement learning</v>
      </c>
      <c r="B1786" t="str">
        <f>IFERROR(__xludf.DUMMYFUNCTION("""COMPUTED_VALUE"""),"")</f>
        <v/>
      </c>
      <c r="C1786" s="3" t="str">
        <f>IFERROR(__xludf.DUMMYFUNCTION("""COMPUTED_VALUE"""),"Accuracy-based Curriculum Learning in Deep Reinforcement Learning")</f>
        <v>Accuracy-based Curriculum Learning in Deep Reinforcement Learning</v>
      </c>
      <c r="D1786" t="str">
        <f>IFERROR(__xludf.DUMMYFUNCTION("""COMPUTED_VALUE"""),"Pierre Fournier, Olivier Sigaud, Mohamed Chetouani, Pierre-Yves Oudeyer")</f>
        <v>Pierre Fournier, Olivier Sigaud, Mohamed Chetouani, Pierre-Yves Oudeyer</v>
      </c>
      <c r="E1786" t="str">
        <f>IFERROR(__xludf.DUMMYFUNCTION("""COMPUTED_VALUE"""),"arXiv")</f>
        <v>arXiv</v>
      </c>
      <c r="F1786">
        <f>IFERROR(__xludf.DUMMYFUNCTION("""COMPUTED_VALUE"""),2018.0)</f>
        <v>2018</v>
      </c>
      <c r="H1786" s="3" t="str">
        <f>IFERROR(__xludf.DUMMYFUNCTION("""COMPUTED_VALUE"""),"AN #13")</f>
        <v>AN #13</v>
      </c>
    </row>
    <row r="1787">
      <c r="A1787" t="str">
        <f>IFERROR(__xludf.DUMMYFUNCTION("""COMPUTED_VALUE"""),"Reinforcement learning")</f>
        <v>Reinforcement learning</v>
      </c>
      <c r="B1787" t="str">
        <f>IFERROR(__xludf.DUMMYFUNCTION("""COMPUTED_VALUE"""),"")</f>
        <v/>
      </c>
      <c r="C1787" s="3" t="str">
        <f>IFERROR(__xludf.DUMMYFUNCTION("""COMPUTED_VALUE"""),"Adversarial Exploration Strategy for Self-Supervised Imitation Learning")</f>
        <v>Adversarial Exploration Strategy for Self-Supervised Imitation Learning</v>
      </c>
      <c r="D1787" t="str">
        <f>IFERROR(__xludf.DUMMYFUNCTION("""COMPUTED_VALUE"""),"Zhang-Wei Hong, Tsu-Jui Fu, Tzu-Yun Shann, Yi-Hsiang Chang, Chun-Yi Lee")</f>
        <v>Zhang-Wei Hong, Tsu-Jui Fu, Tzu-Yun Shann, Yi-Hsiang Chang, Chun-Yi Lee</v>
      </c>
      <c r="E1787" t="str">
        <f>IFERROR(__xludf.DUMMYFUNCTION("""COMPUTED_VALUE"""),"arXiv")</f>
        <v>arXiv</v>
      </c>
      <c r="F1787">
        <f>IFERROR(__xludf.DUMMYFUNCTION("""COMPUTED_VALUE"""),2018.0)</f>
        <v>2018</v>
      </c>
      <c r="H1787" s="3" t="str">
        <f>IFERROR(__xludf.DUMMYFUNCTION("""COMPUTED_VALUE"""),"AN #13")</f>
        <v>AN #13</v>
      </c>
    </row>
    <row r="1788">
      <c r="A1788" t="str">
        <f>IFERROR(__xludf.DUMMYFUNCTION("""COMPUTED_VALUE"""),"Reinforcement learning")</f>
        <v>Reinforcement learning</v>
      </c>
      <c r="B1788" t="str">
        <f>IFERROR(__xludf.DUMMYFUNCTION("""COMPUTED_VALUE"""),"")</f>
        <v/>
      </c>
      <c r="C1788" s="3" t="str">
        <f>IFERROR(__xludf.DUMMYFUNCTION("""COMPUTED_VALUE"""),"Self-Imitation Learning")</f>
        <v>Self-Imitation Learning</v>
      </c>
      <c r="D1788" t="str">
        <f>IFERROR(__xludf.DUMMYFUNCTION("""COMPUTED_VALUE"""),"Junhyuk Oh, Yijie Guo, Satinder Singh, Honglak Lee")</f>
        <v>Junhyuk Oh, Yijie Guo, Satinder Singh, Honglak Lee</v>
      </c>
      <c r="E1788" t="str">
        <f>IFERROR(__xludf.DUMMYFUNCTION("""COMPUTED_VALUE"""),"arXiv")</f>
        <v>arXiv</v>
      </c>
      <c r="F1788">
        <f>IFERROR(__xludf.DUMMYFUNCTION("""COMPUTED_VALUE"""),2018.0)</f>
        <v>2018</v>
      </c>
      <c r="H1788" s="3" t="str">
        <f>IFERROR(__xludf.DUMMYFUNCTION("""COMPUTED_VALUE"""),"AN #11")</f>
        <v>AN #11</v>
      </c>
    </row>
    <row r="1789">
      <c r="A1789" t="str">
        <f>IFERROR(__xludf.DUMMYFUNCTION("""COMPUTED_VALUE"""),"Reinforcement learning")</f>
        <v>Reinforcement learning</v>
      </c>
      <c r="B1789" t="str">
        <f>IFERROR(__xludf.DUMMYFUNCTION("""COMPUTED_VALUE"""),"")</f>
        <v/>
      </c>
      <c r="C1789" s="3" t="str">
        <f>IFERROR(__xludf.DUMMYFUNCTION("""COMPUTED_VALUE"""),"Learning to navigate in cities without a map")</f>
        <v>Learning to navigate in cities without a map</v>
      </c>
      <c r="D1789" t="str">
        <f>IFERROR(__xludf.DUMMYFUNCTION("""COMPUTED_VALUE"""),"Piotr Mirowski, Raia Hadsell and Andrew Zisserman")</f>
        <v>Piotr Mirowski, Raia Hadsell and Andrew Zisserman</v>
      </c>
      <c r="E1789" t="str">
        <f>IFERROR(__xludf.DUMMYFUNCTION("""COMPUTED_VALUE"""),"Deepmind Blog")</f>
        <v>Deepmind Blog</v>
      </c>
      <c r="F1789">
        <f>IFERROR(__xludf.DUMMYFUNCTION("""COMPUTED_VALUE"""),2018.0)</f>
        <v>2018</v>
      </c>
      <c r="H1789" s="3" t="str">
        <f>IFERROR(__xludf.DUMMYFUNCTION("""COMPUTED_VALUE"""),"AN #1")</f>
        <v>AN #1</v>
      </c>
    </row>
    <row r="1790">
      <c r="A1790" t="str">
        <f>IFERROR(__xludf.DUMMYFUNCTION("""COMPUTED_VALUE"""),"Reinforcement learning")</f>
        <v>Reinforcement learning</v>
      </c>
      <c r="B1790" t="str">
        <f>IFERROR(__xludf.DUMMYFUNCTION("""COMPUTED_VALUE"""),"")</f>
        <v/>
      </c>
      <c r="C1790" s="3" t="str">
        <f>IFERROR(__xludf.DUMMYFUNCTION("""COMPUTED_VALUE"""),"Learning Invariances for Policy Generalization")</f>
        <v>Learning Invariances for Policy Generalization</v>
      </c>
      <c r="D1790" t="str">
        <f>IFERROR(__xludf.DUMMYFUNCTION("""COMPUTED_VALUE"""),"Remi Tachet des Combes, Philip Bachman, Harm van Seijen")</f>
        <v>Remi Tachet des Combes, Philip Bachman, Harm van Seijen</v>
      </c>
      <c r="E1790" t="str">
        <f>IFERROR(__xludf.DUMMYFUNCTION("""COMPUTED_VALUE"""),"arXiv")</f>
        <v>arXiv</v>
      </c>
      <c r="F1790">
        <f>IFERROR(__xludf.DUMMYFUNCTION("""COMPUTED_VALUE"""),2018.0)</f>
        <v>2018</v>
      </c>
      <c r="H1790" t="str">
        <f>IFERROR(__xludf.DUMMYFUNCTION("""COMPUTED_VALUE"""),"N/A")</f>
        <v>N/A</v>
      </c>
      <c r="I1790" t="str">
        <f>IFERROR(__xludf.DUMMYFUNCTION("""COMPUTED_VALUE"""),"Richard")</f>
        <v>Richard</v>
      </c>
      <c r="J1790" t="str">
        <f>IFERROR(__xludf.DUMMYFUNCTION("""COMPUTED_VALUE"""),"This paper compares three ways to induce generalisation in deep RL agents: data augmentation, meta-learning and adversarial training. They find that data augmentation boosts performance on a simple task from 2.8% to 99.8%, whereas the other two don't impr"&amp;"ove on the baseline.")</f>
        <v>This paper compares three ways to induce generalisation in deep RL agents: data augmentation, meta-learning and adversarial training. They find that data augmentation boosts performance on a simple task from 2.8% to 99.8%, whereas the other two don't improve on the baseline.</v>
      </c>
      <c r="K1790" t="str">
        <f>IFERROR(__xludf.DUMMYFUNCTION("""COMPUTED_VALUE"""),"This paper feels incomplete; it has very little discussion of the reasons why meta-learning and adversarial training failed, and the data augmentation result is rather perfunctory.")</f>
        <v>This paper feels incomplete; it has very little discussion of the reasons why meta-learning and adversarial training failed, and the data augmentation result is rather perfunctory.</v>
      </c>
    </row>
    <row r="1791">
      <c r="A1791" t="str">
        <f>IFERROR(__xludf.DUMMYFUNCTION("""COMPUTED_VALUE"""),"Reinforcement learning")</f>
        <v>Reinforcement learning</v>
      </c>
      <c r="B1791" t="str">
        <f>IFERROR(__xludf.DUMMYFUNCTION("""COMPUTED_VALUE"""),"")</f>
        <v/>
      </c>
      <c r="C1791" s="3" t="str">
        <f>IFERROR(__xludf.DUMMYFUNCTION("""COMPUTED_VALUE"""),"The use of embeddings in OpenAI Five")</f>
        <v>The use of embeddings in OpenAI Five</v>
      </c>
      <c r="D1791" t="str">
        <f>IFERROR(__xludf.DUMMYFUNCTION("""COMPUTED_VALUE"""),"Tambet Matiisen")</f>
        <v>Tambet Matiisen</v>
      </c>
      <c r="E1791" t="str">
        <f>IFERROR(__xludf.DUMMYFUNCTION("""COMPUTED_VALUE"""),"University of Tartu Website")</f>
        <v>University of Tartu Website</v>
      </c>
      <c r="F1791">
        <f>IFERROR(__xludf.DUMMYFUNCTION("""COMPUTED_VALUE"""),2018.0)</f>
        <v>2018</v>
      </c>
      <c r="H1791" t="str">
        <f>IFERROR(__xludf.DUMMYFUNCTION("""COMPUTED_VALUE"""),"N/A")</f>
        <v>N/A</v>
      </c>
      <c r="I1791" t="str">
        <f>IFERROR(__xludf.DUMMYFUNCTION("""COMPUTED_VALUE"""),"Richard")</f>
        <v>Richard</v>
      </c>
      <c r="J1791" t="str">
        <f>IFERROR(__xludf.DUMMYFUNCTION("""COMPUTED_VALUE"""),"This blog post discusses some information which has been released by OpenAI about the structure of the OpenAI Five networks. Starting from Dota API information, each unit, ability, item and modifier is converted to an embedding. During processing, there's"&amp;" some surprising use of max-pooling over those embeddings even when it doesn't seem appropriate. Actions are chosen depending on the dot product similarity between their embedding and the final LSTM output. In a previous version, the target for the chosen"&amp;" action was picked without conditioning on what the action actually was; this has changed in more recent versions.")</f>
        <v>This blog post discusses some information which has been released by OpenAI about the structure of the OpenAI Five networks. Starting from Dota API information, each unit, ability, item and modifier is converted to an embedding. During processing, there's some surprising use of max-pooling over those embeddings even when it doesn't seem appropriate. Actions are chosen depending on the dot product similarity between their embedding and the final LSTM output. In a previous version, the target for the chosen action was picked without conditioning on what the action actually was; this has changed in more recent versions.</v>
      </c>
    </row>
    <row r="1792">
      <c r="A1792" t="str">
        <f>IFERROR(__xludf.DUMMYFUNCTION("""COMPUTED_VALUE"""),"Reward learning theory")</f>
        <v>Reward learning theory</v>
      </c>
      <c r="B1792" t="str">
        <f>IFERROR(__xludf.DUMMYFUNCTION("""COMPUTED_VALUE"""),"")</f>
        <v/>
      </c>
      <c r="C1792" t="str">
        <f>IFERROR(__xludf.DUMMYFUNCTION("""COMPUTED_VALUE"""),"[Beyond algorithmic equivalence: algorithmic noise](https://www.lesserwrong.com/posts/meG3Pai2YeRYcwPwS/beyond-algorithmic-equivalence-rewards) and [Beyond algorithmic equivalence: self-modelling](https://www.lesserwrong.com/posts/kmLP3bTnBhc22DnqY/beyond"&amp;"-algorithmic-equivalence-self-modelling)")</f>
        <v>[Beyond algorithmic equivalence: algorithmic noise](https://www.lesserwrong.com/posts/meG3Pai2YeRYcwPwS/beyond-algorithmic-equivalence-rewards) and [Beyond algorithmic equivalence: self-modelling](https://www.lesserwrong.com/posts/kmLP3bTnBhc22DnqY/beyond-algorithmic-equivalence-self-modelling)</v>
      </c>
      <c r="D1792" t="str">
        <f>IFERROR(__xludf.DUMMYFUNCTION("""COMPUTED_VALUE"""),"Stuart Armstrong")</f>
        <v>Stuart Armstrong</v>
      </c>
      <c r="E1792" t="str">
        <f>IFERROR(__xludf.DUMMYFUNCTION("""COMPUTED_VALUE"""),"LessWrong")</f>
        <v>LessWrong</v>
      </c>
      <c r="F1792">
        <f>IFERROR(__xludf.DUMMYFUNCTION("""COMPUTED_VALUE"""),2018.0)</f>
        <v>2018</v>
      </c>
      <c r="H1792" s="3" t="str">
        <f>IFERROR(__xludf.DUMMYFUNCTION("""COMPUTED_VALUE"""),"Recon #5")</f>
        <v>Recon #5</v>
      </c>
      <c r="I1792" t="str">
        <f>IFERROR(__xludf.DUMMYFUNCTION("""COMPUTED_VALUE"""),"Rohin")</f>
        <v>Rohin</v>
      </c>
      <c r="J1792" t="str">
        <f>IFERROR(__xludf.DUMMYFUNCTION("""COMPUTED_VALUE"""),"Given human behavior, it is hard to figure out whether the behavior is generated because it is good for the human's values, or because the human is biased. One way to tell whether or not it is a bias is to look at the decision process going on inside the "&amp;"human's brain and see whether or not the human would remove the bias if possible.")</f>
        <v>Given human behavior, it is hard to figure out whether the behavior is generated because it is good for the human's values, or because the human is biased. One way to tell whether or not it is a bias is to look at the decision process going on inside the human's brain and see whether or not the human would remove the bias if possible.</v>
      </c>
      <c r="K1792" t="str">
        <f>IFERROR(__xludf.DUMMYFUNCTION("""COMPUTED_VALUE"""),"If you find my summary thought-provoking, then yes.")</f>
        <v>If you find my summary thought-provoking, then yes.</v>
      </c>
    </row>
    <row r="1793">
      <c r="A1793" t="str">
        <f>IFERROR(__xludf.DUMMYFUNCTION("""COMPUTED_VALUE"""),"Reward learning theory")</f>
        <v>Reward learning theory</v>
      </c>
      <c r="B1793" t="str">
        <f>IFERROR(__xludf.DUMMYFUNCTION("""COMPUTED_VALUE"""),"")</f>
        <v/>
      </c>
      <c r="C1793" s="3" t="str">
        <f>IFERROR(__xludf.DUMMYFUNCTION("""COMPUTED_VALUE"""),"Resolving human values, completely and adequately")</f>
        <v>Resolving human values, completely and adequately</v>
      </c>
      <c r="D1793" t="str">
        <f>IFERROR(__xludf.DUMMYFUNCTION("""COMPUTED_VALUE"""),"Stuart Armstrong")</f>
        <v>Stuart Armstrong</v>
      </c>
      <c r="E1793" t="str">
        <f>IFERROR(__xludf.DUMMYFUNCTION("""COMPUTED_VALUE"""),"LessWrong")</f>
        <v>LessWrong</v>
      </c>
      <c r="F1793">
        <f>IFERROR(__xludf.DUMMYFUNCTION("""COMPUTED_VALUE"""),2018.0)</f>
        <v>2018</v>
      </c>
      <c r="H1793" s="3" t="str">
        <f>IFERROR(__xludf.DUMMYFUNCTION("""COMPUTED_VALUE"""),"Recon #5")</f>
        <v>Recon #5</v>
      </c>
      <c r="I1793" t="str">
        <f>IFERROR(__xludf.DUMMYFUNCTION("""COMPUTED_VALUE"""),"Rohin")</f>
        <v>Rohin</v>
      </c>
      <c r="J1793" t="str">
        <f>IFERROR(__xludf.DUMMYFUNCTION("""COMPUTED_VALUE"""),"IRL and other value learning approaches make the assumption that the human has a consistent reward function, whereas in reality human values are ""contradictory, underdefined, changeable, and manipulable"". How can we use the output from algorithms like I"&amp;"RL given this? He proposes a framework where humans can have _values_ that can ""endorse"" rewards and other values, and defines a process that can take these endorsements and compute an overall reward function to optimize. The hope here is for the overal"&amp;"l reward to be adequate, not perfect.")</f>
        <v>IRL and other value learning approaches make the assumption that the human has a consistent reward function, whereas in reality human values are "contradictory, underdefined, changeable, and manipulable". How can we use the output from algorithms like IRL given this? He proposes a framework where humans can have _values_ that can "endorse" rewards and other values, and defines a process that can take these endorsements and compute an overall reward function to optimize. The hope here is for the overall reward to be adequate, not perfect.</v>
      </c>
      <c r="K1793" t="str">
        <f>IFERROR(__xludf.DUMMYFUNCTION("""COMPUTED_VALUE"""),"The approach seems very empirically-minded and not theoretically justified, which makes me worry that we would need to run a lot of experiments to actually get this into a form that doesn't fail immediately. That said, we do need some way of dealing with "&amp;"human inconsistencies, and I think the ideas behind the framework (such as endorsements) are intriguing and useful for future work on this problem.")</f>
        <v>The approach seems very empirically-minded and not theoretically justified, which makes me worry that we would need to run a lot of experiments to actually get this into a form that doesn't fail immediately. That said, we do need some way of dealing with human inconsistencies, and I think the ideas behind the framework (such as endorsements) are intriguing and useful for future work on this problem.</v>
      </c>
    </row>
    <row r="1794">
      <c r="A1794" t="str">
        <f>IFERROR(__xludf.DUMMYFUNCTION("""COMPUTED_VALUE"""),"Reward learning theory")</f>
        <v>Reward learning theory</v>
      </c>
      <c r="B1794" t="str">
        <f>IFERROR(__xludf.DUMMYFUNCTION("""COMPUTED_VALUE"""),"")</f>
        <v/>
      </c>
      <c r="C1794" s="3" t="str">
        <f>IFERROR(__xludf.DUMMYFUNCTION("""COMPUTED_VALUE"""),"Why we want unbiased learning processes")</f>
        <v>Why we want unbiased learning processes</v>
      </c>
      <c r="D1794" t="str">
        <f>IFERROR(__xludf.DUMMYFUNCTION("""COMPUTED_VALUE"""),"Stuart Armstrong")</f>
        <v>Stuart Armstrong</v>
      </c>
      <c r="E1794" t="str">
        <f>IFERROR(__xludf.DUMMYFUNCTION("""COMPUTED_VALUE"""),"LessWrong")</f>
        <v>LessWrong</v>
      </c>
      <c r="F1794">
        <f>IFERROR(__xludf.DUMMYFUNCTION("""COMPUTED_VALUE"""),2018.0)</f>
        <v>2018</v>
      </c>
      <c r="H1794" s="3" t="str">
        <f>IFERROR(__xludf.DUMMYFUNCTION("""COMPUTED_VALUE"""),"Recon #5")</f>
        <v>Recon #5</v>
      </c>
      <c r="I1794" t="str">
        <f>IFERROR(__xludf.DUMMYFUNCTION("""COMPUTED_VALUE"""),"Rohin")</f>
        <v>Rohin</v>
      </c>
      <c r="J1794" t="str">
        <f>IFERROR(__xludf.DUMMYFUNCTION("""COMPUTED_VALUE"""),"Suppose we have a reward learning agent where we have designed the reward space so that ""ask the human whether to do X"" always has higher reward than ""do X"". The agent is now considering whether to ask the human to try heroin, or just give them heroin"&amp;". If the agent gives them heroin, it will see their look of ecstasy and will update to have the reward function ""5 for giving the human heroin, 7 for asking the human"". If the agent asks the human, then the human will say ""no"", and the agent will upda"&amp;"te to have the reward function ""-1 for giving the human heroin, 1 for asking the human"". In both cases asking the human is the optimal action, yet the agent will end up giving the human heroin, since that gets reward 5, while asking the human gets rewar"&amp;"d 1. The post doesn't have this example, it has a formal model and an abstract example in that model that is isomorphic to the example I have.")</f>
        <v>Suppose we have a reward learning agent where we have designed the reward space so that "ask the human whether to do X" always has higher reward than "do X". The agent is now considering whether to ask the human to try heroin, or just give them heroin. If the agent gives them heroin, it will see their look of ecstasy and will update to have the reward function "5 for giving the human heroin, 7 for asking the human". If the agent asks the human, then the human will say "no", and the agent will update to have the reward function "-1 for giving the human heroin, 1 for asking the human". In both cases asking the human is the optimal action, yet the agent will end up giving the human heroin, since that gets reward 5, while asking the human gets reward 1. The post doesn't have this example, it has a formal model and an abstract example in that model that is isomorphic to the example I have.</v>
      </c>
      <c r="K1794" t="str">
        <f>IFERROR(__xludf.DUMMYFUNCTION("""COMPUTED_VALUE"""),"If you found my example interesting and worth thinking about, it is worth reading the post to see an attempt at formalizing it.")</f>
        <v>If you found my example interesting and worth thinking about, it is worth reading the post to see an attempt at formalizing it.</v>
      </c>
    </row>
    <row r="1795">
      <c r="A1795" t="str">
        <f>IFERROR(__xludf.DUMMYFUNCTION("""COMPUTED_VALUE"""),"Reward learning theory")</f>
        <v>Reward learning theory</v>
      </c>
      <c r="B1795" t="str">
        <f>IFERROR(__xludf.DUMMYFUNCTION("""COMPUTED_VALUE"""),"")</f>
        <v/>
      </c>
      <c r="C1795" s="3" t="str">
        <f>IFERROR(__xludf.DUMMYFUNCTION("""COMPUTED_VALUE"""),"A theory of human values")</f>
        <v>A theory of human values</v>
      </c>
      <c r="D1795" t="str">
        <f>IFERROR(__xludf.DUMMYFUNCTION("""COMPUTED_VALUE"""),"Stuart Armstrong")</f>
        <v>Stuart Armstrong</v>
      </c>
      <c r="E1795" t="str">
        <f>IFERROR(__xludf.DUMMYFUNCTION("""COMPUTED_VALUE"""),"Alignment Forum")</f>
        <v>Alignment Forum</v>
      </c>
      <c r="F1795">
        <f>IFERROR(__xludf.DUMMYFUNCTION("""COMPUTED_VALUE"""),2019.0)</f>
        <v>2019</v>
      </c>
      <c r="H1795" s="3" t="str">
        <f>IFERROR(__xludf.DUMMYFUNCTION("""COMPUTED_VALUE"""),"AN #49")</f>
        <v>AN #49</v>
      </c>
      <c r="I1795" t="str">
        <f>IFERROR(__xludf.DUMMYFUNCTION("""COMPUTED_VALUE"""),"Rohin")</f>
        <v>Rohin</v>
      </c>
      <c r="J1795" t="str">
        <f>IFERROR(__xludf.DUMMYFUNCTION("""COMPUTED_VALUE"""),"This post presents an outline of how to construct a theory of human values. First, we need to infer preferences and meta-preferences from humans who are in ""reasonable"" situations. Then we need to synthesize these into a utility function, by resolving c"&amp;"ontradictions between preferences, applying meta-preferences to preferences, and having a way of changing the procedures used to do the previous two things. We then need to argue that this leads to adequate outcomes -- he gives some simple arguments for t"&amp;"his, that rely on particular facts about humans (such as the fact that they are scope insensitive).")</f>
        <v>This post presents an outline of how to construct a theory of human values. First, we need to infer preferences and meta-preferences from humans who are in "reasonable" situations. Then we need to synthesize these into a utility function, by resolving contradictions between preferences, applying meta-preferences to preferences, and having a way of changing the procedures used to do the previous two things. We then need to argue that this leads to adequate outcomes -- he gives some simple arguments for this, that rely on particular facts about humans (such as the fact that they are scope insensitive).</v>
      </c>
    </row>
    <row r="1796">
      <c r="A1796" t="str">
        <f>IFERROR(__xludf.DUMMYFUNCTION("""COMPUTED_VALUE"""),"Reward learning theory")</f>
        <v>Reward learning theory</v>
      </c>
      <c r="B1796" t="str">
        <f>IFERROR(__xludf.DUMMYFUNCTION("""COMPUTED_VALUE"""),"")</f>
        <v/>
      </c>
      <c r="C1796" s="3" t="str">
        <f>IFERROR(__xludf.DUMMYFUNCTION("""COMPUTED_VALUE"""),"Hierarchical system preferences and subagent preferences")</f>
        <v>Hierarchical system preferences and subagent preferences</v>
      </c>
      <c r="D1796" t="str">
        <f>IFERROR(__xludf.DUMMYFUNCTION("""COMPUTED_VALUE"""),"Stuart Armstrong")</f>
        <v>Stuart Armstrong</v>
      </c>
      <c r="E1796" t="str">
        <f>IFERROR(__xludf.DUMMYFUNCTION("""COMPUTED_VALUE"""),"Alignment Forum")</f>
        <v>Alignment Forum</v>
      </c>
      <c r="F1796">
        <f>IFERROR(__xludf.DUMMYFUNCTION("""COMPUTED_VALUE"""),2019.0)</f>
        <v>2019</v>
      </c>
      <c r="H1796" s="3" t="str">
        <f>IFERROR(__xludf.DUMMYFUNCTION("""COMPUTED_VALUE"""),"AN #41")</f>
        <v>AN #41</v>
      </c>
      <c r="I1796" t="str">
        <f>IFERROR(__xludf.DUMMYFUNCTION("""COMPUTED_VALUE"""),"Rohin")</f>
        <v>Rohin</v>
      </c>
      <c r="J1796" t="str">
        <f>IFERROR(__xludf.DUMMYFUNCTION("""COMPUTED_VALUE"""),"Often, when looking at a hierarchical system, you can ascribe preferences to the system as a whole, as well as to individual parts or subagents of the system. Often, any divergence between the parts can be either interpreted as a difference between the go"&amp;"als of the parts, or a failure of rationality of one of the parts. The post gives a particular algorithm, and shows how based on the structure of the code of the subagent, we could either infer that the subagent is mistaken, or that it has different goals"&amp;".
Now, we could infer meta-preferences by seeing how the system tends to self-modify -- perhaps we notice that it tends to amplify the ""goals"" of one particular subagent, in which case we can infer that it has a meta-preference for those goals. But wit"&amp;"hout that, there's no correct answer to what the true goals are. In the post's own words: ""In the absence of some sort of meta-preferences, there are multiple ways of establishing the preferences of a hierarchical system, and many of them are equally val"&amp;"id.""")</f>
        <v>Often, when looking at a hierarchical system, you can ascribe preferences to the system as a whole, as well as to individual parts or subagents of the system. Often, any divergence between the parts can be either interpreted as a difference between the goals of the parts, or a failure of rationality of one of the parts. The post gives a particular algorithm, and shows how based on the structure of the code of the subagent, we could either infer that the subagent is mistaken, or that it has different goals.
Now, we could infer meta-preferences by seeing how the system tends to self-modify -- perhaps we notice that it tends to amplify the "goals" of one particular subagent, in which case we can infer that it has a meta-preference for those goals. But without that, there's no correct answer to what the true goals are. In the post's own words: "In the absence of some sort of meta-preferences, there are multiple ways of establishing the preferences of a hierarchical system, and many of them are equally valid."</v>
      </c>
    </row>
    <row r="1797">
      <c r="A1797" t="str">
        <f>IFERROR(__xludf.DUMMYFUNCTION("""COMPUTED_VALUE"""),"Reward learning theory")</f>
        <v>Reward learning theory</v>
      </c>
      <c r="B1797" t="str">
        <f>IFERROR(__xludf.DUMMYFUNCTION("""COMPUTED_VALUE"""),"")</f>
        <v/>
      </c>
      <c r="C1797" t="str">
        <f>IFERROR(__xludf.DUMMYFUNCTION("""COMPUTED_VALUE"""),"[Reward function learning: the value function](https://www.lesswrong.com/posts/55hJDq5y7Dv3S4h49/reward-function-learning-the-value-function) and [Reward function learning: the learning process](https://www.lesswrong.com/posts/upLot6eG8cbXdKiFS/reward-fun"&amp;"ction-learning-the-learning-process)")</f>
        <v>[Reward function learning: the value function](https://www.lesswrong.com/posts/55hJDq5y7Dv3S4h49/reward-function-learning-the-value-function) and [Reward function learning: the learning process](https://www.lesswrong.com/posts/upLot6eG8cbXdKiFS/reward-function-learning-the-learning-process)</v>
      </c>
      <c r="D1797" t="str">
        <f>IFERROR(__xludf.DUMMYFUNCTION("""COMPUTED_VALUE"""),"Stuart Armstrong")</f>
        <v>Stuart Armstrong</v>
      </c>
      <c r="E1797" t="str">
        <f>IFERROR(__xludf.DUMMYFUNCTION("""COMPUTED_VALUE"""),"LessWrong")</f>
        <v>LessWrong</v>
      </c>
      <c r="F1797">
        <f>IFERROR(__xludf.DUMMYFUNCTION("""COMPUTED_VALUE"""),2018.0)</f>
        <v>2018</v>
      </c>
      <c r="H1797" s="3" t="str">
        <f>IFERROR(__xludf.DUMMYFUNCTION("""COMPUTED_VALUE"""),"AN #4")</f>
        <v>AN #4</v>
      </c>
      <c r="I1797" t="str">
        <f>IFERROR(__xludf.DUMMYFUNCTION("""COMPUTED_VALUE"""),"Rohin")</f>
        <v>Rohin</v>
      </c>
      <c r="J1797" t="str">
        <f>IFERROR(__xludf.DUMMYFUNCTION("""COMPUTED_VALUE"""),"These posts introduce a theoretical framework for reward learning, where a reward learning algorithm is modeled as something that produces a probability distribution over reward functions given a history and current policy. With such a general notion of r"&amp;"eward learning, it becomes hard to define the value function -- while we still want something like sum of expected rewards, it is no longer clear how to take an expectation over the reward function, given that the distribution over it can change over time"&amp;". Most plausible ways of doing this lead to time-inconsistent decisions, but one works well. The second post turns to the learning process and analyzes properties that it would be nice to have. In the worst case, we can get quite pathological behavior, bu"&amp;"t of course we get to choose the learning algorithm so we can avoid worst-case behavior. In general, we would want our learning algorithm to be _unriggable_ and/or _uninfluenceable_, but this is not possible when learning from humans since different polic"&amp;"ies on the AI's part will lead to it learning different rewards.")</f>
        <v>These posts introduce a theoretical framework for reward learning, where a reward learning algorithm is modeled as something that produces a probability distribution over reward functions given a history and current policy. With such a general notion of reward learning, it becomes hard to define the value function -- while we still want something like sum of expected rewards, it is no longer clear how to take an expectation over the reward function, given that the distribution over it can change over time. Most plausible ways of doing this lead to time-inconsistent decisions, but one works well. The second post turns to the learning process and analyzes properties that it would be nice to have. In the worst case, we can get quite pathological behavior, but of course we get to choose the learning algorithm so we can avoid worst-case behavior. In general, we would want our learning algorithm to be _unriggable_ and/or _uninfluenceable_, but this is not possible when learning from humans since different policies on the AI's part will lead to it learning different rewards.</v>
      </c>
      <c r="K1797" t="str">
        <f>IFERROR(__xludf.DUMMYFUNCTION("""COMPUTED_VALUE"""),"I like this theoretical analysis that shows what could go wrong with processes that learn preferences. I did find it a bit hard to connect the ideas in this post with concrete reward learning algorithms (such as inverse reinforcement learning) -- it seems"&amp;" plausible to me that if I properly understood what the formal definitions of unriggable and uninfluenceable meant in the IRL setting, I wouldn't view them as desirable.")</f>
        <v>I like this theoretical analysis that shows what could go wrong with processes that learn preferences. I did find it a bit hard to connect the ideas in this post with concrete reward learning algorithms (such as inverse reinforcement learning) -- it seems plausible to me that if I properly understood what the formal definitions of unriggable and uninfluenceable meant in the IRL setting, I wouldn't view them as desirable.</v>
      </c>
    </row>
    <row r="1798">
      <c r="A1798" t="str">
        <f>IFERROR(__xludf.DUMMYFUNCTION("""COMPUTED_VALUE"""),"Reward learning theory")</f>
        <v>Reward learning theory</v>
      </c>
      <c r="B1798" t="str">
        <f>IFERROR(__xludf.DUMMYFUNCTION("""COMPUTED_VALUE"""),"")</f>
        <v/>
      </c>
      <c r="C1798" s="3" t="str">
        <f>IFERROR(__xludf.DUMMYFUNCTION("""COMPUTED_VALUE"""),"Figuring out what Alice wants: non-human Alice")</f>
        <v>Figuring out what Alice wants: non-human Alice</v>
      </c>
      <c r="D1798" t="str">
        <f>IFERROR(__xludf.DUMMYFUNCTION("""COMPUTED_VALUE"""),"Stuart Armstrong")</f>
        <v>Stuart Armstrong</v>
      </c>
      <c r="E1798" t="str">
        <f>IFERROR(__xludf.DUMMYFUNCTION("""COMPUTED_VALUE"""),"Alignment Forum")</f>
        <v>Alignment Forum</v>
      </c>
      <c r="F1798">
        <f>IFERROR(__xludf.DUMMYFUNCTION("""COMPUTED_VALUE"""),2018.0)</f>
        <v>2018</v>
      </c>
      <c r="H1798" s="3" t="str">
        <f>IFERROR(__xludf.DUMMYFUNCTION("""COMPUTED_VALUE"""),"AN #37")</f>
        <v>AN #37</v>
      </c>
      <c r="I1798" t="str">
        <f>IFERROR(__xludf.DUMMYFUNCTION("""COMPUTED_VALUE"""),"Rohin")</f>
        <v>Rohin</v>
      </c>
      <c r="J1798" t="str">
        <f>IFERROR(__xludf.DUMMYFUNCTION("""COMPUTED_VALUE"""),"We know that if we have a potentially irrational agent, then inferring their preferences is [impossible](https://arxiv.org/abs/1712.05812) without further assumptions. However, in practice we can infer preferences of humans quite well. This is because we "&amp;"have very specific and narrow models of how humans work: we tend to agree on our judgments of whether someone is angry, and what anger implies about their preferences. This is exactly what the theorem is meant to prohibit, which means that humans are maki"&amp;"ng some strong assumptions about other humans. As a result, we can hope to solve the value learning problem by figuring out what assumptions humans are already making and using those assumptions.")</f>
        <v>We know that if we have a potentially irrational agent, then inferring their preferences is [impossible](https://arxiv.org/abs/1712.05812) without further assumptions. However, in practice we can infer preferences of humans quite well. This is because we have very specific and narrow models of how humans work: we tend to agree on our judgments of whether someone is angry, and what anger implies about their preferences. This is exactly what the theorem is meant to prohibit, which means that humans are making some strong assumptions about other humans. As a result, we can hope to solve the value learning problem by figuring out what assumptions humans are already making and using those assumptions.</v>
      </c>
      <c r="K1798" t="str">
        <f>IFERROR(__xludf.DUMMYFUNCTION("""COMPUTED_VALUE"""),"The fact that humans are quite good at inferring preferences should give us optimism about value learning. In the [framework](https://www.alignmentforum.org/s/4dHMdK5TLN6xcqtyc/p/h9DesGT3WT9u2k7Hr) of rationality with a mistake model, we are trying to inf"&amp;"er the mistake model from the way that humans infer preferences about other humans. This sidesteps the impossibility result by focusing on the _structure_ of the algorithm that generates the policy. However, it still seems like we have to make some assump"&amp;"tion about how the structure of the algorithm leads to a mistake model, or a model for what values are. Though perhaps we can get an answer that is principled enough or intuitive enough that we believe it.")</f>
        <v>The fact that humans are quite good at inferring preferences should give us optimism about value learning. In the [framework](https://www.alignmentforum.org/s/4dHMdK5TLN6xcqtyc/p/h9DesGT3WT9u2k7Hr) of rationality with a mistake model, we are trying to infer the mistake model from the way that humans infer preferences about other humans. This sidesteps the impossibility result by focusing on the _structure_ of the algorithm that generates the policy. However, it still seems like we have to make some assumption about how the structure of the algorithm leads to a mistake model, or a model for what values are. Though perhaps we can get an answer that is principled enough or intuitive enough that we believe it.</v>
      </c>
    </row>
    <row r="1799">
      <c r="A1799" t="str">
        <f>IFERROR(__xludf.DUMMYFUNCTION("""COMPUTED_VALUE"""),"Reward learning theory")</f>
        <v>Reward learning theory</v>
      </c>
      <c r="B1799" t="str">
        <f>IFERROR(__xludf.DUMMYFUNCTION("""COMPUTED_VALUE"""),"")</f>
        <v/>
      </c>
      <c r="C1799" s="3" t="str">
        <f>IFERROR(__xludf.DUMMYFUNCTION("""COMPUTED_VALUE"""),"By default, avoid ambiguous distant situations")</f>
        <v>By default, avoid ambiguous distant situations</v>
      </c>
      <c r="D1799" t="str">
        <f>IFERROR(__xludf.DUMMYFUNCTION("""COMPUTED_VALUE"""),"Stuart Armstrong")</f>
        <v>Stuart Armstrong</v>
      </c>
      <c r="E1799" t="str">
        <f>IFERROR(__xludf.DUMMYFUNCTION("""COMPUTED_VALUE"""),"Alignment Forum")</f>
        <v>Alignment Forum</v>
      </c>
      <c r="F1799">
        <f>IFERROR(__xludf.DUMMYFUNCTION("""COMPUTED_VALUE"""),2019.0)</f>
        <v>2019</v>
      </c>
      <c r="H1799" s="3" t="str">
        <f>IFERROR(__xludf.DUMMYFUNCTION("""COMPUTED_VALUE"""),"AN #57")</f>
        <v>AN #57</v>
      </c>
    </row>
    <row r="1800">
      <c r="A1800" t="str">
        <f>IFERROR(__xludf.DUMMYFUNCTION("""COMPUTED_VALUE"""),"Reward learning theory")</f>
        <v>Reward learning theory</v>
      </c>
      <c r="B1800" t="str">
        <f>IFERROR(__xludf.DUMMYFUNCTION("""COMPUTED_VALUE"""),"")</f>
        <v/>
      </c>
      <c r="C1800" t="str">
        <f>IFERROR(__xludf.DUMMYFUNCTION("""COMPUTED_VALUE"""),"[""Normative assumptions"" need not be complex](https://www.alignmentforum.org/posts/QzsCrzGd4zkNwk9cd/normative-assumptions-need-not-be-complex), [Humans interpreting humans](https://www.alignmentforum.org/posts/eXiuk8Yjd7FsunhxM/humans-interpreting-huma"&amp;"ns) and [Anchoring vs Taste: a model](https://www.alignmentforum.org/posts/7gMkkEMQa78h8Bpmr/anchoring-vs-taste-a-model)")</f>
        <v>["Normative assumptions" need not be complex](https://www.alignmentforum.org/posts/QzsCrzGd4zkNwk9cd/normative-assumptions-need-not-be-complex), [Humans interpreting humans](https://www.alignmentforum.org/posts/eXiuk8Yjd7FsunhxM/humans-interpreting-humans) and [Anchoring vs Taste: a model](https://www.alignmentforum.org/posts/7gMkkEMQa78h8Bpmr/anchoring-vs-taste-a-model)</v>
      </c>
      <c r="D1800" t="str">
        <f>IFERROR(__xludf.DUMMYFUNCTION("""COMPUTED_VALUE"""),"Stuart Armstrong")</f>
        <v>Stuart Armstrong</v>
      </c>
      <c r="E1800" t="str">
        <f>IFERROR(__xludf.DUMMYFUNCTION("""COMPUTED_VALUE"""),"Alignment Forum")</f>
        <v>Alignment Forum</v>
      </c>
      <c r="F1800">
        <f>IFERROR(__xludf.DUMMYFUNCTION("""COMPUTED_VALUE"""),2019.0)</f>
        <v>2019</v>
      </c>
      <c r="H1800" s="3" t="str">
        <f>IFERROR(__xludf.DUMMYFUNCTION("""COMPUTED_VALUE"""),"AN #46")</f>
        <v>AN #46</v>
      </c>
      <c r="I1800" t="str">
        <f>IFERROR(__xludf.DUMMYFUNCTION("""COMPUTED_VALUE"""),"Rohin")</f>
        <v>Rohin</v>
      </c>
      <c r="J1800" t="str">
        <f>IFERROR(__xludf.DUMMYFUNCTION("""COMPUTED_VALUE"""),"We have seen before that since humans are not perfectly rational, it is [impossible](https://www.alignmentforum.org/posts/ANupXf8XfZo2EJxGv/humans-can-be-assigned-any-values-whatsoever) ([AN #31](https://mailchi.mp/7d0e3916e3d9/alignment-newsletter-31)) t"&amp;"o deduce their preferences, even with a simplicity prior, without any additional assumptions. This post makes the point that those assumptions need not be complex -- for example, if we could look at the ""source code"" of an agent, and we can find one maj"&amp;"or part with the same type signature as a reward function, and another major part with the type signature of a planner, then we can output the first part as the reward function. This won't work on humans, but we can hope that a similarly simple assumption"&amp;" that bakes in a lot of knowledge about humans could allow us to infer human preferences.
Since we seem to be very capable of inferring preferences of other humans, we might want to replicate our normative assumptions. The key idea is that we model ourse"&amp;"lves and others in very similar ways. So, we could assume that if H is a human and G another human, then G's models of H's preferences and rationality are informative of H's preferences and rationality.
Stuart then shows how we could apply this to distin"&amp;"guish between choices made as a result of anchoring bias vs. actual taste preferences. Suppose that in condition 1, our human H would pay $1 or $3 for the same bar of chocolate depending on whether they were anchored on $0.01 or $100, and in condition 2 t"&amp;"hey would pay $1 or $3 depending on whether the chocolate has nuts. Ideally, we'd call the first case a bias, and the second one a preference. But in both cases, H's choice was determined by access to some information, so how can we distinguish between th"&amp;"em? If we have access to H's internal model, we might expect that in the nuts case the information about nuts passes through a world model that then passes it on to a reward evaluator, whereas in the anchoring case the world model throws the information a"&amp;"way, but it still affects the reward evaluator through a side channel. So we could add the normative assumption that only information that goes through the world model can be part of preferences. Of course, we could imagine another agent where the anchori"&amp;"ng information goes through the world model and the nuts goes through the side channel -- but this agent is not human-like.")</f>
        <v>We have seen before that since humans are not perfectly rational, it is [impossible](https://www.alignmentforum.org/posts/ANupXf8XfZo2EJxGv/humans-can-be-assigned-any-values-whatsoever) ([AN #31](https://mailchi.mp/7d0e3916e3d9/alignment-newsletter-31)) to deduce their preferences, even with a simplicity prior, without any additional assumptions. This post makes the point that those assumptions need not be complex -- for example, if we could look at the "source code" of an agent, and we can find one major part with the same type signature as a reward function, and another major part with the type signature of a planner, then we can output the first part as the reward function. This won't work on humans, but we can hope that a similarly simple assumption that bakes in a lot of knowledge about humans could allow us to infer human preferences.
Since we seem to be very capable of inferring preferences of other humans, we might want to replicate our normative assumptions. The key idea is that we model ourselves and others in very similar ways. So, we could assume that if H is a human and G another human, then G's models of H's preferences and rationality are informative of H's preferences and rationality.
Stuart then shows how we could apply this to distinguish between choices made as a result of anchoring bias vs. actual taste preferences. Suppose that in condition 1, our human H would pay $1 or $3 for the same bar of chocolate depending on whether they were anchored on $0.01 or $100, and in condition 2 they would pay $1 or $3 depending on whether the chocolate has nuts. Ideally, we'd call the first case a bias, and the second one a preference. But in both cases, H's choice was determined by access to some information, so how can we distinguish between them? If we have access to H's internal model, we might expect that in the nuts case the information about nuts passes through a world model that then passes it on to a reward evaluator, whereas in the anchoring case the world model throws the information away, but it still affects the reward evaluator through a side channel. So we could add the normative assumption that only information that goes through the world model can be part of preferences. Of course, we could imagine another agent where the anchoring information goes through the world model and the nuts goes through the side channel -- but this agent is not human-like.</v>
      </c>
      <c r="K1800" t="str">
        <f>IFERROR(__xludf.DUMMYFUNCTION("""COMPUTED_VALUE"""),"There's one possible view where you look at the impossibility result around inferring preferences, and think that value alignment is hopeless. I don't subscribe to this view, for basically the reasons given in this post -- while you can't infer preference"&amp;"s for arbitrary agents, it certainly seems possible for humans in particular.
That said, I would expect that we accomplish this by learning a model that implicitly knows how to think about human preferences, rather than by explicitly constructing particu"&amp;"lar normative assumptions that we think will lead to good behavior. Explicit assumptions will inevitably be [misspecified](https://www.alignmentforum.org/posts/gnvrixhDfG7S2TpNL/latent-variables-and-model-mis-specification) ([AN #32](https://mailchi.mp/8f"&amp;"5d302499be/alignment-newsletter-32)), which is fine if we can correct the misspecification in the future, but at least under the threat model of an AI system that prevents us from changing its utility function (which I believe is the threat model Stuart u"&amp;"sually considers) this isn't an option available to us.")</f>
        <v>There's one possible view where you look at the impossibility result around inferring preferences, and think that value alignment is hopeless. I don't subscribe to this view, for basically the reasons given in this post -- while you can't infer preferences for arbitrary agents, it certainly seems possible for humans in particular.
That said, I would expect that we accomplish this by learning a model that implicitly knows how to think about human preferences, rather than by explicitly constructing particular normative assumptions that we think will lead to good behavior. Explicit assumptions will inevitably be [misspecified](https://www.alignmentforum.org/posts/gnvrixhDfG7S2TpNL/latent-variables-and-model-mis-specification) ([AN #32](https://mailchi.mp/8f5d302499be/alignment-newsletter-32)), which is fine if we can correct the misspecification in the future, but at least under the threat model of an AI system that prevents us from changing its utility function (which I believe is the threat model Stuart usually considers) this isn't an option available to us.</v>
      </c>
    </row>
    <row r="1801">
      <c r="A1801" t="str">
        <f>IFERROR(__xludf.DUMMYFUNCTION("""COMPUTED_VALUE"""),"Reward learning theory")</f>
        <v>Reward learning theory</v>
      </c>
      <c r="B1801" t="str">
        <f>IFERROR(__xludf.DUMMYFUNCTION("""COMPUTED_VALUE"""),"")</f>
        <v/>
      </c>
      <c r="C1801" t="str">
        <f>IFERROR(__xludf.DUMMYFUNCTION("""COMPUTED_VALUE"""),"[One-step hypothetical preferences](https://www.alignmentforum.org/posts/i6hWWcKyxBPj7ELT6/one-step-hypothetical-preferences) and [A small example of one-step hypotheticals](https://www.lesswrong.com/posts/zo5K8QeDZiLicSCe6/a-small-example-of-one-step-hyp"&amp;"otheticals)")</f>
        <v>[One-step hypothetical preferences](https://www.alignmentforum.org/posts/i6hWWcKyxBPj7ELT6/one-step-hypothetical-preferences) and [A small example of one-step hypotheticals](https://www.lesswrong.com/posts/zo5K8QeDZiLicSCe6/a-small-example-of-one-step-hypotheticals)</v>
      </c>
      <c r="D1801" t="str">
        <f>IFERROR(__xludf.DUMMYFUNCTION("""COMPUTED_VALUE"""),"Stuart Armstrong")</f>
        <v>Stuart Armstrong</v>
      </c>
      <c r="E1801" t="str">
        <f>IFERROR(__xludf.DUMMYFUNCTION("""COMPUTED_VALUE"""),"Alignment Forum")</f>
        <v>Alignment Forum</v>
      </c>
      <c r="F1801">
        <f>IFERROR(__xludf.DUMMYFUNCTION("""COMPUTED_VALUE"""),2019.0)</f>
        <v>2019</v>
      </c>
      <c r="H1801" s="3" t="str">
        <f>IFERROR(__xludf.DUMMYFUNCTION("""COMPUTED_VALUE"""),"AN #44")</f>
        <v>AN #44</v>
      </c>
      <c r="I1801" t="str">
        <f>IFERROR(__xludf.DUMMYFUNCTION("""COMPUTED_VALUE"""),"Richard")</f>
        <v>Richard</v>
      </c>
      <c r="J1801" t="str">
        <f>IFERROR(__xludf.DUMMYFUNCTION("""COMPUTED_VALUE"""),"We don't hold most of our preferences in mind at any given time - rather, they need to be elicited from us by prompting us to think about them. However, a detailed prompt could be used to manipulate the resulting judgement. In this post, Stuart discusses "&amp;"hypothetical interventions which are short enough to avoid this problem, while still causing a human to pass judgement on some aspect of their existing model of the world - for example, being asked a brief question, or seeing something on a TV show. He de"&amp;"fines a one-step hypothetical, by contrast, as a prompt which causes the human to reflect on a new issue that they hadn't considered before. While this data will be fairly noisy, he claims that there will still be useful information to be gained from it.")</f>
        <v>We don't hold most of our preferences in mind at any given time - rather, they need to be elicited from us by prompting us to think about them. However, a detailed prompt could be used to manipulate the resulting judgement. In this post, Stuart discusses hypothetical interventions which are short enough to avoid this problem, while still causing a human to pass judgement on some aspect of their existing model of the world - for example, being asked a brief question, or seeing something on a TV show. He defines a one-step hypothetical, by contrast, as a prompt which causes the human to reflect on a new issue that they hadn't considered before. While this data will be fairly noisy, he claims that there will still be useful information to be gained from it.</v>
      </c>
      <c r="K1801" t="str">
        <f>IFERROR(__xludf.DUMMYFUNCTION("""COMPUTED_VALUE"""),"I'm not quite sure what overall point Stuart is trying to make. However, if we're concerned that an agent might manipulate humans, I don't see why we should trust it to aggregate the data from many one-step hypotheticals, since ""manipulation"" could then"&amp;" occur using the many degrees of freedom involved in choosing the questions and interpreting the answers.")</f>
        <v>I'm not quite sure what overall point Stuart is trying to make. However, if we're concerned that an agent might manipulate humans, I don't see why we should trust it to aggregate the data from many one-step hypotheticals, since "manipulation" could then occur using the many degrees of freedom involved in choosing the questions and interpreting the answers.</v>
      </c>
    </row>
    <row r="1802">
      <c r="A1802" t="str">
        <f>IFERROR(__xludf.DUMMYFUNCTION("""COMPUTED_VALUE"""),"Reward learning theory")</f>
        <v>Reward learning theory</v>
      </c>
      <c r="B1802" t="str">
        <f>IFERROR(__xludf.DUMMYFUNCTION("""COMPUTED_VALUE"""),"")</f>
        <v/>
      </c>
      <c r="C1802" s="3" t="str">
        <f>IFERROR(__xludf.DUMMYFUNCTION("""COMPUTED_VALUE"""),"The case against economic values in the brain")</f>
        <v>The case against economic values in the brain</v>
      </c>
      <c r="D1802" t="str">
        <f>IFERROR(__xludf.DUMMYFUNCTION("""COMPUTED_VALUE"""),"Benjamin Y. Hayden, Yael Niv")</f>
        <v>Benjamin Y. Hayden, Yael Niv</v>
      </c>
      <c r="E1802" t="str">
        <f>IFERROR(__xludf.DUMMYFUNCTION("""COMPUTED_VALUE"""),"PsyArXiv")</f>
        <v>PsyArXiv</v>
      </c>
      <c r="F1802">
        <f>IFERROR(__xludf.DUMMYFUNCTION("""COMPUTED_VALUE"""),2020.0)</f>
        <v>2020</v>
      </c>
      <c r="G1802" t="str">
        <f>IFERROR(__xludf.DUMMYFUNCTION("""COMPUTED_VALUE"""),"Xuan Tan")</f>
        <v>Xuan Tan</v>
      </c>
      <c r="H1802" s="3" t="str">
        <f>IFERROR(__xludf.DUMMYFUNCTION("""COMPUTED_VALUE"""),"AN #123")</f>
        <v>AN #123</v>
      </c>
      <c r="I1802" t="str">
        <f>IFERROR(__xludf.DUMMYFUNCTION("""COMPUTED_VALUE"""),"Rohin")</f>
        <v>Rohin</v>
      </c>
      <c r="J1802" t="str">
        <f>IFERROR(__xludf.DUMMYFUNCTION("""COMPUTED_VALUE"""),"It has been common in the neuroeconomics literature to assume (based on past research) that the brain explicitly computes some notion of value in order to make choices. This paper argues that this is wrong: it is plausible that the brain does not in fact "&amp;"explicitly calculate values, and instead directly learns a policy that produces actions.")</f>
        <v>It has been common in the neuroeconomics literature to assume (based on past research) that the brain explicitly computes some notion of value in order to make choices. This paper argues that this is wrong: it is plausible that the brain does not in fact explicitly calculate values, and instead directly learns a policy that produces actions.</v>
      </c>
      <c r="K1802" t="str">
        <f>IFERROR(__xludf.DUMMYFUNCTION("""COMPUTED_VALUE"""),"If you previously were optimistic about inverse reinforcement learning and similar techniques because you thought they could infer the same notion of value that the brain computes, this seems like an important counterargument. However, it should be noted "&amp;"that the authors are _not_ arguing that the brain is not optimizing some specific notion of value: just that it is not _explicitly computing_ such a notion of value. (Similarly, policies learned by RL optimize the reward function, even though they need no"&amp;"t explicitly calculate the reward of every state in order to choose an action.) So you could still hope that the brain is optimizing some notion of value that isn’t explicitly computed, and then use inverse RL to recover that notion of value.")</f>
        <v>If you previously were optimistic about inverse reinforcement learning and similar techniques because you thought they could infer the same notion of value that the brain computes, this seems like an important counterargument. However, it should be noted that the authors are _not_ arguing that the brain is not optimizing some specific notion of value: just that it is not _explicitly computing_ such a notion of value. (Similarly, policies learned by RL optimize the reward function, even though they need not explicitly calculate the reward of every state in order to choose an action.) So you could still hope that the brain is optimizing some notion of value that isn’t explicitly computed, and then use inverse RL to recover that notion of value.</v>
      </c>
    </row>
    <row r="1803">
      <c r="A1803" t="str">
        <f>IFERROR(__xludf.DUMMYFUNCTION("""COMPUTED_VALUE"""),"Reward learning theory")</f>
        <v>Reward learning theory</v>
      </c>
      <c r="B1803" t="str">
        <f>IFERROR(__xludf.DUMMYFUNCTION("""COMPUTED_VALUE"""),"")</f>
        <v/>
      </c>
      <c r="C1803" s="3" t="str">
        <f>IFERROR(__xludf.DUMMYFUNCTION("""COMPUTED_VALUE"""),"AI Alignment Problem: “Human Values” don’t Actually Exist")</f>
        <v>AI Alignment Problem: “Human Values” don’t Actually Exist</v>
      </c>
      <c r="D1803" t="str">
        <f>IFERROR(__xludf.DUMMYFUNCTION("""COMPUTED_VALUE"""),"avturchin")</f>
        <v>avturchin</v>
      </c>
      <c r="E1803" t="str">
        <f>IFERROR(__xludf.DUMMYFUNCTION("""COMPUTED_VALUE"""),"LessWrong")</f>
        <v>LessWrong</v>
      </c>
      <c r="F1803">
        <f>IFERROR(__xludf.DUMMYFUNCTION("""COMPUTED_VALUE"""),2019.0)</f>
        <v>2019</v>
      </c>
      <c r="H1803" s="3" t="str">
        <f>IFERROR(__xludf.DUMMYFUNCTION("""COMPUTED_VALUE"""),"AN #54")</f>
        <v>AN #54</v>
      </c>
    </row>
    <row r="1804">
      <c r="A1804" t="str">
        <f>IFERROR(__xludf.DUMMYFUNCTION("""COMPUTED_VALUE"""),"Reward learning theory")</f>
        <v>Reward learning theory</v>
      </c>
      <c r="B1804" t="str">
        <f>IFERROR(__xludf.DUMMYFUNCTION("""COMPUTED_VALUE"""),"")</f>
        <v/>
      </c>
      <c r="C1804" s="3" t="str">
        <f>IFERROR(__xludf.DUMMYFUNCTION("""COMPUTED_VALUE"""),"Rigging is a form of wireheading")</f>
        <v>Rigging is a form of wireheading</v>
      </c>
      <c r="D1804" t="str">
        <f>IFERROR(__xludf.DUMMYFUNCTION("""COMPUTED_VALUE"""),"Stuart Armstrong")</f>
        <v>Stuart Armstrong</v>
      </c>
      <c r="E1804" t="str">
        <f>IFERROR(__xludf.DUMMYFUNCTION("""COMPUTED_VALUE"""),"LessWrong")</f>
        <v>LessWrong</v>
      </c>
      <c r="F1804">
        <f>IFERROR(__xludf.DUMMYFUNCTION("""COMPUTED_VALUE"""),2018.0)</f>
        <v>2018</v>
      </c>
      <c r="H1804" s="3" t="str">
        <f>IFERROR(__xludf.DUMMYFUNCTION("""COMPUTED_VALUE"""),"AN #5")</f>
        <v>AN #5</v>
      </c>
      <c r="I1804" t="str">
        <f>IFERROR(__xludf.DUMMYFUNCTION("""COMPUTED_VALUE"""),"Rohin")</f>
        <v>Rohin</v>
      </c>
      <c r="J1804" t="str">
        <f>IFERROR(__xludf.DUMMYFUNCTION("""COMPUTED_VALUE"""),"Ideally in reward learning, we want our AI to be learning a fact about the world -- which reward it should be optimizing. However, for most proposals of reward learning, the AI's actions can also influence this ""fact"" about the world. In this case, the "&amp;"AI can wirehead by influencing the world so that it learns an easy-to-maximize reward. This is what Stuart calls ""rigging"" of the learning process.")</f>
        <v>Ideally in reward learning, we want our AI to be learning a fact about the world -- which reward it should be optimizing. However, for most proposals of reward learning, the AI's actions can also influence this "fact" about the world. In this case, the AI can wirehead by influencing the world so that it learns an easy-to-maximize reward. This is what Stuart calls "rigging" of the learning process.</v>
      </c>
    </row>
    <row r="1805">
      <c r="A1805" t="str">
        <f>IFERROR(__xludf.DUMMYFUNCTION("""COMPUTED_VALUE"""),"Reward learning theory")</f>
        <v>Reward learning theory</v>
      </c>
      <c r="B1805" t="str">
        <f>IFERROR(__xludf.DUMMYFUNCTION("""COMPUTED_VALUE"""),"")</f>
        <v/>
      </c>
      <c r="C1805" s="3" t="str">
        <f>IFERROR(__xludf.DUMMYFUNCTION("""COMPUTED_VALUE"""),"Utility versus Reward function: partial equivalence")</f>
        <v>Utility versus Reward function: partial equivalence</v>
      </c>
      <c r="D1805" t="str">
        <f>IFERROR(__xludf.DUMMYFUNCTION("""COMPUTED_VALUE"""),"Stuart Armstrong")</f>
        <v>Stuart Armstrong</v>
      </c>
      <c r="E1805" t="str">
        <f>IFERROR(__xludf.DUMMYFUNCTION("""COMPUTED_VALUE"""),"LessWrong")</f>
        <v>LessWrong</v>
      </c>
      <c r="F1805">
        <f>IFERROR(__xludf.DUMMYFUNCTION("""COMPUTED_VALUE"""),2018.0)</f>
        <v>2018</v>
      </c>
      <c r="H1805" s="3" t="str">
        <f>IFERROR(__xludf.DUMMYFUNCTION("""COMPUTED_VALUE"""),"AN #2")</f>
        <v>AN #2</v>
      </c>
      <c r="I1805" t="str">
        <f>IFERROR(__xludf.DUMMYFUNCTION("""COMPUTED_VALUE"""),"Rohin")</f>
        <v>Rohin</v>
      </c>
      <c r="J1805" t="str">
        <f>IFERROR(__xludf.DUMMYFUNCTION("""COMPUTED_VALUE"""),"")</f>
        <v/>
      </c>
      <c r="K1805" t="str">
        <f>IFERROR(__xludf.DUMMYFUNCTION("""COMPUTED_VALUE"""),"")</f>
        <v/>
      </c>
    </row>
    <row r="1806">
      <c r="A1806" t="str">
        <f>IFERROR(__xludf.DUMMYFUNCTION("""COMPUTED_VALUE"""),"Reward learning theory")</f>
        <v>Reward learning theory</v>
      </c>
      <c r="B1806" t="str">
        <f>IFERROR(__xludf.DUMMYFUNCTION("""COMPUTED_VALUE"""),"")</f>
        <v/>
      </c>
      <c r="C1806" t="str">
        <f>IFERROR(__xludf.DUMMYFUNCTION("""COMPUTED_VALUE"""),"Figuring out what Alice wants, parts [I](https://www.lesswrong.com/posts/so78tQvTCaBgw4bfL/figuring-out-what-alice-wants-part-i) and [II](https://www.lesswrong.com/posts/rcXaY3FgoobMkH2jc/figuring-out-what-alice-wants-part-ii)")</f>
        <v>Figuring out what Alice wants, parts [I](https://www.lesswrong.com/posts/so78tQvTCaBgw4bfL/figuring-out-what-alice-wants-part-i) and [II](https://www.lesswrong.com/posts/rcXaY3FgoobMkH2jc/figuring-out-what-alice-wants-part-ii)</v>
      </c>
      <c r="D1806" t="str">
        <f>IFERROR(__xludf.DUMMYFUNCTION("""COMPUTED_VALUE"""),"Stuart Armstrong")</f>
        <v>Stuart Armstrong</v>
      </c>
      <c r="E1806" t="str">
        <f>IFERROR(__xludf.DUMMYFUNCTION("""COMPUTED_VALUE"""),"LessWrong")</f>
        <v>LessWrong</v>
      </c>
      <c r="F1806">
        <f>IFERROR(__xludf.DUMMYFUNCTION("""COMPUTED_VALUE"""),2018.0)</f>
        <v>2018</v>
      </c>
      <c r="H1806" s="3" t="str">
        <f>IFERROR(__xludf.DUMMYFUNCTION("""COMPUTED_VALUE"""),"AN #16")</f>
        <v>AN #16</v>
      </c>
      <c r="I1806" t="str">
        <f>IFERROR(__xludf.DUMMYFUNCTION("""COMPUTED_VALUE"""),"Rohin")</f>
        <v>Rohin</v>
      </c>
      <c r="J1806" t="str">
        <f>IFERROR(__xludf.DUMMYFUNCTION("""COMPUTED_VALUE"""),"Since it's not possible to infer human preferences without making some normative assumption about the human, we should try to learn the models that humans use to reason about each other that allow us to infer preferences of other humans. While we can't ge"&amp;"t access to these models directly, we can access fragments of them -- for example, whenever a person expresses regret, that can be taken as an mismatch between the model expectation and actual outcome. Part II goes through two example scenarios and what t"&amp;"he internal human models might look like, and the challenges that arise in trying to learn them.")</f>
        <v>Since it's not possible to infer human preferences without making some normative assumption about the human, we should try to learn the models that humans use to reason about each other that allow us to infer preferences of other humans. While we can't get access to these models directly, we can access fragments of them -- for example, whenever a person expresses regret, that can be taken as an mismatch between the model expectation and actual outcome. Part II goes through two example scenarios and what the internal human models might look like, and the challenges that arise in trying to learn them.</v>
      </c>
      <c r="K1806" t="str">
        <f>IFERROR(__xludf.DUMMYFUNCTION("""COMPUTED_VALUE"""),"It does seem like we should be able to learn the things that humans mostly agree on, and that this can help us a lot with inferring human preferences. I don't know if the goal is to use these models to infer broad human values, or something a lot simpler."&amp;" Broad human values seems very unlikely to work, since you are trying to get to superhuman ability at knowing what humans want by mimicking human models (which are tautologically not superhuman).")</f>
        <v>It does seem like we should be able to learn the things that humans mostly agree on, and that this can help us a lot with inferring human preferences. I don't know if the goal is to use these models to infer broad human values, or something a lot simpler. Broad human values seems very unlikely to work, since you are trying to get to superhuman ability at knowing what humans want by mimicking human models (which are tautologically not superhuman).</v>
      </c>
    </row>
    <row r="1807">
      <c r="A1807" t="str">
        <f>IFERROR(__xludf.DUMMYFUNCTION("""COMPUTED_VALUE"""),"Reward learning theory")</f>
        <v>Reward learning theory</v>
      </c>
      <c r="B1807" t="str">
        <f>IFERROR(__xludf.DUMMYFUNCTION("""COMPUTED_VALUE"""),"")</f>
        <v/>
      </c>
      <c r="C1807" s="3" t="str">
        <f>IFERROR(__xludf.DUMMYFUNCTION("""COMPUTED_VALUE"""),"Defining the ways human values are messy")</f>
        <v>Defining the ways human values are messy</v>
      </c>
      <c r="D1807" t="str">
        <f>IFERROR(__xludf.DUMMYFUNCTION("""COMPUTED_VALUE"""),"Stuart Armstrong")</f>
        <v>Stuart Armstrong</v>
      </c>
      <c r="E1807" t="str">
        <f>IFERROR(__xludf.DUMMYFUNCTION("""COMPUTED_VALUE"""),"LessWrong")</f>
        <v>LessWrong</v>
      </c>
      <c r="F1807">
        <f>IFERROR(__xludf.DUMMYFUNCTION("""COMPUTED_VALUE"""),2018.0)</f>
        <v>2018</v>
      </c>
      <c r="H1807" s="3" t="str">
        <f>IFERROR(__xludf.DUMMYFUNCTION("""COMPUTED_VALUE"""),"Recon #5")</f>
        <v>Recon #5</v>
      </c>
      <c r="I1807" t="str">
        <f>IFERROR(__xludf.DUMMYFUNCTION("""COMPUTED_VALUE"""),"Rohin")</f>
        <v>Rohin</v>
      </c>
      <c r="J1807" t="str">
        <f>IFERROR(__xludf.DUMMYFUNCTION("""COMPUTED_VALUE"""),"")</f>
        <v/>
      </c>
      <c r="K1807" t="str">
        <f>IFERROR(__xludf.DUMMYFUNCTION("""COMPUTED_VALUE"""),"")</f>
        <v/>
      </c>
    </row>
    <row r="1808">
      <c r="A1808" t="str">
        <f>IFERROR(__xludf.DUMMYFUNCTION("""COMPUTED_VALUE"""),"Robustness")</f>
        <v>Robustness</v>
      </c>
      <c r="B1808" t="str">
        <f>IFERROR(__xludf.DUMMYFUNCTION("""COMPUTED_VALUE"""),"Highlight")</f>
        <v>Highlight</v>
      </c>
      <c r="C1808" s="3" t="str">
        <f>IFERROR(__xludf.DUMMYFUNCTION("""COMPUTED_VALUE"""),"Self-training with Noisy Student improves ImageNet classification")</f>
        <v>Self-training with Noisy Student improves ImageNet classification</v>
      </c>
      <c r="D1808" t="str">
        <f>IFERROR(__xludf.DUMMYFUNCTION("""COMPUTED_VALUE"""),"Qizhe Xie, Eduard Hovy, Minh-Thang Luong, Quoc V. Le")</f>
        <v>Qizhe Xie, Eduard Hovy, Minh-Thang Luong, Quoc V. Le</v>
      </c>
      <c r="E1808" t="str">
        <f>IFERROR(__xludf.DUMMYFUNCTION("""COMPUTED_VALUE"""),"arXiv")</f>
        <v>arXiv</v>
      </c>
      <c r="F1808">
        <f>IFERROR(__xludf.DUMMYFUNCTION("""COMPUTED_VALUE"""),2019.0)</f>
        <v>2019</v>
      </c>
      <c r="H1808" s="3" t="str">
        <f>IFERROR(__xludf.DUMMYFUNCTION("""COMPUTED_VALUE"""),"AN #76")</f>
        <v>AN #76</v>
      </c>
      <c r="I1808" t="str">
        <f>IFERROR(__xludf.DUMMYFUNCTION("""COMPUTED_VALUE"""),"Dan H")</f>
        <v>Dan H</v>
      </c>
      <c r="J1808" t="str">
        <f>IFERROR(__xludf.DUMMYFUNCTION("""COMPUTED_VALUE"""),"Instead of summarizing this paper, I'll provide an opinion describing the implications of this and other recent papers.")</f>
        <v>Instead of summarizing this paper, I'll provide an opinion describing the implications of this and other recent papers.</v>
      </c>
      <c r="K1808" t="str">
        <f>IFERROR(__xludf.DUMMYFUNCTION("""COMPUTED_VALUE"""),"Some in the safety community have speculated that robustness to data shift (sometimes called ""transfer learning"" in the safety community) cannot be resolved only by leveraging more GPUs and more data. Also, it is argued that the difficulty in attaining "&amp;"data shift robustness suggests longer timelines. Both this paper and [Robustness properties of Facebook's ResNeXt WSL models](https://arxiv.org/abs/1907.07640) analyze the robustness of models trained on over 100 million to 1 billion images, rather than o"&amp;"nly training on ImageNet-1K's ~1 million images. Both papers show that data shift robustness greatly improves with more data, so data shift robustness appears more tractable with deep learning. These papers evaluate robustness using benchmarks collaborato"&amp;"rs and I created; they use [ImageNet-A](https://arxiv.org/abs/1907.07174), [ImageNet-C](https://arxiv.org/abs/1903.12261), and [ImageNet-P](https://arxiv.org/abs/1903.12261) to show that performance tremendously improves by simply training on more data. S"&amp;"ee [Figure 2](https://arxiv.org/pdf/1911.04252.pdf#page=6&amp;zoom=100,0,88) of the Noisy Student paper for a summary of these three benchmarks. Both the Noisy Student and Facebook ResNeXt papers have problems. For example, the Noisy Student paper trains with"&amp;" a few expressly forbidden data augmentations which overlap with the ImageNet-C test set, so performance is somewhat inflated. Meanwhile, the Facebook ResNeXt paper shows that more data does not help on ImageNet-A, but this is because they computed the nu"&amp;"mbers incorrectly; I personally verified Facebook's ResNeXts and more data brings the ImageNet-A accuracy up to 60%, though this is still far below the 95%+ ceiling. Since [adversarial robustness can transfer to other tasks](https://arxiv.org/pdf/1901.099"&amp;"60.pdf), I would be surprised if robustness from these models could not transfer. These results suggest data shift robustness can be attained within the current paradigm, and that attaining image classifier robustness will not require a long timeline.")</f>
        <v>Some in the safety community have speculated that robustness to data shift (sometimes called "transfer learning" in the safety community) cannot be resolved only by leveraging more GPUs and more data. Also, it is argued that the difficulty in attaining data shift robustness suggests longer timelines. Both this paper and [Robustness properties of Facebook's ResNeXt WSL models](https://arxiv.org/abs/1907.07640) analyze the robustness of models trained on over 100 million to 1 billion images, rather than only training on ImageNet-1K's ~1 million images. Both papers show that data shift robustness greatly improves with more data, so data shift robustness appears more tractable with deep learning. These papers evaluate robustness using benchmarks collaborators and I created; they use [ImageNet-A](https://arxiv.org/abs/1907.07174), [ImageNet-C](https://arxiv.org/abs/1903.12261), and [ImageNet-P](https://arxiv.org/abs/1903.12261) to show that performance tremendously improves by simply training on more data. See [Figure 2](https://arxiv.org/pdf/1911.04252.pdf#page=6&amp;zoom=100,0,88) of the Noisy Student paper for a summary of these three benchmarks. Both the Noisy Student and Facebook ResNeXt papers have problems. For example, the Noisy Student paper trains with a few expressly forbidden data augmentations which overlap with the ImageNet-C test set, so performance is somewhat inflated. Meanwhile, the Facebook ResNeXt paper shows that more data does not help on ImageNet-A, but this is because they computed the numbers incorrectly; I personally verified Facebook's ResNeXts and more data brings the ImageNet-A accuracy up to 60%, though this is still far below the 95%+ ceiling. Since [adversarial robustness can transfer to other tasks](https://arxiv.org/pdf/1901.09960.pdf), I would be surprised if robustness from these models could not transfer. These results suggest data shift robustness can be attained within the current paradigm, and that attaining image classifier robustness will not require a long timeline.</v>
      </c>
    </row>
    <row r="1809">
      <c r="A1809" t="str">
        <f>IFERROR(__xludf.DUMMYFUNCTION("""COMPUTED_VALUE"""),"Robustness")</f>
        <v>Robustness</v>
      </c>
      <c r="B1809" t="str">
        <f>IFERROR(__xludf.DUMMYFUNCTION("""COMPUTED_VALUE"""),"Highlight")</f>
        <v>Highlight</v>
      </c>
      <c r="C1809" s="3" t="str">
        <f>IFERROR(__xludf.DUMMYFUNCTION("""COMPUTED_VALUE"""),"Rigorous Agent Evaluation: An Adversarial Approach to Uncover Catastrophic Failures")</f>
        <v>Rigorous Agent Evaluation: An Adversarial Approach to Uncover Catastrophic Failures</v>
      </c>
      <c r="D1809" t="str">
        <f>IFERROR(__xludf.DUMMYFUNCTION("""COMPUTED_VALUE"""),"Jonathan Uesato*, Ananya Kumar*, Csaba Szepesvari*, Tom Erez, Avraham Ruderman, Keith Anderson, Krishmamurthy (Dj) Dvijotham, Nicolas Heess, Pushmeet Kohli")</f>
        <v>Jonathan Uesato*, Ananya Kumar*, Csaba Szepesvari*, Tom Erez, Avraham Ruderman, Keith Anderson, Krishmamurthy (Dj) Dvijotham, Nicolas Heess, Pushmeet Kohli</v>
      </c>
      <c r="E1809" t="str">
        <f>IFERROR(__xludf.DUMMYFUNCTION("""COMPUTED_VALUE"""),"ICLR 2019")</f>
        <v>ICLR 2019</v>
      </c>
      <c r="F1809">
        <f>IFERROR(__xludf.DUMMYFUNCTION("""COMPUTED_VALUE"""),2019.0)</f>
        <v>2019</v>
      </c>
      <c r="H1809" s="3" t="str">
        <f>IFERROR(__xludf.DUMMYFUNCTION("""COMPUTED_VALUE"""),"AN #73")</f>
        <v>AN #73</v>
      </c>
      <c r="I1809" t="str">
        <f>IFERROR(__xludf.DUMMYFUNCTION("""COMPUTED_VALUE"""),"Nicholas")</f>
        <v>Nicholas</v>
      </c>
      <c r="J1809" t="str">
        <f>IFERROR(__xludf.DUMMYFUNCTION("""COMPUTED_VALUE"""),"An important problem in safety-critical domains is accurately estimating slim probabilities of catastrophic failures: one in a million is very different from one in a billion. A standard Monte Carlo approach requires millions or billions of trials to find"&amp;" a single failure, which is prohibitively expensive. This paper proposes using agents from earlier in the training process to provide signals for a learned failure probability predictor. For example, with a Humanoid robot, failure is defined as the robot "&amp;"falling down. A neural net is trained on earlier agents to predict the probability that the agent will fall down from a given state. To evaluate the final agent, states are importance-sampled based on how likely the neural network believes they are to cau"&amp;"se failure. This relies on the assumption that the failure modes of the final agent are similar to some failure mode of earlier agents. Overall, the approach reduces the number of samples required to accurately estimate the failure probability by multiple"&amp;" orders of magnitude.")</f>
        <v>An important problem in safety-critical domains is accurately estimating slim probabilities of catastrophic failures: one in a million is very different from one in a billion. A standard Monte Carlo approach requires millions or billions of trials to find a single failure, which is prohibitively expensive. This paper proposes using agents from earlier in the training process to provide signals for a learned failure probability predictor. For example, with a Humanoid robot, failure is defined as the robot falling down. A neural net is trained on earlier agents to predict the probability that the agent will fall down from a given state. To evaluate the final agent, states are importance-sampled based on how likely the neural network believes they are to cause failure. This relies on the assumption that the failure modes of the final agent are similar to some failure mode of earlier agents. Overall, the approach reduces the number of samples required to accurately estimate the failure probability by multiple orders of magnitude.</v>
      </c>
      <c r="K1809" t="str">
        <f>IFERROR(__xludf.DUMMYFUNCTION("""COMPUTED_VALUE"""),"I am quite excited about the focus on preventing low likelihood catastrophic events, particularly from the standpoint of existential risk reduction. The key assumption in this paper, that earlier in training the agent will fail in related ways but more fr"&amp;"equently, seems plausible to me and in line with most of my experience training neural networks, and the experiments demonstrate a very large increase in efficiency.
I’d be interested to see theoretical analysis of what situations would make this assumpt"&amp;"ion more or less likely in the context of more powerful future agents. For example, one situation where the failure modes might be distinct later in training is if an agent learns how to turn on a car, which then makes states where the agent has access to"&amp;" a car have significantly higher likelihood of catastrophic failures than they did before.")</f>
        <v>I am quite excited about the focus on preventing low likelihood catastrophic events, particularly from the standpoint of existential risk reduction. The key assumption in this paper, that earlier in training the agent will fail in related ways but more frequently, seems plausible to me and in line with most of my experience training neural networks, and the experiments demonstrate a very large increase in efficiency.
I’d be interested to see theoretical analysis of what situations would make this assumption more or less likely in the context of more powerful future agents. For example, one situation where the failure modes might be distinct later in training is if an agent learns how to turn on a car, which then makes states where the agent has access to a car have significantly higher likelihood of catastrophic failures than they did before.</v>
      </c>
    </row>
    <row r="1810">
      <c r="A1810" t="str">
        <f>IFERROR(__xludf.DUMMYFUNCTION("""COMPUTED_VALUE"""),"Robustness")</f>
        <v>Robustness</v>
      </c>
      <c r="B1810" t="str">
        <f>IFERROR(__xludf.DUMMYFUNCTION("""COMPUTED_VALUE"""),"Highlight")</f>
        <v>Highlight</v>
      </c>
      <c r="C1810" s="3" t="str">
        <f>IFERROR(__xludf.DUMMYFUNCTION("""COMPUTED_VALUE"""),"Designing robust &amp; reliable AI systems and how to succeed in AI")</f>
        <v>Designing robust &amp; reliable AI systems and how to succeed in AI</v>
      </c>
      <c r="D1810" t="str">
        <f>IFERROR(__xludf.DUMMYFUNCTION("""COMPUTED_VALUE"""),"Rob Wiblin and Pushmeet Kohli")</f>
        <v>Rob Wiblin and Pushmeet Kohli</v>
      </c>
      <c r="E1810" t="str">
        <f>IFERROR(__xludf.DUMMYFUNCTION("""COMPUTED_VALUE"""),"80000 Hours")</f>
        <v>80000 Hours</v>
      </c>
      <c r="F1810">
        <f>IFERROR(__xludf.DUMMYFUNCTION("""COMPUTED_VALUE"""),2019.0)</f>
        <v>2019</v>
      </c>
      <c r="H1810" s="3" t="str">
        <f>IFERROR(__xludf.DUMMYFUNCTION("""COMPUTED_VALUE"""),"AN #57")</f>
        <v>AN #57</v>
      </c>
      <c r="I1810" t="str">
        <f>IFERROR(__xludf.DUMMYFUNCTION("""COMPUTED_VALUE"""),"Rohin")</f>
        <v>Rohin</v>
      </c>
      <c r="J1810" t="str">
        <f>IFERROR(__xludf.DUMMYFUNCTION("""COMPUTED_VALUE"""),"(As is typical for large content, I'm only summarizing the most salient points, and ignoring entire sections of the podcast that didn't seem as relevant.)
In this podcast, Rob delves into the details of Pushmeet's work on making AI systems _robust_. Push"&amp;"meet doesn't view AI safety and AI capabilities as particularly distinct -- part of building a good AI system is ensuring that the system is safe, robust, reliable, and generalizes well. Otherwise, it won't do what we want, so why would we even bother usi"&amp;"ng it. He aims to improve robustness by actively searching for behaviors that violate the specification, or by formally verifying particular properties of the neural net. That said, he also thinks that one of the major challenges here is in figuring out t"&amp;"he specification of what to verify in the first place.
He sees the problems in AI as being similar to the ones that arise in programming and computer security. In programming, it is often the case that the program that one writes down does not accurately"&amp;" match the intended specification, leading to bugs. Often we simply accept that these bugs happen, but for security critical systems such as traffic lights we can use techniques like testing, fuzzing, symbolic execution, and formal verification that allow"&amp;" us to find these failures in programs. We now need to develop these techniques for machine learning systems.
The analogy can go much further. Static analysis involves understanding properties of a program separately from any inputs, while dynamic analys"&amp;"is involves understanding a program with a specific input. Similarly, we can have ""static"" interpretability, which understands the model as a whole (as in [Feature visualization](https://distill.pub/2017/feature-visualization/)), or ""dynamic"" interpre"&amp;"tability, which explains the model's output for a particular input. Another example is that the technique of abstract interpretation of programs is analogous to a particular method for verifying properties of neural nets.
This analogy suggests that we ha"&amp;"ve faced the problems of AI safety before, and have made substantial progress on them; the challenge is now in doing it again but with machine learning systems. That said, there are some problems that are unique to AGI-type systems; it's just not the spec"&amp;"ification problem. For example, it is extremely unclear how we should communicate with such a system, which may have its own concepts and models that are very different from those of humans. We could try to use natural language, but if we do we need to gr"&amp;"ound the natural language in the way that humans do, and it's not clear how we could do that, though perhaps we could test if the learned concepts generalize to new settings. We could also try to look at the weights of our machine learning model and analy"&amp;"ze whether it has learned the concept -- but only if we already have a formal specification of the concept, which seems hard to get.")</f>
        <v>(As is typical for large content, I'm only summarizing the most salient points, and ignoring entire sections of the podcast that didn't seem as relevant.)
In this podcast, Rob delves into the details of Pushmeet's work on making AI systems _robust_. Pushmeet doesn't view AI safety and AI capabilities as particularly distinct -- part of building a good AI system is ensuring that the system is safe, robust, reliable, and generalizes well. Otherwise, it won't do what we want, so why would we even bother using it. He aims to improve robustness by actively searching for behaviors that violate the specification, or by formally verifying particular properties of the neural net. That said, he also thinks that one of the major challenges here is in figuring out the specification of what to verify in the first place.
He sees the problems in AI as being similar to the ones that arise in programming and computer security. In programming, it is often the case that the program that one writes down does not accurately match the intended specification, leading to bugs. Often we simply accept that these bugs happen, but for security critical systems such as traffic lights we can use techniques like testing, fuzzing, symbolic execution, and formal verification that allow us to find these failures in programs. We now need to develop these techniques for machine learning systems.
The analogy can go much further. Static analysis involves understanding properties of a program separately from any inputs, while dynamic analysis involves understanding a program with a specific input. Similarly, we can have "static" interpretability, which understands the model as a whole (as in [Feature visualization](https://distill.pub/2017/feature-visualization/)), or "dynamic" interpretability, which explains the model's output for a particular input. Another example is that the technique of abstract interpretation of programs is analogous to a particular method for verifying properties of neural nets.
This analogy suggests that we have faced the problems of AI safety before, and have made substantial progress on them; the challenge is now in doing it again but with machine learning systems. That said, there are some problems that are unique to AGI-type systems; it's just not the specification problem. For example, it is extremely unclear how we should communicate with such a system, which may have its own concepts and models that are very different from those of humans. We could try to use natural language, but if we do we need to ground the natural language in the way that humans do, and it's not clear how we could do that, though perhaps we could test if the learned concepts generalize to new settings. We could also try to look at the weights of our machine learning model and analyze whether it has learned the concept -- but only if we already have a formal specification of the concept, which seems hard to get.</v>
      </c>
      <c r="K1810" t="str">
        <f>IFERROR(__xludf.DUMMYFUNCTION("""COMPUTED_VALUE"""),"I really like the analogy between programming and AI; a lot of my thoughts have been shaped by thinking about this analogy myself. I agree that the analogy implies that we are trying to solve problems that we've attacked before in a different context, but"&amp;" I do think there are significant differences now. In particular, with long-term AI safety we are considering a setting in which mistakes can be extremely costly, _and_ we can't provide a formal specification of what we want. Contrast this to traffic ligh"&amp;"ts, where mistakes can be extremely costly but I'm guessing we can provide a formal specification of the safety constraints that need to be obeyed. To be fair, Pushmeet acknowledges this and highlights specification learning as a key area of research, but"&amp;" to me it feels like a qualitative difference from previous problems we've faced, whereas I think Pushmeet would disagree with that (but I'm not sure why).")</f>
        <v>I really like the analogy between programming and AI; a lot of my thoughts have been shaped by thinking about this analogy myself. I agree that the analogy implies that we are trying to solve problems that we've attacked before in a different context, but I do think there are significant differences now. In particular, with long-term AI safety we are considering a setting in which mistakes can be extremely costly, _and_ we can't provide a formal specification of what we want. Contrast this to traffic lights, where mistakes can be extremely costly but I'm guessing we can provide a formal specification of the safety constraints that need to be obeyed. To be fair, Pushmeet acknowledges this and highlights specification learning as a key area of research, but to me it feels like a qualitative difference from previous problems we've faced, whereas I think Pushmeet would disagree with that (but I'm not sure why).</v>
      </c>
      <c r="M1810" t="str">
        <f>IFERROR(__xludf.DUMMYFUNCTION("""COMPUTED_VALUE"""),"&lt;@Towards Robust and Verified AI: Specification Testing, Robust Training, and Formal Verification@&gt;")</f>
        <v>&lt;@Towards Robust and Verified AI: Specification Testing, Robust Training, and Formal Verification@&gt;</v>
      </c>
    </row>
    <row r="1811">
      <c r="A1811" t="str">
        <f>IFERROR(__xludf.DUMMYFUNCTION("""COMPUTED_VALUE"""),"Robustness")</f>
        <v>Robustness</v>
      </c>
      <c r="B1811" t="str">
        <f>IFERROR(__xludf.DUMMYFUNCTION("""COMPUTED_VALUE"""),"Highlight")</f>
        <v>Highlight</v>
      </c>
      <c r="C1811" s="3" t="str">
        <f>IFERROR(__xludf.DUMMYFUNCTION("""COMPUTED_VALUE"""),"A naive alignment strategy and optimism about generalization")</f>
        <v>A naive alignment strategy and optimism about generalization</v>
      </c>
      <c r="D1811" t="str">
        <f>IFERROR(__xludf.DUMMYFUNCTION("""COMPUTED_VALUE"""),"Paul Christiano")</f>
        <v>Paul Christiano</v>
      </c>
      <c r="E1811" t="str">
        <f>IFERROR(__xludf.DUMMYFUNCTION("""COMPUTED_VALUE"""),"Alignment Forum")</f>
        <v>Alignment Forum</v>
      </c>
      <c r="F1811">
        <f>IFERROR(__xludf.DUMMYFUNCTION("""COMPUTED_VALUE"""),2021.0)</f>
        <v>2021</v>
      </c>
      <c r="H1811" s="3" t="str">
        <f>IFERROR(__xludf.DUMMYFUNCTION("""COMPUTED_VALUE"""),"AN #158")</f>
        <v>AN #158</v>
      </c>
      <c r="I1811" t="str">
        <f>IFERROR(__xludf.DUMMYFUNCTION("""COMPUTED_VALUE"""),"Rohin")</f>
        <v>Rohin</v>
      </c>
      <c r="J1811" t="str">
        <f>IFERROR(__xludf.DUMMYFUNCTION("""COMPUTED_VALUE"""),"We want to build an AI system that answers questions honestly, to the best of its ability. One obvious approach is to have humans generate answers to questions, select the question-answer pairs where we are most confident in the answers, and train an AI s"&amp;"ystem on those question-answer pairs.
(I’ve described this with a supervised learning setup, but we don’t have to do that: we could also [learn](https://deepmind.com/blog/learning-through-human-feedback/) from [comparisons](https://ai-alignment.com/optim"&amp;"izing-with-comparisons-c02b8c0d7877) between answers, and we only provide comparisons where we are confident in the comparison.)
What will the AI system do on questions where we _wouldn’t_ be confident in the answers? For example, questions that are comp"&amp;"lex, where we may be misled by bad observations, where an adversary is manipulating us, etc.
One possibility is that the AI system learned the **intended policy**, where it answers questions honestly to the best of its ability. However, there is an **ins"&amp;"trumental policy** which also gets good performance: it uses a predictive model of the human to say whatever a human would say. (This is “instrumental” in that the model is taking the actions that are instrumental to getting a low loss, even in the test e"&amp;"nvironment.) This will give incorrect answers on complex, misleading, or manipulative questions -- _even if_ the model “knows” that the answer is incorrect.
Intuitively, “answer as well as you can” feels like a much simpler way to give correct answers, a"&amp;"nd so we might expect to get the intended policy rather than the instrumental policy. This view (which seems common amongst ML researchers) is _optimism about generalization_: we are hoping that the policy generalizes to continue to answer these more comp"&amp;"lex, misleading, manipulative questions to the best of its ability.
Are there reasons to instead be pessimistic about generalization? There are at least three:
1. If the answers we train on _aren’t_ perfectly correct, the instrumental policy might get a"&amp;" _lower_ training loss than the intended policy (which corrects errors that humans make), and so be more likely to be found by gradient descent.
2. If the AI already needs to make predictions about humans, it may not take much “additional work” to impleme"&amp;"nt the instrumental policy. Conversely, if the AI reasons at a different level of abstraction than humans, it may take a lot of “additional work” to turn correct answers in the AI’s ontology into correct answers in human ontologies.
3. From [a followup po"&amp;"st](https://www.alignmentforum.org/posts/SRJ5J9Tnyq7bySxbt/answering-questions-honestly-given-world-model-mismatches), the AI system might answer questions by translating its concepts to human concepts or observations, and then deduce the answer from thos"&amp;"e concepts or observations. This will systematically ignore information that the AI system understands that isn’t represented in the human concepts or observations. (Consider the [example](https://openai.com/blog/deep-reinforcement-learning-from-human-pre"&amp;"ferences/) of the robot hand that only _looked_ like it was grasping the appropriate object.)
A possible fourth problem: if the AI system did the deduction in its own concepts and only as a final step translated it to human concepts, we might _still_ los"&amp;"e relevant information. This seems not too bad though -- it seems like we should at least be able to &lt;@explain the bad effects of a catastrophic failure@&gt;(@Can there be an indescribable hellworld?@) in human concepts, even if we can’t explain why that fai"&amp;"lure occurred.
A [followup post](https://www.alignmentforum.org/posts/roZvoF6tRH6xYtHMF/avoiding-the-instrumental-policy-by-hiding-information-about) considers whether we could avoid the instrumental policy by &lt;@preventing it from learning information ab"&amp;"out humans@&gt;(@Thoughts on Human Models@), but concludes that while it would solve the problems outlined in the post, it seems hard to implement in practice.")</f>
        <v>We want to build an AI system that answers questions honestly, to the best of its ability. One obvious approach is to have humans generate answers to questions, select the question-answer pairs where we are most confident in the answers, and train an AI system on those question-answer pairs.
(I’ve described this with a supervised learning setup, but we don’t have to do that: we could also [learn](https://deepmind.com/blog/learning-through-human-feedback/) from [comparisons](https://ai-alignment.com/optimizing-with-comparisons-c02b8c0d7877) between answers, and we only provide comparisons where we are confident in the comparison.)
What will the AI system do on questions where we _wouldn’t_ be confident in the answers? For example, questions that are complex, where we may be misled by bad observations, where an adversary is manipulating us, etc.
One possibility is that the AI system learned the **intended policy**, where it answers questions honestly to the best of its ability. However, there is an **instrumental policy** which also gets good performance: it uses a predictive model of the human to say whatever a human would say. (This is “instrumental” in that the model is taking the actions that are instrumental to getting a low loss, even in the test environment.) This will give incorrect answers on complex, misleading, or manipulative questions -- _even if_ the model “knows” that the answer is incorrect.
Intuitively, “answer as well as you can” feels like a much simpler way to give correct answers, and so we might expect to get the intended policy rather than the instrumental policy. This view (which seems common amongst ML researchers) is _optimism about generalization_: we are hoping that the policy generalizes to continue to answer these more complex, misleading, manipulative questions to the best of its ability.
Are there reasons to instead be pessimistic about generalization? There are at least three:
1. If the answers we train on _aren’t_ perfectly correct, the instrumental policy might get a _lower_ training loss than the intended policy (which corrects errors that humans make), and so be more likely to be found by gradient descent.
2. If the AI already needs to make predictions about humans, it may not take much “additional work” to implement the instrumental policy. Conversely, if the AI reasons at a different level of abstraction than humans, it may take a lot of “additional work” to turn correct answers in the AI’s ontology into correct answers in human ontologies.
3. From [a followup post](https://www.alignmentforum.org/posts/SRJ5J9Tnyq7bySxbt/answering-questions-honestly-given-world-model-mismatches), the AI system might answer questions by translating its concepts to human concepts or observations, and then deduce the answer from those concepts or observations. This will systematically ignore information that the AI system understands that isn’t represented in the human concepts or observations. (Consider the [example](https://openai.com/blog/deep-reinforcement-learning-from-human-preferences/) of the robot hand that only _looked_ like it was grasping the appropriate object.)
A possible fourth problem: if the AI system did the deduction in its own concepts and only as a final step translated it to human concepts, we might _still_ lose relevant information. This seems not too bad though -- it seems like we should at least be able to &lt;@explain the bad effects of a catastrophic failure@&gt;(@Can there be an indescribable hellworld?@) in human concepts, even if we can’t explain why that failure occurred.
A [followup post](https://www.alignmentforum.org/posts/roZvoF6tRH6xYtHMF/avoiding-the-instrumental-policy-by-hiding-information-about) considers whether we could avoid the instrumental policy by &lt;@preventing it from learning information about humans@&gt;(@Thoughts on Human Models@), but concludes that while it would solve the problems outlined in the post, it seems hard to implement in practice.</v>
      </c>
    </row>
    <row r="1812">
      <c r="A1812" t="str">
        <f>IFERROR(__xludf.DUMMYFUNCTION("""COMPUTED_VALUE"""),"Robustness")</f>
        <v>Robustness</v>
      </c>
      <c r="B1812" t="str">
        <f>IFERROR(__xludf.DUMMYFUNCTION("""COMPUTED_VALUE"""),"Highlight")</f>
        <v>Highlight</v>
      </c>
      <c r="C1812" s="3" t="str">
        <f>IFERROR(__xludf.DUMMYFUNCTION("""COMPUTED_VALUE"""),"Distributional Generalization: A New Kind of Generalization")</f>
        <v>Distributional Generalization: A New Kind of Generalization</v>
      </c>
      <c r="D1812" t="str">
        <f>IFERROR(__xludf.DUMMYFUNCTION("""COMPUTED_VALUE"""),"Preetum Nakkiran and Yamini Bansal")</f>
        <v>Preetum Nakkiran and Yamini Bansal</v>
      </c>
      <c r="E1812" t="str">
        <f>IFERROR(__xludf.DUMMYFUNCTION("""COMPUTED_VALUE"""),"arXiv")</f>
        <v>arXiv</v>
      </c>
      <c r="F1812">
        <f>IFERROR(__xludf.DUMMYFUNCTION("""COMPUTED_VALUE"""),2020.0)</f>
        <v>2020</v>
      </c>
      <c r="H1812" s="3" t="str">
        <f>IFERROR(__xludf.DUMMYFUNCTION("""COMPUTED_VALUE"""),"AN #148")</f>
        <v>AN #148</v>
      </c>
      <c r="I1812" t="str">
        <f>IFERROR(__xludf.DUMMYFUNCTION("""COMPUTED_VALUE"""),"Rohin")</f>
        <v>Rohin</v>
      </c>
      <c r="J1812" t="str">
        <f>IFERROR(__xludf.DUMMYFUNCTION("""COMPUTED_VALUE"""),"Suppose you train a classifier to distinguish between CIFAR-10 classes, except each airplane has a 30% chance of being mislabeled as a car. If you then train a model to achieve perfect accuracy on this badly labeled dataset, it will get 100% accuracy on t"&amp;"he training set, and 97% of those labels will actually be correct (since 3% are mislabeled airplanes). Under the current paradigm, if we say that the model “generalizes”, that means that it will also get 97% accuracy at test time (according to the actuall"&amp;"y correct labels). However, this doesn’t tell us anything about what mistakes are made at test time -- is it still the case that 30% of airplanes are mislabeled as cars, or does the model also make mistakes on e.g. deer?
_Distributional generalization_ a"&amp;"ims to make claims about situations like these. The core idea is to make claims about the full distribution of classifier outputs, rather than just the single metric of test accuracy.
Formally, we assume there is some distribution D, from which we can sa"&amp;"mple pairs of points (x, y), which generates both our train and test sets. Then, the train (resp. test) distribution of classifier outputs is (x, f(x)), with x coming from the train (resp. test) set. The train and test distributions of classifier outputs "&amp;"are the objects of study in distributional generalization. In particular, given a [0,1]-valued function on distributions (called a _test_ T), we say that the classifier _generalizes w.r.t T_ if T outputs similar values on the train and test distribution. "&amp;"(W.r.t means “with respect to”.) For example, given a distribution, the _accuracy test_ checks how often the classifier’s output is correct in expectation over that distribution. Generalization w.r.t the accuracy test is equivalent to the canonical notion"&amp;" of generalization.
Let’s suppose that the classifier perfectly fits the training set, so that the train distribution of classifier outputs is the same as the original distribution D. Let’s additionally suppose that the classifier generalizes with respec"&amp;"t to the accuracy test, so that the classifier has perfect test accuracy. Then, the test distribution of classifier outputs will also be the same as the original distribution D, that is, all distributions are identical and there isn’t much more to say. So"&amp;", the interesting situations are when one of these two assumptions is false, that is, when either:
1. The classifier does not perfectly fit the training set, or
2. The classifier does not generalize w.r.t accuracy.
This paper primarily focuses on classifi"&amp;"ers that _do_ perfectly fit the training set, but don’t generalize w.r.t accuracy. One typical way to get this setting is to inject label noise (as in the mislabeled airplanes case), since this prevents the classifier from getting 100% test accuracy.
Spe"&amp;"aking of which, let’s return to our original example in which we add label noise by mislabeling 30% of airplanes as cars. Notice that, since the label noise is completely divorced from the classifier’s input x, the best way for the classifier to minimize "&amp;"_test_ loss would be to always predict the true CIFAR-10 label, and then 3% of the time the true distribution will say “lol, jk, this airplane is actually a car”. However, in practice, classifiers will also label approximately 30% of airplanes as cars in "&amp;"the test set as well! This incurs higher loss, because the 30% of airplanes that the classifier labels as cars must be independent of the 30% of airplanes that the true distribution labels as cars, which implies that the model disagrees with the true dist"&amp;"ribution 4.2% of the time; this is worse than the 3% it would get if it consistently labeled airplanes as airplanes. **Classifiers trained to interpolation are not Bayes-optimal in the presence of label noise.**
Okay, let’s get back to distributional gen"&amp;"eralization. We already know the classifier does not generalize w.r.t accuracy. However, the fact that it still labels about 30% of airplanes as cars suggests a different kind of generalization. Recall that the train and test distributions of classifier o"&amp;"utputs have the form (x, f(x)). Consider the feature L(x) that says whether x is an airplane or not. Then, if we replace (x, f(x)) with (L(x), f(x)), then this now looks identical between the train and test distributions! Specifically, this distribution p"&amp;"laces 7% on (“yes airplane”, “airplane”), 3% on (“yes airplane”, “car”), and 10% on (“no airplane”, c) for every class c other than “airplane”. An alternative way of stating this is that the classifier generalizes w.r.t all tests whose dependence on x fac"&amp;"tors through the feature L. (In other words, the test can only depend on whether x is an airplane or not, and cannot depend on any other information about x.)
The authors make a more general version of this claim they call _feature calibration_: for ever"&amp;"y feature L that _could_ be learned by the classifier, the classifier generalizes w.r.t all tests whose dependence on x factors through L. Note that they do not assume that the classifier _actually_ learns L: just that, if you hypothetically trained the c"&amp;"lassifier on a dataset of (x, L(x)), then it could learn that function near-perfectly.
They then provide evidence for this through a variety of experiments and one theorem:
- If you plug in the constant feature L(x) = 0 into the conjecture, it implies th"&amp;"at classifiers should get the right class balance (i.e. if your distribution contains class 1 twice as often as class 0, then you predict class 1 twice as often as class 0 at test time). They demonstrate this on a rebalanced version of CIFAR-10, even for "&amp;"classifiers that generalize poorly w.r.t accuracy.
- When using a WideResNet (for which the true CIFAR-10 labels are learnable), if you add a bunch of structured label noise into CIFAR-10, the test predictions reflect that same structure.
- The same thing"&amp;" is true for decision trees applied to a molecular biology dataset.
- A ResNet-50 trained to predict attractiveness on the CelebA dataset (which does not generalize w.r.t accuracy) does satisfy feature calibration w.r.t “wearing lipstick”, “heavy makeup”,"&amp;" “blond hair”, “male”, and “eye-glasses”. Note there is no label noise in this case.
- AlexNet predicts that the right fraction of dogs are Terriers, even though it mistakes which exact dogs are Terriers.
- The nearest-neighbor classifier provably satisfi"&amp;"es feature calibration under relatively mild regularity conditions.
In an appendix, they provide preliminary experiments suggesting this holds _pointwise_. In our mislabeled airplane example, for a _specific_ airplane x from the test set, if you resample"&amp;" a training set (with the 30% mislabeling of airplanes) and retrain a classifier on that set, then there is a roughly 30% chance that that specific x will be misclassified as a car.
The authors then introduce another distributional generalization propert"&amp;"y: _agreement_. Suppose we have two classifiers f and g trained on independently sampled training sets. The agreement conjecture states that the test accuracy of f is equal to the expected probability that f agrees with g on the test distribution (loosely"&amp;" speaking, this is how often f and g make the same prediction for test inputs). The agreement property can also be framed as an instance of distributional generalization, though I won’t go into the specific test here. The authors perform similar experimen"&amp;"ts as with feature calibration to demonstrate that the agreement property does seem to hold across a variety of possible classifiers.
Interestingly, these properties are _not_ closed under ensembling. In our mislabeled airplane example, every model will "&amp;"label 30% of airplanes as cars, but _which_ airplanes are mislabeled is independent across models. As a result, the plurality voting used in ensembles reduces the misclassification rate to 22%, which means that you no longer satisfy feature calibration. C"&amp;"onsistent with this, the authors observe that neural network ensembles, random forests, and k-nearest neighbors all did not satisfy feature calibration, and tended to be closer to the Bayes-optimal solution (i.e. getting closer to being robust to label no"&amp;"ise, in our example).
Summary of the summary: Let’s look at the specific ways in which classifiers make mistakes on the test distribution. This is called distributional generalization. The paper makes two conjectures within this frame. _Feature calibrati"&amp;"on_ says that for any feature that a classifier could have learned, the distribution of its predictions, conditioned on that feature, will be the same at train and test time, including any mistakes it makes. _Agreement_ says that the test accuracy of a cl"&amp;"assifier is equal to the probability that, on some randomly chosen test example, the classifier’s prediction matches that of another classifier trained on a freshly generated training set. Interestingly, while these properties hold for a variety of ML mod"&amp;"els, they do not hold for ensembles, because of the plurality voting mechanism.")</f>
        <v>Suppose you train a classifier to distinguish between CIFAR-10 classes, except each airplane has a 30% chance of being mislabeled as a car. If you then train a model to achieve perfect accuracy on this badly labeled dataset, it will get 100% accuracy on the training set, and 97% of those labels will actually be correct (since 3% are mislabeled airplanes). Under the current paradigm, if we say that the model “generalizes”, that means that it will also get 97% accuracy at test time (according to the actually correct labels). However, this doesn’t tell us anything about what mistakes are made at test time -- is it still the case that 30% of airplanes are mislabeled as cars, or does the model also make mistakes on e.g. deer?
_Distributional generalization_ aims to make claims about situations like these. The core idea is to make claims about the full distribution of classifier outputs, rather than just the single metric of test accuracy.
Formally, we assume there is some distribution D, from which we can sample pairs of points (x, y), which generates both our train and test sets. Then, the train (resp. test) distribution of classifier outputs is (x, f(x)), with x coming from the train (resp. test) set. The train and test distributions of classifier outputs are the objects of study in distributional generalization. In particular, given a [0,1]-valued function on distributions (called a _test_ T), we say that the classifier _generalizes w.r.t T_ if T outputs similar values on the train and test distribution. (W.r.t means “with respect to”.) For example, given a distribution, the _accuracy test_ checks how often the classifier’s output is correct in expectation over that distribution. Generalization w.r.t the accuracy test is equivalent to the canonical notion of generalization.
Let’s suppose that the classifier perfectly fits the training set, so that the train distribution of classifier outputs is the same as the original distribution D. Let’s additionally suppose that the classifier generalizes with respect to the accuracy test, so that the classifier has perfect test accuracy. Then, the test distribution of classifier outputs will also be the same as the original distribution D, that is, all distributions are identical and there isn’t much more to say. So, the interesting situations are when one of these two assumptions is false, that is, when either:
1. The classifier does not perfectly fit the training set, or
2. The classifier does not generalize w.r.t accuracy.
This paper primarily focuses on classifiers that _do_ perfectly fit the training set, but don’t generalize w.r.t accuracy. One typical way to get this setting is to inject label noise (as in the mislabeled airplanes case), since this prevents the classifier from getting 100% test accuracy.
Speaking of which, let’s return to our original example in which we add label noise by mislabeling 30% of airplanes as cars. Notice that, since the label noise is completely divorced from the classifier’s input x, the best way for the classifier to minimize _test_ loss would be to always predict the true CIFAR-10 label, and then 3% of the time the true distribution will say “lol, jk, this airplane is actually a car”. However, in practice, classifiers will also label approximately 30% of airplanes as cars in the test set as well! This incurs higher loss, because the 30% of airplanes that the classifier labels as cars must be independent of the 30% of airplanes that the true distribution labels as cars, which implies that the model disagrees with the true distribution 4.2% of the time; this is worse than the 3% it would get if it consistently labeled airplanes as airplanes. **Classifiers trained to interpolation are not Bayes-optimal in the presence of label noise.**
Okay, let’s get back to distributional generalization. We already know the classifier does not generalize w.r.t accuracy. However, the fact that it still labels about 30% of airplanes as cars suggests a different kind of generalization. Recall that the train and test distributions of classifier outputs have the form (x, f(x)). Consider the feature L(x) that says whether x is an airplane or not. Then, if we replace (x, f(x)) with (L(x), f(x)), then this now looks identical between the train and test distributions! Specifically, this distribution places 7% on (“yes airplane”, “airplane”), 3% on (“yes airplane”, “car”), and 10% on (“no airplane”, c) for every class c other than “airplane”. An alternative way of stating this is that the classifier generalizes w.r.t all tests whose dependence on x factors through the feature L. (In other words, the test can only depend on whether x is an airplane or not, and cannot depend on any other information about x.)
The authors make a more general version of this claim they call _feature calibration_: for every feature L that _could_ be learned by the classifier, the classifier generalizes w.r.t all tests whose dependence on x factors through L. Note that they do not assume that the classifier _actually_ learns L: just that, if you hypothetically trained the classifier on a dataset of (x, L(x)), then it could learn that function near-perfectly.
They then provide evidence for this through a variety of experiments and one theorem:
- If you plug in the constant feature L(x) = 0 into the conjecture, it implies that classifiers should get the right class balance (i.e. if your distribution contains class 1 twice as often as class 0, then you predict class 1 twice as often as class 0 at test time). They demonstrate this on a rebalanced version of CIFAR-10, even for classifiers that generalize poorly w.r.t accuracy.
- When using a WideResNet (for which the true CIFAR-10 labels are learnable), if you add a bunch of structured label noise into CIFAR-10, the test predictions reflect that same structure.
- The same thing is true for decision trees applied to a molecular biology dataset.
- A ResNet-50 trained to predict attractiveness on the CelebA dataset (which does not generalize w.r.t accuracy) does satisfy feature calibration w.r.t “wearing lipstick”, “heavy makeup”, “blond hair”, “male”, and “eye-glasses”. Note there is no label noise in this case.
- AlexNet predicts that the right fraction of dogs are Terriers, even though it mistakes which exact dogs are Terriers.
- The nearest-neighbor classifier provably satisfies feature calibration under relatively mild regularity conditions.
In an appendix, they provide preliminary experiments suggesting this holds _pointwise_. In our mislabeled airplane example, for a _specific_ airplane x from the test set, if you resample a training set (with the 30% mislabeling of airplanes) and retrain a classifier on that set, then there is a roughly 30% chance that that specific x will be misclassified as a car.
The authors then introduce another distributional generalization property: _agreement_. Suppose we have two classifiers f and g trained on independently sampled training sets. The agreement conjecture states that the test accuracy of f is equal to the expected probability that f agrees with g on the test distribution (loosely speaking, this is how often f and g make the same prediction for test inputs). The agreement property can also be framed as an instance of distributional generalization, though I won’t go into the specific test here. The authors perform similar experiments as with feature calibration to demonstrate that the agreement property does seem to hold across a variety of possible classifiers.
Interestingly, these properties are _not_ closed under ensembling. In our mislabeled airplane example, every model will label 30% of airplanes as cars, but _which_ airplanes are mislabeled is independent across models. As a result, the plurality voting used in ensembles reduces the misclassification rate to 22%, which means that you no longer satisfy feature calibration. Consistent with this, the authors observe that neural network ensembles, random forests, and k-nearest neighbors all did not satisfy feature calibration, and tended to be closer to the Bayes-optimal solution (i.e. getting closer to being robust to label noise, in our example).
Summary of the summary: Let’s look at the specific ways in which classifiers make mistakes on the test distribution. This is called distributional generalization. The paper makes two conjectures within this frame. _Feature calibration_ says that for any feature that a classifier could have learned, the distribution of its predictions, conditioned on that feature, will be the same at train and test time, including any mistakes it makes. _Agreement_ says that the test accuracy of a classifier is equal to the probability that, on some randomly chosen test example, the classifier’s prediction matches that of another classifier trained on a freshly generated training set. Interestingly, while these properties hold for a variety of ML models, they do not hold for ensembles, because of the plurality voting mechanism.</v>
      </c>
      <c r="M1812" t="str">
        <f>IFERROR(__xludf.DUMMYFUNCTION("""COMPUTED_VALUE"""),"Section 1.3 of [this version of the paper](https://mltheory.org/dg_short.pdf)")</f>
        <v>Section 1.3 of [this version of the paper](https://mltheory.org/dg_short.pdf)</v>
      </c>
    </row>
    <row r="1813">
      <c r="A1813" t="str">
        <f>IFERROR(__xludf.DUMMYFUNCTION("""COMPUTED_VALUE"""),"Robustness")</f>
        <v>Robustness</v>
      </c>
      <c r="B1813" t="str">
        <f>IFERROR(__xludf.DUMMYFUNCTION("""COMPUTED_VALUE"""),"Highlight")</f>
        <v>Highlight</v>
      </c>
      <c r="C1813" s="3" t="str">
        <f>IFERROR(__xludf.DUMMYFUNCTION("""COMPUTED_VALUE"""),"Underspecification Presents Challenges for Credibility in Modern Machine Learning")</f>
        <v>Underspecification Presents Challenges for Credibility in Modern Machine Learning</v>
      </c>
      <c r="D1813" t="str">
        <f>IFERROR(__xludf.DUMMYFUNCTION("""COMPUTED_VALUE"""),"Alexander D'Amour*, Katherine Heller*, Dan Moldovan*, Ben Adlam, Babak Alipanahi, Alex Beutel, Christina Chen, Jonathan Deaton, Jacob Eisenstein, Matthew D. Hoffman, Farhad Hormozdiari, Neil Houlsby, Shaobo Hou, Ghassen Jerfel, Alan Karthikesalingam, Mari"&amp;"o Lucic, Yian Ma, Cory McLean, Diana Mincu, Akinori Mitani, Andrea Montanari, Zachary Nado, Vivek Natarajan, Christopher Nielson, Thomas F. Osborne, Rajiv Raman, Kim Ramasamy, Rory Sayres, Jessica Schrouff, Martin Seneviratne, Shannon Sequeira, Harini Sur"&amp;"esh, Victor Veitch, Max Vladymyrov, Xuezhi Wang, Kellie Webster, Steve Yadlowsky, Taedong Yun, Xiaohua Zhai, D. Sculley")</f>
        <v>Alexander D'Amour*, Katherine Heller*, Dan Moldovan*, Ben Adlam, Babak Alipanahi, Alex Beutel, Christina Chen, Jonathan Deaton, Jacob Eisenstein, Matthew D. Hoffman, Farhad Hormozdiari, Neil Houlsby, Shaobo Hou, Ghassen Jerfel, Alan Karthikesalingam, Mario Lucic, Yian Ma, Cory McLean, Diana Mincu, Akinori Mitani, Andrea Montanari, Zachary Nado, Vivek Natarajan, Christopher Nielson, Thomas F. Osborne, Rajiv Raman, Kim Ramasamy, Rory Sayres, Jessica Schrouff, Martin Seneviratne, Shannon Sequeira, Harini Suresh, Victor Veitch, Max Vladymyrov, Xuezhi Wang, Kellie Webster, Steve Yadlowsky, Taedong Yun, Xiaohua Zhai, D. Sculley</v>
      </c>
      <c r="E1813" t="str">
        <f>IFERROR(__xludf.DUMMYFUNCTION("""COMPUTED_VALUE"""),"arXiv")</f>
        <v>arXiv</v>
      </c>
      <c r="F1813">
        <f>IFERROR(__xludf.DUMMYFUNCTION("""COMPUTED_VALUE"""),2020.0)</f>
        <v>2020</v>
      </c>
      <c r="H1813" s="3" t="str">
        <f>IFERROR(__xludf.DUMMYFUNCTION("""COMPUTED_VALUE"""),"AN #134")</f>
        <v>AN #134</v>
      </c>
      <c r="I1813" t="str">
        <f>IFERROR(__xludf.DUMMYFUNCTION("""COMPUTED_VALUE"""),"Rohin")</f>
        <v>Rohin</v>
      </c>
      <c r="J1813" t="str">
        <f>IFERROR(__xludf.DUMMYFUNCTION("""COMPUTED_VALUE"""),"This paper explains one source of fragility to distributional shift, which the authors term _underspecification_. The core idea is that for any given training dataset, there are a large number of possible models that achieve low loss on that training data"&amp;"set. This means that the model that is actually chosen is effectively arbitrarily chosen from amongst this set of models. While such a model will have good iid (validation) performance, it may have poor inductive biases that result in bad out-of-distribut"&amp;"ion performance.
The main additional prediction of this framing is that if you vary supposedly “unimportant” aspects of the training procedure, such as the random seed used, then you will get a different model with different inductive biases, which will "&amp;"thus have different out-of-distribution performance. In other words, not only will the out-of-distribution performance be worse, its _variance_ will also be higher.
The authors demonstrate underspecification in a number of simplified theoretical settings"&amp;", as well as realistic deep learning pipelines. For example, in an SIR model of disease spread, when we only have the current number of infections during the initial growth phase, the data cannot distinguish between the case of having high transmission ra"&amp;"te but low durations of infection, vs. a low transmission rate but high durations of infection, even though these make very different predictions about the future trajectory of the disease (the out-of-distribution performance).
In deep learning models, t"&amp;"he authors perform experiments where they measure validation performance (which should be relatively precise), and compare it against out-of-distribution performance (which should be lower and have more variance). For image recognition, they show that neu"&amp;"ral net training has precise validation performance, with 0.001 standard deviation when varying the seed, but less precise performance on &lt;@ImageNet-C@&gt;(@Benchmarking Neural Network Robustness to Common Corruptions and Surface Variations@), with standard "&amp;"deviations in the range of 0.002 to 0.024 on the different corruptions. They do similar experiments with medical imaging and NLP.")</f>
        <v>This paper explains one source of fragility to distributional shift, which the authors term _underspecification_. The core idea is that for any given training dataset, there are a large number of possible models that achieve low loss on that training dataset. This means that the model that is actually chosen is effectively arbitrarily chosen from amongst this set of models. While such a model will have good iid (validation) performance, it may have poor inductive biases that result in bad out-of-distribution performance.
The main additional prediction of this framing is that if you vary supposedly “unimportant” aspects of the training procedure, such as the random seed used, then you will get a different model with different inductive biases, which will thus have different out-of-distribution performance. In other words, not only will the out-of-distribution performance be worse, its _variance_ will also be higher.
The authors demonstrate underspecification in a number of simplified theoretical settings, as well as realistic deep learning pipelines. For example, in an SIR model of disease spread, when we only have the current number of infections during the initial growth phase, the data cannot distinguish between the case of having high transmission rate but low durations of infection, vs. a low transmission rate but high durations of infection, even though these make very different predictions about the future trajectory of the disease (the out-of-distribution performance).
In deep learning models, the authors perform experiments where they measure validation performance (which should be relatively precise), and compare it against out-of-distribution performance (which should be lower and have more variance). For image recognition, they show that neural net training has precise validation performance, with 0.001 standard deviation when varying the seed, but less precise performance on &lt;@ImageNet-C@&gt;(@Benchmarking Neural Network Robustness to Common Corruptions and Surface Variations@), with standard deviations in the range of 0.002 to 0.024 on the different corruptions. They do similar experiments with medical imaging and NLP.</v>
      </c>
      <c r="K1813" t="str">
        <f>IFERROR(__xludf.DUMMYFUNCTION("""COMPUTED_VALUE"""),"While the problem presented in this paper isn’t particularly novel, I appreciated the framing of fragility of distributional shift as being caused by underspecification. I see concerns about &lt;@inner alignment@&gt;(@Risks from Learned Optimization in Advanced"&amp;" Machine Learning Systems@) as primarily worries about underspecification, rather than distribution shift more generally, so I’m happy to see a paper that explains it well.
That being said, the experiments with neural networks were not that compelling --"&amp;" while it is true that the models had higher variance on the metrics testing robustness to distributional shift, on an absolute scale the variance was not high: even a standard deviation of 0.024 (which was an outlier) is not huge, especially given that t"&amp;"he distribution is being changed.")</f>
        <v>While the problem presented in this paper isn’t particularly novel, I appreciated the framing of fragility of distributional shift as being caused by underspecification. I see concerns about &lt;@inner alignment@&gt;(@Risks from Learned Optimization in Advanced Machine Learning Systems@) as primarily worries about underspecification, rather than distribution shift more generally, so I’m happy to see a paper that explains it well.
That being said, the experiments with neural networks were not that compelling -- while it is true that the models had higher variance on the metrics testing robustness to distributional shift, on an absolute scale the variance was not high: even a standard deviation of 0.024 (which was an outlier) is not huge, especially given that the distribution is being changed.</v>
      </c>
    </row>
    <row r="1814">
      <c r="A1814" t="str">
        <f>IFERROR(__xludf.DUMMYFUNCTION("""COMPUTED_VALUE"""),"Robustness")</f>
        <v>Robustness</v>
      </c>
      <c r="B1814" t="str">
        <f>IFERROR(__xludf.DUMMYFUNCTION("""COMPUTED_VALUE"""),"Highlight")</f>
        <v>Highlight</v>
      </c>
      <c r="C1814" s="3" t="str">
        <f>IFERROR(__xludf.DUMMYFUNCTION("""COMPUTED_VALUE"""),"Estimating the Brittleness of AI: Safety Integrity Levels and the Need for Testing Out-Of-Distribution Performance")</f>
        <v>Estimating the Brittleness of AI: Safety Integrity Levels and the Need for Testing Out-Of-Distribution Performance</v>
      </c>
      <c r="D1814" t="str">
        <f>IFERROR(__xludf.DUMMYFUNCTION("""COMPUTED_VALUE"""),"Andrew J. Lohn")</f>
        <v>Andrew J. Lohn</v>
      </c>
      <c r="E1814" t="str">
        <f>IFERROR(__xludf.DUMMYFUNCTION("""COMPUTED_VALUE"""),"arXiv")</f>
        <v>arXiv</v>
      </c>
      <c r="F1814">
        <f>IFERROR(__xludf.DUMMYFUNCTION("""COMPUTED_VALUE"""),2020.0)</f>
        <v>2020</v>
      </c>
      <c r="H1814" s="3" t="str">
        <f>IFERROR(__xludf.DUMMYFUNCTION("""COMPUTED_VALUE"""),"AN #117")</f>
        <v>AN #117</v>
      </c>
      <c r="I1814" t="str">
        <f>IFERROR(__xludf.DUMMYFUNCTION("""COMPUTED_VALUE"""),"Flo")</f>
        <v>Flo</v>
      </c>
      <c r="J1814" t="str">
        <f>IFERROR(__xludf.DUMMYFUNCTION("""COMPUTED_VALUE"""),"Test, Evaluation, Verification, and Validation (TEVV) is an important barrier for AI applications in safety-critical areas. Current TEVV standards have very different rules for certifying _software_ and certifying _human operators_. It is not clear which "&amp;"of these processes should be applied for AI systems.
If we treat AI systems as similar to human operators, we would certify them ensuring that they pass tests of ability. This does not give much of a guarantee of robustness (since only a few situations c"&amp;"an be tested), and is only acceptable for humans because humans tend to be more robust to new situations than software. This could be a reasonable assumption for AI systems as well: while systems are certainly vulnerable to adversarial examples, the autho"&amp;"rs find that AI performance degrades surprisingly smoothly out of distribution in the absence of adversaries, in a plausibly human-like way.
While AI might have some characteristics of operators, there are good reasons to treat it as software. The abilit"&amp;"y to deploy multiple copies of the same system increases the threat of correlated failures, which is less true of humans. In addition, parallelization can allow for more extensive testing that is typical for software TEVV. For critical applications, a com"&amp;"mon standard is that of Safety Integrity Levels (SILs), which correspond to approximate failure rates per hour. Current AI systems fail way more often than current SILs for safety-critical applications demand. For example an image recognition system would"&amp;" require an accuracy of 0.99999997 at 10 processed frames per second just to reach the weakest SIL used in aviation.
However, SILs are often used on multiple levels and it is possible to build a system with a strong SIL from weaker components by using re"&amp;"dundant components that fail independently or by detecting failures sufficiently early, such that AI modules could still be used safely as parts of a system specifically structured to cope with their failures. For example, we can use out-of-distribution d"&amp;"etection to revert to a safe policy in simple applications. However, this is not possible for higher levels of automation where such a policy might not be available.")</f>
        <v>Test, Evaluation, Verification, and Validation (TEVV) is an important barrier for AI applications in safety-critical areas. Current TEVV standards have very different rules for certifying _software_ and certifying _human operators_. It is not clear which of these processes should be applied for AI systems.
If we treat AI systems as similar to human operators, we would certify them ensuring that they pass tests of ability. This does not give much of a guarantee of robustness (since only a few situations can be tested), and is only acceptable for humans because humans tend to be more robust to new situations than software. This could be a reasonable assumption for AI systems as well: while systems are certainly vulnerable to adversarial examples, the authors find that AI performance degrades surprisingly smoothly out of distribution in the absence of adversaries, in a plausibly human-like way.
While AI might have some characteristics of operators, there are good reasons to treat it as software. The ability to deploy multiple copies of the same system increases the threat of correlated failures, which is less true of humans. In addition, parallelization can allow for more extensive testing that is typical for software TEVV. For critical applications, a common standard is that of Safety Integrity Levels (SILs), which correspond to approximate failure rates per hour. Current AI systems fail way more often than current SILs for safety-critical applications demand. For example an image recognition system would require an accuracy of 0.99999997 at 10 processed frames per second just to reach the weakest SIL used in aviation.
However, SILs are often used on multiple levels and it is possible to build a system with a strong SIL from weaker components by using redundant components that fail independently or by detecting failures sufficiently early, such that AI modules could still be used safely as parts of a system specifically structured to cope with their failures. For example, we can use out-of-distribution detection to revert to a safe policy in simple applications. However, this is not possible for higher levels of automation where such a policy might not be available.</v>
      </c>
      <c r="K1814" t="str">
        <f>IFERROR(__xludf.DUMMYFUNCTION("""COMPUTED_VALUE"""),"While I agree with the general thrust of this article, comparing image misclassification rates to rates of catastrophic failures in aviation seems a bit harsh. I am having difficulties imagining an aviation system that fails due to a single input that has"&amp;" been processed wrongly, even though the correlation between subsequent failures given similar inputs might mean that this is not necessary for locally catastrophic outcomes.
**Rohin's opinion:** My guess is that we’ll need to treat systems based primari"&amp;"ly on neural nets similarly to operators. The main reason for this is that the tasks that AI systems will solve are usually not even well-defined enough to have a reliability rate like 0.99999997 (or even a couple of orders of magnitude worse). For exampl"&amp;"e, human performance on image classification datasets is typically under 99%, not because humans are bad at image recognition, but because in many cases what the “true label” should be is ambiguous. For another example, you’d think “predict the next word”"&amp;" would be a nice unambiguous task definition, but then for the question “How many bonks are in a quoit?“, should your answer be [“There are three bonks in a quoit”](https://lacker.io/ai/2020/07/06/giving-gpt-3-a-turing-test.html) or [“The question is nons"&amp;"ense”](https://arr.am/2020/07/25/gpt-3-uncertainty-prompts/)? (If you’re inclined to say that it’s obviously the latter, consider that many students will do something like the former if they see a question they don’t understand on an exam.)")</f>
        <v>While I agree with the general thrust of this article, comparing image misclassification rates to rates of catastrophic failures in aviation seems a bit harsh. I am having difficulties imagining an aviation system that fails due to a single input that has been processed wrongly, even though the correlation between subsequent failures given similar inputs might mean that this is not necessary for locally catastrophic outcomes.
**Rohin's opinion:** My guess is that we’ll need to treat systems based primarily on neural nets similarly to operators. The main reason for this is that the tasks that AI systems will solve are usually not even well-defined enough to have a reliability rate like 0.99999997 (or even a couple of orders of magnitude worse). For example, human performance on image classification datasets is typically under 99%, not because humans are bad at image recognition, but because in many cases what the “true label” should be is ambiguous. For another example, you’d think “predict the next word” would be a nice unambiguous task definition, but then for the question “How many bonks are in a quoit?“, should your answer be [“There are three bonks in a quoit”](https://lacker.io/ai/2020/07/06/giving-gpt-3-a-turing-test.html) or [“The question is nonsense”](https://arr.am/2020/07/25/gpt-3-uncertainty-prompts/)? (If you’re inclined to say that it’s obviously the latter, consider that many students will do something like the former if they see a question they don’t understand on an exam.)</v>
      </c>
    </row>
    <row r="1815">
      <c r="A1815" t="str">
        <f>IFERROR(__xludf.DUMMYFUNCTION("""COMPUTED_VALUE"""),"Robustness")</f>
        <v>Robustness</v>
      </c>
      <c r="B1815" t="str">
        <f>IFERROR(__xludf.DUMMYFUNCTION("""COMPUTED_VALUE"""),"")</f>
        <v/>
      </c>
      <c r="C1815" s="3" t="str">
        <f>IFERROR(__xludf.DUMMYFUNCTION("""COMPUTED_VALUE"""),"Pretrained Transformers Improve Out-of-Distribution Robustness")</f>
        <v>Pretrained Transformers Improve Out-of-Distribution Robustness</v>
      </c>
      <c r="D1815" t="str">
        <f>IFERROR(__xludf.DUMMYFUNCTION("""COMPUTED_VALUE"""),"Dan Hendrycks, Xiaoyuan Liu, Eric Wallace, Adam Dziedzic, Rishabh Krishnan, Dawn Song")</f>
        <v>Dan Hendrycks, Xiaoyuan Liu, Eric Wallace, Adam Dziedzic, Rishabh Krishnan, Dawn Song</v>
      </c>
      <c r="E1815" t="str">
        <f>IFERROR(__xludf.DUMMYFUNCTION("""COMPUTED_VALUE"""),"ACL 2020")</f>
        <v>ACL 2020</v>
      </c>
      <c r="F1815">
        <f>IFERROR(__xludf.DUMMYFUNCTION("""COMPUTED_VALUE"""),2020.0)</f>
        <v>2020</v>
      </c>
      <c r="H1815" s="3" t="str">
        <f>IFERROR(__xludf.DUMMYFUNCTION("""COMPUTED_VALUE"""),"AN #99")</f>
        <v>AN #99</v>
      </c>
      <c r="I1815" t="str">
        <f>IFERROR(__xludf.DUMMYFUNCTION("""COMPUTED_VALUE"""),"Asya")</f>
        <v>Asya</v>
      </c>
      <c r="J1815" t="str">
        <f>IFERROR(__xludf.DUMMYFUNCTION("""COMPUTED_VALUE"""),"One important metric for the performance of deep learning models is the extent to which they generalize to examples that are _out-of-distribution_ (OOD) from the original distribution on which they were trained. This ability is sometimes called out-of-dis"&amp;"tribution _robustness_. This paper examines the OOD robustness of several NLP models: a bag-of-words model, word embedding models that use word averages, LSTMs, or ConvNets, and several models that use pretrained bidirectional transformers (BERT).
The pa"&amp;"per finds that:
- Pretrained transformers (BERT) are significantly more OOD robust.
- Pretrained transformers (BERT) are significantly better at _detecting_ when they've encountered an OOD example. Previous models do worse than random chance at detection."&amp;"
- Larger models don't increase OOD robustness in NLP the way they seem to in computer vision.
- Model distillation (using a larger trained neural network to train a smaller neural network) reduces OOD robustness, suggesting that naive in-distribution tes"&amp;"ts for model distillation methods may mask later failures.
- More diverse data improves OOD robustness.
The paper hypothesizes that these pretrained models may perform better because they were pretrained on particularly diverse data, were trained on a la"&amp;"rge amount of data, and were trained with self-supervised objectives, which previous work has suggested improves OOD robustness and detection.")</f>
        <v>One important metric for the performance of deep learning models is the extent to which they generalize to examples that are _out-of-distribution_ (OOD) from the original distribution on which they were trained. This ability is sometimes called out-of-distribution _robustness_. This paper examines the OOD robustness of several NLP models: a bag-of-words model, word embedding models that use word averages, LSTMs, or ConvNets, and several models that use pretrained bidirectional transformers (BERT).
The paper finds that:
- Pretrained transformers (BERT) are significantly more OOD robust.
- Pretrained transformers (BERT) are significantly better at _detecting_ when they've encountered an OOD example. Previous models do worse than random chance at detection.
- Larger models don't increase OOD robustness in NLP the way they seem to in computer vision.
- Model distillation (using a larger trained neural network to train a smaller neural network) reduces OOD robustness, suggesting that naive in-distribution tests for model distillation methods may mask later failures.
- More diverse data improves OOD robustness.
The paper hypothesizes that these pretrained models may perform better because they were pretrained on particularly diverse data, were trained on a large amount of data, and were trained with self-supervised objectives, which previous work has suggested improves OOD robustness and detection.</v>
      </c>
      <c r="K1815" t="str">
        <f>IFERROR(__xludf.DUMMYFUNCTION("""COMPUTED_VALUE"""),"I think this is an awesome paper which, among other things, points at potential research directions for increasing OOD robustness: training more, training more diversely, and training in self-supervised ways. I think it's pretty noteworthy that larger mod"&amp;"els don't increase OOD robustness in NLP (all else equal), because it implies that certain guarantees may be constrained entirely by training procedures.")</f>
        <v>I think this is an awesome paper which, among other things, points at potential research directions for increasing OOD robustness: training more, training more diversely, and training in self-supervised ways. I think it's pretty noteworthy that larger models don't increase OOD robustness in NLP (all else equal), because it implies that certain guarantees may be constrained entirely by training procedures.</v>
      </c>
    </row>
    <row r="1816">
      <c r="A1816" t="str">
        <f>IFERROR(__xludf.DUMMYFUNCTION("""COMPUTED_VALUE"""),"Robustness")</f>
        <v>Robustness</v>
      </c>
      <c r="B1816" t="str">
        <f>IFERROR(__xludf.DUMMYFUNCTION("""COMPUTED_VALUE"""),"")</f>
        <v/>
      </c>
      <c r="C1816" s="3" t="str">
        <f>IFERROR(__xludf.DUMMYFUNCTION("""COMPUTED_VALUE"""),"The Conditional Entropy Bottleneck")</f>
        <v>The Conditional Entropy Bottleneck</v>
      </c>
      <c r="D1816" t="str">
        <f>IFERROR(__xludf.DUMMYFUNCTION("""COMPUTED_VALUE"""),"Ian Fischer")</f>
        <v>Ian Fischer</v>
      </c>
      <c r="E1816" t="str">
        <f>IFERROR(__xludf.DUMMYFUNCTION("""COMPUTED_VALUE"""),"arXiv")</f>
        <v>arXiv</v>
      </c>
      <c r="F1816">
        <f>IFERROR(__xludf.DUMMYFUNCTION("""COMPUTED_VALUE"""),2020.0)</f>
        <v>2020</v>
      </c>
      <c r="H1816" s="3" t="str">
        <f>IFERROR(__xludf.DUMMYFUNCTION("""COMPUTED_VALUE"""),"AN #92")</f>
        <v>AN #92</v>
      </c>
      <c r="I1816" t="str">
        <f>IFERROR(__xludf.DUMMYFUNCTION("""COMPUTED_VALUE"""),"Rohin")</f>
        <v>Rohin</v>
      </c>
      <c r="J1816" t="str">
        <f>IFERROR(__xludf.DUMMYFUNCTION("""COMPUTED_VALUE"""),"While I've categorized this paper under robustness because it can apply to most forms of training, I'll talk about it specifically in the context of unsupervised learning (and in particular its relation to Contrastive Predictive Coding (CPC), summarized i"&amp;"n the highlights).
One potential problem with deep learning is that there might be too _much_ information in the input, causing the model to learn spurious correlations that do not actually generalize well (see &lt;@Causal Confusion in Imitation Learning@&gt; "&amp;"as an example). The idea with CEB is to penalize the model for learning irrelevant information, using a form of _information bottleneck_.
We consider a setting where we want to learn a representation **Z** of some input data **X** in order to predict som"&amp;"e downstream data **Y**. In CPC, **X** would be the inputs from time 1 to t, **Z** would be the latent representation **z_t**, and **Y** would be the future data **x_{t+k}**. Then, we want **Z** to capture the **minimum necessary information** needed for "&amp;"**Z** to predict **Y** as best as possible. The _necessary_ information is **I(Y; Z)**, that is, the mutual information between **Z** and **Y**: we want to maximize this to maximize our accuracy at predicting **Y**. Since **Y** depends on **X** and **Z** "&amp;"is computed from **X**, any information about **Y** must come through mutual information between **X** and **Z**. Maximizing just this **I(Y; Z)** term gives us Contrastive Predictive Coding.
However, we don't want to capture any extra irrelevant informa"&amp;"tion (the minimality criterion), which means that **Z** shouldn't capture any _more_ information about **X** beyond what it captured to maximize **I(Y; Z)**. In information-theoretic terms, we want to _minimize_ **I(X; Z | Y)**. Thus, we have the CEB obje"&amp;"ctive: minimizing **I(X; Z | Y) - γ I(Y; Z)**, where **γ** is a hyperparameter controlling the tradeoff between the two terms. The authors then use some fairly straightforward math to reduce the objective to simpler terms which can be bounded using variat"&amp;"ional approximations, leading to an algorithm that can work in practice. 
The authors perform experiments on Fashion MNIST and CIFAR10 (where Y corresponds to the labels for the images, so we're in the supervised learning setting). Since the main benefit"&amp;" of CEB is to remove unnecessary information from the model, they evaluate adversarial robustness and out-of-distribution detection in addition to standard performance checks. They find that models trained with CEB perform better than ones trained with a "&amp;"variational information bottleneck, or ones trained with vanilla SGD.")</f>
        <v>While I've categorized this paper under robustness because it can apply to most forms of training, I'll talk about it specifically in the context of unsupervised learning (and in particular its relation to Contrastive Predictive Coding (CPC), summarized in the highlights).
One potential problem with deep learning is that there might be too _much_ information in the input, causing the model to learn spurious correlations that do not actually generalize well (see &lt;@Causal Confusion in Imitation Learning@&gt; as an example). The idea with CEB is to penalize the model for learning irrelevant information, using a form of _information bottleneck_.
We consider a setting where we want to learn a representation **Z** of some input data **X** in order to predict some downstream data **Y**. In CPC, **X** would be the inputs from time 1 to t, **Z** would be the latent representation **z_t**, and **Y** would be the future data **x_{t+k}**. Then, we want **Z** to capture the **minimum necessary information** needed for **Z** to predict **Y** as best as possible. The _necessary_ information is **I(Y; Z)**, that is, the mutual information between **Z** and **Y**: we want to maximize this to maximize our accuracy at predicting **Y**. Since **Y** depends on **X** and **Z** is computed from **X**, any information about **Y** must come through mutual information between **X** and **Z**. Maximizing just this **I(Y; Z)** term gives us Contrastive Predictive Coding.
However, we don't want to capture any extra irrelevant information (the minimality criterion), which means that **Z** shouldn't capture any _more_ information about **X** beyond what it captured to maximize **I(Y; Z)**. In information-theoretic terms, we want to _minimize_ **I(X; Z | Y)**. Thus, we have the CEB objective: minimizing **I(X; Z | Y) - γ I(Y; Z)**, where **γ** is a hyperparameter controlling the tradeoff between the two terms. The authors then use some fairly straightforward math to reduce the objective to simpler terms which can be bounded using variational approximations, leading to an algorithm that can work in practice. 
The authors perform experiments on Fashion MNIST and CIFAR10 (where Y corresponds to the labels for the images, so we're in the supervised learning setting). Since the main benefit of CEB is to remove unnecessary information from the model, they evaluate adversarial robustness and out-of-distribution detection in addition to standard performance checks. They find that models trained with CEB perform better than ones trained with a variational information bottleneck, or ones trained with vanilla SGD.</v>
      </c>
      <c r="K1816" t="str">
        <f>IFERROR(__xludf.DUMMYFUNCTION("""COMPUTED_VALUE"""),"While I'm not sure to what extent models learn truly irrelevant information (see &lt;@Adversarial Examples Are Not Bugs, They Are Features@&gt;), it seems good to add an incentive against learning information that won't be useful for a downstream task, and the "&amp;"empirical results (especially of the next paper) suggest that it is providing some benefit.")</f>
        <v>While I'm not sure to what extent models learn truly irrelevant information (see &lt;@Adversarial Examples Are Not Bugs, They Are Features@&gt;), it seems good to add an incentive against learning information that won't be useful for a downstream task, and the empirical results (especially of the next paper) suggest that it is providing some benefit.</v>
      </c>
    </row>
    <row r="1817">
      <c r="A1817" t="str">
        <f>IFERROR(__xludf.DUMMYFUNCTION("""COMPUTED_VALUE"""),"Robustness")</f>
        <v>Robustness</v>
      </c>
      <c r="B1817" t="str">
        <f>IFERROR(__xludf.DUMMYFUNCTION("""COMPUTED_VALUE"""),"")</f>
        <v/>
      </c>
      <c r="C1817" s="3" t="str">
        <f>IFERROR(__xludf.DUMMYFUNCTION("""COMPUTED_VALUE"""),"CEB Improves Model Robustness")</f>
        <v>CEB Improves Model Robustness</v>
      </c>
      <c r="D1817" t="str">
        <f>IFERROR(__xludf.DUMMYFUNCTION("""COMPUTED_VALUE"""),"Ian Fischer, Alexander A. Alemi")</f>
        <v>Ian Fischer, Alexander A. Alemi</v>
      </c>
      <c r="E1817" t="str">
        <f>IFERROR(__xludf.DUMMYFUNCTION("""COMPUTED_VALUE"""),"arXiv")</f>
        <v>arXiv</v>
      </c>
      <c r="F1817">
        <f>IFERROR(__xludf.DUMMYFUNCTION("""COMPUTED_VALUE"""),2020.0)</f>
        <v>2020</v>
      </c>
      <c r="H1817" s="3" t="str">
        <f>IFERROR(__xludf.DUMMYFUNCTION("""COMPUTED_VALUE"""),"AN #92")</f>
        <v>AN #92</v>
      </c>
      <c r="I1817" t="str">
        <f>IFERROR(__xludf.DUMMYFUNCTION("""COMPUTED_VALUE"""),"Rohin")</f>
        <v>Rohin</v>
      </c>
      <c r="J1817" t="str">
        <f>IFERROR(__xludf.DUMMYFUNCTION("""COMPUTED_VALUE"""),"This empirical paper finds that ImageNet classifiers trained with the CEB objective (summarized above) are already somewhat adversarially robust, without having any decrease in accuracy, and without any adversarial training. Notably, since CEB does not re"&amp;"ly on knowing the attack method ahead of time, its adversarial robustness generalizes to multiple kinds of attacks, whereas models that were adversarially trained tend to be fragile in the face of previously unseen attacks.")</f>
        <v>This empirical paper finds that ImageNet classifiers trained with the CEB objective (summarized above) are already somewhat adversarially robust, without having any decrease in accuracy, and without any adversarial training. Notably, since CEB does not rely on knowing the attack method ahead of time, its adversarial robustness generalizes to multiple kinds of attacks, whereas models that were adversarially trained tend to be fragile in the face of previously unseen attacks.</v>
      </c>
    </row>
    <row r="1818">
      <c r="A1818" t="str">
        <f>IFERROR(__xludf.DUMMYFUNCTION("""COMPUTED_VALUE"""),"Robustness")</f>
        <v>Robustness</v>
      </c>
      <c r="B1818" t="str">
        <f>IFERROR(__xludf.DUMMYFUNCTION("""COMPUTED_VALUE"""),"")</f>
        <v/>
      </c>
      <c r="C1818" s="3" t="str">
        <f>IFERROR(__xludf.DUMMYFUNCTION("""COMPUTED_VALUE"""),"Call for Papers: ICML 2019 Workshop on Uncertainty and Robustness in Deep Learning")</f>
        <v>Call for Papers: ICML 2019 Workshop on Uncertainty and Robustness in Deep Learning</v>
      </c>
      <c r="E1818" t="str">
        <f>IFERROR(__xludf.DUMMYFUNCTION("""COMPUTED_VALUE"""),"Workshop's Website")</f>
        <v>Workshop's Website</v>
      </c>
      <c r="F1818">
        <f>IFERROR(__xludf.DUMMYFUNCTION("""COMPUTED_VALUE"""),2019.0)</f>
        <v>2019</v>
      </c>
      <c r="H1818" s="3" t="str">
        <f>IFERROR(__xludf.DUMMYFUNCTION("""COMPUTED_VALUE"""),"AN #50")</f>
        <v>AN #50</v>
      </c>
      <c r="I1818" t="str">
        <f>IFERROR(__xludf.DUMMYFUNCTION("""COMPUTED_VALUE"""),"Dan H")</f>
        <v>Dan H</v>
      </c>
      <c r="J1818" t="str">
        <f>IFERROR(__xludf.DUMMYFUNCTION("""COMPUTED_VALUE"""),"Topics of this workshop include out-of-distribution detection, calibration, robustness to corruptions, robustness to adversaries, etc. Submissions are due April 30th.")</f>
        <v>Topics of this workshop include out-of-distribution detection, calibration, robustness to corruptions, robustness to adversaries, etc. Submissions are due April 30th.</v>
      </c>
    </row>
    <row r="1819">
      <c r="A1819" t="str">
        <f>IFERROR(__xludf.DUMMYFUNCTION("""COMPUTED_VALUE"""),"Robustness")</f>
        <v>Robustness</v>
      </c>
      <c r="B1819" t="str">
        <f>IFERROR(__xludf.DUMMYFUNCTION("""COMPUTED_VALUE"""),"")</f>
        <v/>
      </c>
      <c r="C1819" s="3" t="str">
        <f>IFERROR(__xludf.DUMMYFUNCTION("""COMPUTED_VALUE"""),"Learning from Untrusted Data")</f>
        <v>Learning from Untrusted Data</v>
      </c>
      <c r="D1819" t="str">
        <f>IFERROR(__xludf.DUMMYFUNCTION("""COMPUTED_VALUE"""),"Moses Charikar, Jacob Steinhardt, Gregory Valiant")</f>
        <v>Moses Charikar, Jacob Steinhardt, Gregory Valiant</v>
      </c>
      <c r="E1819" t="str">
        <f>IFERROR(__xludf.DUMMYFUNCTION("""COMPUTED_VALUE"""),"STOC")</f>
        <v>STOC</v>
      </c>
      <c r="F1819">
        <f>IFERROR(__xludf.DUMMYFUNCTION("""COMPUTED_VALUE"""),2017.0)</f>
        <v>2017</v>
      </c>
      <c r="H1819" s="3" t="str">
        <f>IFERROR(__xludf.DUMMYFUNCTION("""COMPUTED_VALUE"""),"AN #30")</f>
        <v>AN #30</v>
      </c>
      <c r="I1819" t="str">
        <f>IFERROR(__xludf.DUMMYFUNCTION("""COMPUTED_VALUE"""),"Dan H")</f>
        <v>Dan H</v>
      </c>
      <c r="J1819" t="str">
        <f>IFERROR(__xludf.DUMMYFUNCTION("""COMPUTED_VALUE"""),"This paper introduces semi-verified learning. Here a model learns from a verified or trusted dataset, and from an untrusted dataset which consists in a mixture of legitimate and arbitrary examples. For the untrusted dataset, it is not known which points a"&amp;"re legitimate and which are not. This scenario can occur when data is scraped from the internet, recorded by unreliable devices, or gathered through [crowdsourcing](https://ai.googleblog.com/2017/04/federated-learning-collaborative.html). Concretely if a "&amp;"(possibly small) fraction of the scraped data is hand-labeled, then this could count as the trusted set, and the remaining data could be considered the untrusted set. This differs from semi-supervised learning where there are labeled and unlabeled task-re"&amp;"levant examples. Here there are trusted examples and examples which are untrusted (e.g., labels may be wrong, features may be out-of-distribution, examples may be malicious, and so on). See the full paper for theorems and an algorithm applicable to tasks "&amp;"such as robust density estimation.")</f>
        <v>This paper introduces semi-verified learning. Here a model learns from a verified or trusted dataset, and from an untrusted dataset which consists in a mixture of legitimate and arbitrary examples. For the untrusted dataset, it is not known which points are legitimate and which are not. This scenario can occur when data is scraped from the internet, recorded by unreliable devices, or gathered through [crowdsourcing](https://ai.googleblog.com/2017/04/federated-learning-collaborative.html). Concretely if a (possibly small) fraction of the scraped data is hand-labeled, then this could count as the trusted set, and the remaining data could be considered the untrusted set. This differs from semi-supervised learning where there are labeled and unlabeled task-relevant examples. Here there are trusted examples and examples which are untrusted (e.g., labels may be wrong, features may be out-of-distribution, examples may be malicious, and so on). See the full paper for theorems and an algorithm applicable to tasks such as robust density estimation.</v>
      </c>
      <c r="K1819" t="str">
        <f>IFERROR(__xludf.DUMMYFUNCTION("""COMPUTED_VALUE"""),"The semi-verified model seems highly useful for various safety-related scenarios including learning with [label](https://arxiv.org/abs/1803.09050) [corruption](https://arxiv.org/abs/1802.05300), poisoned input data, and minimal supervision.")</f>
        <v>The semi-verified model seems highly useful for various safety-related scenarios including learning with [label](https://arxiv.org/abs/1803.09050) [corruption](https://arxiv.org/abs/1802.05300), poisoned input data, and minimal supervision.</v>
      </c>
    </row>
    <row r="1820">
      <c r="A1820" t="str">
        <f>IFERROR(__xludf.DUMMYFUNCTION("""COMPUTED_VALUE"""),"Robustness")</f>
        <v>Robustness</v>
      </c>
      <c r="B1820" t="str">
        <f>IFERROR(__xludf.DUMMYFUNCTION("""COMPUTED_VALUE"""),"")</f>
        <v/>
      </c>
      <c r="C1820" s="3" t="str">
        <f>IFERROR(__xludf.DUMMYFUNCTION("""COMPUTED_VALUE"""),"Experimentally evaluating whether honesty generalizes")</f>
        <v>Experimentally evaluating whether honesty generalizes</v>
      </c>
      <c r="D1820" t="str">
        <f>IFERROR(__xludf.DUMMYFUNCTION("""COMPUTED_VALUE"""),"Paul Christiano")</f>
        <v>Paul Christiano</v>
      </c>
      <c r="E1820" t="str">
        <f>IFERROR(__xludf.DUMMYFUNCTION("""COMPUTED_VALUE"""),"Alignment Forum")</f>
        <v>Alignment Forum</v>
      </c>
      <c r="F1820">
        <f>IFERROR(__xludf.DUMMYFUNCTION("""COMPUTED_VALUE"""),2021.0)</f>
        <v>2021</v>
      </c>
      <c r="H1820" s="3" t="str">
        <f>IFERROR(__xludf.DUMMYFUNCTION("""COMPUTED_VALUE"""),"AN #158")</f>
        <v>AN #158</v>
      </c>
      <c r="I1820" t="str">
        <f>IFERROR(__xludf.DUMMYFUNCTION("""COMPUTED_VALUE"""),"Rohin")</f>
        <v>Rohin</v>
      </c>
      <c r="J1820" t="str">
        <f>IFERROR(__xludf.DUMMYFUNCTION("""COMPUTED_VALUE"""),"The highlighted post introduced the notion of optimism about generalization. On this view, if we train an AI agent on question-answer pairs (or comparisons) where we are confident in the correctness of the answers (or comparisons), the resulting agent wil"&amp;"l continue to answer honestly even on questions where we wouldn’t be confident of the answer.
While we can’t test exactly the situation we care about -- whether a superintelligent AI system would continue to answer questions honestly -- we _can_ test an "&amp;"analogous situation with existing large language models. In particular, let’s consider the domain of unsupervised translation: we’re asking a language model trained on both English and French to answer questions about French text, and we (the overseers) o"&amp;"nly know English.
We could finetune the model on answers to questions about grammar (""Why would it have been a grammatical error to write Tu Vas?"") and literal meanings (""What does Defendre mean here?""). Once it performs well in this setting, we coul"&amp;"d then evaluate whether the model generalizes to answer questions about tone (""Does the speaker seem angry or sad about the topic they are discussing?""). On the optimism about generalization view, it seems like this should work. It is intentional here t"&amp;"hat we only finetune on two categories rather than thousands, since that seems more representative of the case we’ll actually face.
There are lots of variants which differ in the type of generalization they are asking for: for example, we could finetune "&amp;"a model on all questions about French text and German text, and then see whether it generalizes to answering questions about Spanish text.
While the experiments as currently suggested probably won’t show good generalization, a variant that could support "&amp;"it would be one in which we train for _plausibility_. In our original example, we finetune on correct answers for grammar and literal meanings, and then we _also_ finetune to have the model give _plausible_ answers to tone (i.e. when asked about tone, ins"&amp;"tead of saying “en colère means 'angry'”, the model says “the author is angry, as we can see from the use of ‘en colère’”). It seems possible that this combination leads to the model giving actually correct answers about tone, just because “honestly repor"&amp;"t your best guess” seems like the simplest policy that meets all of these criteria.")</f>
        <v>The highlighted post introduced the notion of optimism about generalization. On this view, if we train an AI agent on question-answer pairs (or comparisons) where we are confident in the correctness of the answers (or comparisons), the resulting agent will continue to answer honestly even on questions where we wouldn’t be confident of the answer.
While we can’t test exactly the situation we care about -- whether a superintelligent AI system would continue to answer questions honestly -- we _can_ test an analogous situation with existing large language models. In particular, let’s consider the domain of unsupervised translation: we’re asking a language model trained on both English and French to answer questions about French text, and we (the overseers) only know English.
We could finetune the model on answers to questions about grammar ("Why would it have been a grammatical error to write Tu Vas?") and literal meanings ("What does Defendre mean here?"). Once it performs well in this setting, we could then evaluate whether the model generalizes to answer questions about tone ("Does the speaker seem angry or sad about the topic they are discussing?"). On the optimism about generalization view, it seems like this should work. It is intentional here that we only finetune on two categories rather than thousands, since that seems more representative of the case we’ll actually face.
There are lots of variants which differ in the type of generalization they are asking for: for example, we could finetune a model on all questions about French text and German text, and then see whether it generalizes to answering questions about Spanish text.
While the experiments as currently suggested probably won’t show good generalization, a variant that could support it would be one in which we train for _plausibility_. In our original example, we finetune on correct answers for grammar and literal meanings, and then we _also_ finetune to have the model give _plausible_ answers to tone (i.e. when asked about tone, instead of saying “en colère means 'angry'”, the model says “the author is angry, as we can see from the use of ‘en colère’”). It seems possible that this combination leads to the model giving actually correct answers about tone, just because “honestly report your best guess” seems like the simplest policy that meets all of these criteria.</v>
      </c>
    </row>
    <row r="1821">
      <c r="A1821" t="str">
        <f>IFERROR(__xludf.DUMMYFUNCTION("""COMPUTED_VALUE"""),"Robustness")</f>
        <v>Robustness</v>
      </c>
      <c r="B1821" t="str">
        <f>IFERROR(__xludf.DUMMYFUNCTION("""COMPUTED_VALUE"""),"")</f>
        <v/>
      </c>
      <c r="C1821" s="3" t="str">
        <f>IFERROR(__xludf.DUMMYFUNCTION("""COMPUTED_VALUE"""),"Evaluating the Robustness of Collaborative Agents")</f>
        <v>Evaluating the Robustness of Collaborative Agents</v>
      </c>
      <c r="D1821" t="str">
        <f>IFERROR(__xludf.DUMMYFUNCTION("""COMPUTED_VALUE"""),"Paul Knott, Micah Carroll, Sam Devlin, Kamil Ciosek, Katja Hofmann, A. D. Dragan, Rohin Shah")</f>
        <v>Paul Knott, Micah Carroll, Sam Devlin, Kamil Ciosek, Katja Hofmann, A. D. Dragan, Rohin Shah</v>
      </c>
      <c r="E1821" t="str">
        <f>IFERROR(__xludf.DUMMYFUNCTION("""COMPUTED_VALUE"""),"arXiv")</f>
        <v>arXiv</v>
      </c>
      <c r="F1821">
        <f>IFERROR(__xludf.DUMMYFUNCTION("""COMPUTED_VALUE"""),2021.0)</f>
        <v>2021</v>
      </c>
      <c r="H1821" s="3" t="str">
        <f>IFERROR(__xludf.DUMMYFUNCTION("""COMPUTED_VALUE"""),"AN #135")</f>
        <v>AN #135</v>
      </c>
      <c r="I1821" t="str">
        <f>IFERROR(__xludf.DUMMYFUNCTION("""COMPUTED_VALUE"""),"Rohin")</f>
        <v>Rohin</v>
      </c>
      <c r="J1821" t="str">
        <f>IFERROR(__xludf.DUMMYFUNCTION("""COMPUTED_VALUE"""),"Assuming a well-specified reward function, we would like to evaluate robustness of an agent by looking at the average reward it obtains on a wide scenario of plausible test time inputs that it might get. However, the key challenge of robustness is that it"&amp;" is hard to specify the test distribution in advance, and we must work with the training distribution instead.
This paper (on which I am an author) proposes _measuring_ robustness using a suite of hand-designed _unit tests_. Just as a function is tested "&amp;"by having the programmer write down potential edge cases and checking for the expected behavior, AI developers can come up with a set of potential “edge case” situations (especially ones not likely to arise during training) and check whether the agent’s b"&amp;"ehavior on these situations works well or not. Intuitively, since these unit tests are created separately from the training process, they may not have the same spurious correlations that could be present in the training data. Thus, they can serve as an ev"&amp;"aluation of the robustness of the agent.
The authors built a test suite for &lt;@Overcooked@&gt;(@Collaborating with Humans Requires Understanding Them@), and use it to evaluate several techniques aimed to improve the robustness of agents trained to collaborat"&amp;"e with humans.
For example, one technique is to start each episode from a state sampled randomly from a dataset of human-human gameplay, so that the agents learn how to handle a broader diversity of states. This technique _decreases_ the average _validat"&amp;"ion_ reward, and if that’s all we look at, we would conclude that it did not work. However, the technique also _increases_ performance on the unit test suite, suggesting that in reality the technique does increase robustness, though it comes at the cost o"&amp;"f reduced performance when playing with the particular set of partners that make up the validation distribution.")</f>
        <v>Assuming a well-specified reward function, we would like to evaluate robustness of an agent by looking at the average reward it obtains on a wide scenario of plausible test time inputs that it might get. However, the key challenge of robustness is that it is hard to specify the test distribution in advance, and we must work with the training distribution instead.
This paper (on which I am an author) proposes _measuring_ robustness using a suite of hand-designed _unit tests_. Just as a function is tested by having the programmer write down potential edge cases and checking for the expected behavior, AI developers can come up with a set of potential “edge case” situations (especially ones not likely to arise during training) and check whether the agent’s behavior on these situations works well or not. Intuitively, since these unit tests are created separately from the training process, they may not have the same spurious correlations that could be present in the training data. Thus, they can serve as an evaluation of the robustness of the agent.
The authors built a test suite for &lt;@Overcooked@&gt;(@Collaborating with Humans Requires Understanding Them@), and use it to evaluate several techniques aimed to improve the robustness of agents trained to collaborate with humans.
For example, one technique is to start each episode from a state sampled randomly from a dataset of human-human gameplay, so that the agents learn how to handle a broader diversity of states. This technique _decreases_ the average _validation_ reward, and if that’s all we look at, we would conclude that it did not work. However, the technique also _increases_ performance on the unit test suite, suggesting that in reality the technique does increase robustness, though it comes at the cost of reduced performance when playing with the particular set of partners that make up the validation distribution.</v>
      </c>
    </row>
    <row r="1822">
      <c r="A1822" t="str">
        <f>IFERROR(__xludf.DUMMYFUNCTION("""COMPUTED_VALUE"""),"Robustness")</f>
        <v>Robustness</v>
      </c>
      <c r="B1822" t="str">
        <f>IFERROR(__xludf.DUMMYFUNCTION("""COMPUTED_VALUE"""),"")</f>
        <v/>
      </c>
      <c r="C1822" s="3" t="str">
        <f>IFERROR(__xludf.DUMMYFUNCTION("""COMPUTED_VALUE"""),"Building Trust through Testing")</f>
        <v>Building Trust through Testing</v>
      </c>
      <c r="D1822" t="str">
        <f>IFERROR(__xludf.DUMMYFUNCTION("""COMPUTED_VALUE"""),"Michèle A. Flournoy, Avril Haines, Gabrielle Chefitz")</f>
        <v>Michèle A. Flournoy, Avril Haines, Gabrielle Chefitz</v>
      </c>
      <c r="E1822" t="str">
        <f>IFERROR(__xludf.DUMMYFUNCTION("""COMPUTED_VALUE"""),"CSET Website")</f>
        <v>CSET Website</v>
      </c>
      <c r="F1822">
        <f>IFERROR(__xludf.DUMMYFUNCTION("""COMPUTED_VALUE"""),2020.0)</f>
        <v>2020</v>
      </c>
      <c r="H1822" s="3" t="str">
        <f>IFERROR(__xludf.DUMMYFUNCTION("""COMPUTED_VALUE"""),"AN #129")</f>
        <v>AN #129</v>
      </c>
      <c r="I1822" t="str">
        <f>IFERROR(__xludf.DUMMYFUNCTION("""COMPUTED_VALUE"""),"Nicholas")</f>
        <v>Nicholas</v>
      </c>
      <c r="J1822" t="str">
        <f>IFERROR(__xludf.DUMMYFUNCTION("""COMPUTED_VALUE"""),"In order to deploy AI systems, especially in the military, we will need to have good reason to _trust_ them. However, under the current machine learning paradigm, there are several challenges to building such trust. These challenges are broken down into t"&amp;"echnological and bureaucratic challenges. Technological challenges include lack of robustness, lack of representative test sets, lack of interpretability, and complexity once ML is integrated into larger systems. Bureaucratic challenges include lack of co"&amp;"ordination, recruiting talent, and coordination between DoD, the private sector, and academia.
To address these challenges, the authors suggest that DoD updates its testing, evaluation, verification, and validation (TEVV) process to handle AI systems. Th"&amp;"ey make 11 recommendations. A few that I found particularly interesting are:
- Create an OSD coordinating body to lead on AI/ML TEVV and incentivize strong cooperation with the services.
- Develop industry / U.S. government TEVV standards and promote them"&amp;" internationally.
- Test, train, and certify human-machine teams through wargaming, simulation, and experimentation.
- Increase resources for and attention on adversarial testing and red-teaming.")</f>
        <v>In order to deploy AI systems, especially in the military, we will need to have good reason to _trust_ them. However, under the current machine learning paradigm, there are several challenges to building such trust. These challenges are broken down into technological and bureaucratic challenges. Technological challenges include lack of robustness, lack of representative test sets, lack of interpretability, and complexity once ML is integrated into larger systems. Bureaucratic challenges include lack of coordination, recruiting talent, and coordination between DoD, the private sector, and academia.
To address these challenges, the authors suggest that DoD updates its testing, evaluation, verification, and validation (TEVV) process to handle AI systems. They make 11 recommendations. A few that I found particularly interesting are:
- Create an OSD coordinating body to lead on AI/ML TEVV and incentivize strong cooperation with the services.
- Develop industry / U.S. government TEVV standards and promote them internationally.
- Test, train, and certify human-machine teams through wargaming, simulation, and experimentation.
- Increase resources for and attention on adversarial testing and red-teaming.</v>
      </c>
      <c r="K1822" t="str">
        <f>IFERROR(__xludf.DUMMYFUNCTION("""COMPUTED_VALUE"""),"I think it is plausible that the final stages of AGI deployment are carried out by the US military, similar to how the Manhattan Project took on the final stages of nuclear bomb development. If this happens, it will be important for the DoD to recognize a"&amp;"nd address issues of AI safety very carefully. If the TEVV process does get updated in a meaningful way soon, this could be a great opportunity for the AI safety community to try to translate some of its research into practice as well as building credibil"&amp;"ity and trust with the DoD.
Separately from long-term AGI deployment, I think that the DoD could be a good partner for AI safety research, particularly regarding areas like adversarial training and robustness. My main concern is that confidentiality migh"&amp;"t lead to safety research being hidden and thus less useful than if it was carried out in the open. I don’t know enough about the details of working with the DoD to know how likely that is to be an issue, however. ")</f>
        <v>I think it is plausible that the final stages of AGI deployment are carried out by the US military, similar to how the Manhattan Project took on the final stages of nuclear bomb development. If this happens, it will be important for the DoD to recognize and address issues of AI safety very carefully. If the TEVV process does get updated in a meaningful way soon, this could be a great opportunity for the AI safety community to try to translate some of its research into practice as well as building credibility and trust with the DoD.
Separately from long-term AGI deployment, I think that the DoD could be a good partner for AI safety research, particularly regarding areas like adversarial training and robustness. My main concern is that confidentiality might lead to safety research being hidden and thus less useful than if it was carried out in the open. I don’t know enough about the details of working with the DoD to know how likely that is to be an issue, however. </v>
      </c>
    </row>
    <row r="1823">
      <c r="A1823" t="str">
        <f>IFERROR(__xludf.DUMMYFUNCTION("""COMPUTED_VALUE"""),"Robustness")</f>
        <v>Robustness</v>
      </c>
      <c r="B1823" t="str">
        <f>IFERROR(__xludf.DUMMYFUNCTION("""COMPUTED_VALUE"""),"")</f>
        <v/>
      </c>
      <c r="C1823" s="3" t="str">
        <f>IFERROR(__xludf.DUMMYFUNCTION("""COMPUTED_VALUE"""),"Is BERT Really Robust? A Strong Baseline for Natural Language Attack on Text Classification and Entailment")</f>
        <v>Is BERT Really Robust? A Strong Baseline for Natural Language Attack on Text Classification and Entailment</v>
      </c>
      <c r="D1823" t="str">
        <f>IFERROR(__xludf.DUMMYFUNCTION("""COMPUTED_VALUE"""),"Di Jin*, Zhijing Jin*, Joey Tianyi Zhou, Peter Szolovits")</f>
        <v>Di Jin*, Zhijing Jin*, Joey Tianyi Zhou, Peter Szolovits</v>
      </c>
      <c r="E1823" t="str">
        <f>IFERROR(__xludf.DUMMYFUNCTION("""COMPUTED_VALUE"""),"arXiv")</f>
        <v>arXiv</v>
      </c>
      <c r="F1823">
        <f>IFERROR(__xludf.DUMMYFUNCTION("""COMPUTED_VALUE"""),2019.0)</f>
        <v>2019</v>
      </c>
      <c r="H1823" s="3" t="str">
        <f>IFERROR(__xludf.DUMMYFUNCTION("""COMPUTED_VALUE"""),"AN #99")</f>
        <v>AN #99</v>
      </c>
      <c r="I1823" t="str">
        <f>IFERROR(__xludf.DUMMYFUNCTION("""COMPUTED_VALUE"""),"Asya")</f>
        <v>Asya</v>
      </c>
      <c r="J1823" t="str">
        <f>IFERROR(__xludf.DUMMYFUNCTION("""COMPUTED_VALUE"""),"This paper presents TextFooler, an algorithm for generating adversarial text for natural language tasks with only black-box access to models. TextFooler tries to generate sentences that are grammatical and semantically similar to original input sentences "&amp;"but produce incorrect labels. It does this by identifying a small set of most important words in the original sentence, generating candidate synonyms for those words, and gradually replacing the important words in the sentence by testing which synonyms ca"&amp;"use the model to mispredict or report the least confidence score.
TextFooler is tested on three state-of-the-art NLP models-- WordCNN, WordLSTM, and BERT, all trained to ~80 - 90% test accuracy. On a variety of text classification datasets, TextFooler re"&amp;"duces accuracy to below ~15% with less than ~20% of the words perturbed. Humans evaluating the generated sentences say they are approximately as grammatical as the original, have the same label as the original in ~90% of cases, and have a sentence similar"&amp;"ity score to the original sentence of 0.9 on a 0 to 1 scale. The paper finds that generally, models with higher original accuracy have higher after-attack acuracy.
The authors retrain BERT from scratch using data produced by TextFooler and then attack it"&amp;" using TextFooler again. They find that the after-attack accuracy is higher and that attacks require more perturbed words.")</f>
        <v>This paper presents TextFooler, an algorithm for generating adversarial text for natural language tasks with only black-box access to models. TextFooler tries to generate sentences that are grammatical and semantically similar to original input sentences but produce incorrect labels. It does this by identifying a small set of most important words in the original sentence, generating candidate synonyms for those words, and gradually replacing the important words in the sentence by testing which synonyms cause the model to mispredict or report the least confidence score.
TextFooler is tested on three state-of-the-art NLP models-- WordCNN, WordLSTM, and BERT, all trained to ~80 - 90% test accuracy. On a variety of text classification datasets, TextFooler reduces accuracy to below ~15% with less than ~20% of the words perturbed. Humans evaluating the generated sentences say they are approximately as grammatical as the original, have the same label as the original in ~90% of cases, and have a sentence similarity score to the original sentence of 0.9 on a 0 to 1 scale. The paper finds that generally, models with higher original accuracy have higher after-attack acuracy.
The authors retrain BERT from scratch using data produced by TextFooler and then attack it using TextFooler again. They find that the after-attack accuracy is higher and that attacks require more perturbed words.</v>
      </c>
      <c r="K1823" t="str">
        <f>IFERROR(__xludf.DUMMYFUNCTION("""COMPUTED_VALUE"""),"I was surprised that the accuracies the paper presented after adversarially training on TextFooler-produced sentences still weren't very high-- BERT's after-attack accuracy on one dataset went from 11.5% to 18.7%, and on another went from 4.0% to 8.3%. Th"&amp;"e paper didn't give a detailed description of its retraining procedure, so this may just be because they didn't adversarially train as much as they could have.
**Rohin's opinion:** This is an instance of the general trend across domains where if you sear"&amp;"ch in a black-box way around training or test inputs, you can relatively easily uncover examples where your model performs poorly. We've seen this with adversarial examples in image classification, and with &lt;@adversarial@&gt;(@Rigorous Agent Evaluation: An A"&amp;"dversarial Approach to Uncover Catastrophic Failures@) &lt;@policies@&gt;(@Adversarial Policies: Attacking Deep Reinforcement Learning@) in deep reinforcement learning.")</f>
        <v>I was surprised that the accuracies the paper presented after adversarially training on TextFooler-produced sentences still weren't very high-- BERT's after-attack accuracy on one dataset went from 11.5% to 18.7%, and on another went from 4.0% to 8.3%. The paper didn't give a detailed description of its retraining procedure, so this may just be because they didn't adversarially train as much as they could have.
**Rohin's opinion:** This is an instance of the general trend across domains where if you search in a black-box way around training or test inputs, you can relatively easily uncover examples where your model performs poorly. We've seen this with adversarial examples in image classification, and with &lt;@adversarial@&gt;(@Rigorous Agent Evaluation: An Adversarial Approach to Uncover Catastrophic Failures@) &lt;@policies@&gt;(@Adversarial Policies: Attacking Deep Reinforcement Learning@) in deep reinforcement learning.</v>
      </c>
    </row>
    <row r="1824">
      <c r="A1824" t="str">
        <f>IFERROR(__xludf.DUMMYFUNCTION("""COMPUTED_VALUE"""),"Robustness")</f>
        <v>Robustness</v>
      </c>
      <c r="B1824" t="str">
        <f>IFERROR(__xludf.DUMMYFUNCTION("""COMPUTED_VALUE"""),"")</f>
        <v/>
      </c>
      <c r="C1824" s="3" t="str">
        <f>IFERROR(__xludf.DUMMYFUNCTION("""COMPUTED_VALUE"""),"Gradient Descent with Early Stopping is Provably Robust to Label Noise for Overparameterized Neural Networks")</f>
        <v>Gradient Descent with Early Stopping is Provably Robust to Label Noise for Overparameterized Neural Networks</v>
      </c>
      <c r="D1824" t="str">
        <f>IFERROR(__xludf.DUMMYFUNCTION("""COMPUTED_VALUE"""),"Mingchen Li, Mahdi Soltanolkotabi and 
Samet Oymak")</f>
        <v>Mingchen Li, Mahdi Soltanolkotabi and 
Samet Oymak</v>
      </c>
      <c r="E1824" t="str">
        <f>IFERROR(__xludf.DUMMYFUNCTION("""COMPUTED_VALUE"""),"arXiv")</f>
        <v>arXiv</v>
      </c>
      <c r="F1824">
        <f>IFERROR(__xludf.DUMMYFUNCTION("""COMPUTED_VALUE"""),2019.0)</f>
        <v>2019</v>
      </c>
      <c r="H1824" s="3" t="str">
        <f>IFERROR(__xludf.DUMMYFUNCTION("""COMPUTED_VALUE"""),"AN #53")</f>
        <v>AN #53</v>
      </c>
      <c r="I1824" t="str">
        <f>IFERROR(__xludf.DUMMYFUNCTION("""COMPUTED_VALUE"""),"Dan H")</f>
        <v>Dan H</v>
      </c>
      <c r="J1824" t="str">
        <f>IFERROR(__xludf.DUMMYFUNCTION("""COMPUTED_VALUE"""),"Previous [empirical](https://arxiv.org/pdf/1901.09960.pdf#page=2&amp;zoom=100,0,81) [papers](https://papers.nips.cc/paper/8094-generalized-cross-entropy-loss-for-training-deep-neural-networks-with-noisy-labels.pdf) have shown that finding ways to decrease tra"&amp;"ining time greatly improves robustness to label corruptions, but to my knowledge this is the first theoretical treatment.")</f>
        <v>Previous [empirical](https://arxiv.org/pdf/1901.09960.pdf#page=2&amp;zoom=100,0,81) [papers](https://papers.nips.cc/paper/8094-generalized-cross-entropy-loss-for-training-deep-neural-networks-with-noisy-labels.pdf) have shown that finding ways to decrease training time greatly improves robustness to label corruptions, but to my knowledge this is the first theoretical treatment.</v>
      </c>
    </row>
    <row r="1825">
      <c r="A1825" t="str">
        <f>IFERROR(__xludf.DUMMYFUNCTION("""COMPUTED_VALUE"""),"Robustness")</f>
        <v>Robustness</v>
      </c>
      <c r="B1825" t="str">
        <f>IFERROR(__xludf.DUMMYFUNCTION("""COMPUTED_VALUE"""),"")</f>
        <v/>
      </c>
      <c r="C1825" s="3" t="str">
        <f>IFERROR(__xludf.DUMMYFUNCTION("""COMPUTED_VALUE"""),"Towards Robust and Verified AI: Specification Testing, Robust Training, and Formal Verification")</f>
        <v>Towards Robust and Verified AI: Specification Testing, Robust Training, and Formal Verification</v>
      </c>
      <c r="D1825" t="str">
        <f>IFERROR(__xludf.DUMMYFUNCTION("""COMPUTED_VALUE"""),"Pushmeet Kohli, Krishnamurthy (Dj) Dvijotham, Jonathan Uesato, Sven Gowal, and the Robust &amp; Verified Deep Learning group")</f>
        <v>Pushmeet Kohli, Krishnamurthy (Dj) Dvijotham, Jonathan Uesato, Sven Gowal, and the Robust &amp; Verified Deep Learning group</v>
      </c>
      <c r="E1825" t="str">
        <f>IFERROR(__xludf.DUMMYFUNCTION("""COMPUTED_VALUE"""),"DeepMind Safety Blog")</f>
        <v>DeepMind Safety Blog</v>
      </c>
      <c r="F1825">
        <f>IFERROR(__xludf.DUMMYFUNCTION("""COMPUTED_VALUE"""),2019.0)</f>
        <v>2019</v>
      </c>
      <c r="H1825" s="3" t="str">
        <f>IFERROR(__xludf.DUMMYFUNCTION("""COMPUTED_VALUE"""),"AN #52")</f>
        <v>AN #52</v>
      </c>
      <c r="I1825" t="str">
        <f>IFERROR(__xludf.DUMMYFUNCTION("""COMPUTED_VALUE"""),"Rohin")</f>
        <v>Rohin</v>
      </c>
      <c r="J1825" t="str">
        <f>IFERROR(__xludf.DUMMYFUNCTION("""COMPUTED_VALUE"""),"This post highlights three areas of current research towards making robust AI systems. First, we need better evaluation metrics: rather than just evaluating RL systems on the environments they were trained on, we need to actively search for situations in "&amp;"which they fail. Second, given a specification or constraint that we would like to ensure, we can develop new training techniques that can ensure that the specifications hold. Finally, given a specification, we can use formal verification techniques to en"&amp;"sure that the model obeys the specification on all possible inputs. The authors also list four areas of future research that they are excited about: leveraging AI capabilities for evaluation and verification, developing publicly available tools for evalua"&amp;"tion and verification, broadening the scope of adversarial examples beyond the L-infinity norm ball, and learning specifications.")</f>
        <v>This post highlights three areas of current research towards making robust AI systems. First, we need better evaluation metrics: rather than just evaluating RL systems on the environments they were trained on, we need to actively search for situations in which they fail. Second, given a specification or constraint that we would like to ensure, we can develop new training techniques that can ensure that the specifications hold. Finally, given a specification, we can use formal verification techniques to ensure that the model obeys the specification on all possible inputs. The authors also list four areas of future research that they are excited about: leveraging AI capabilities for evaluation and verification, developing publicly available tools for evaluation and verification, broadening the scope of adversarial examples beyond the L-infinity norm ball, and learning specifications.</v>
      </c>
      <c r="K1825" t="str">
        <f>IFERROR(__xludf.DUMMYFUNCTION("""COMPUTED_VALUE"""),"The biggest challenge I see with this area of research, at least in its application to powerful and general AI systems, is how you get the specification in the first place, so I'm glad to see ""learning specifications"" as one of the areas of interest.
I"&amp;"f I take the view from this post, it seems to me that techniques like domain randomization, and more generally training on a larger distribution of data, would count as an example of the second type of research: it is a change to the training procedure th"&amp;"at allows us to meet the specification ""the agent should achieve high reward in a broad variety of environments"". Of course, this doesn't give us any provable guarantees, so I'm not sure if the authors of the post would include it in this category.")</f>
        <v>The biggest challenge I see with this area of research, at least in its application to powerful and general AI systems, is how you get the specification in the first place, so I'm glad to see "learning specifications" as one of the areas of interest.
If I take the view from this post, it seems to me that techniques like domain randomization, and more generally training on a larger distribution of data, would count as an example of the second type of research: it is a change to the training procedure that allows us to meet the specification "the agent should achieve high reward in a broad variety of environments". Of course, this doesn't give us any provable guarantees, so I'm not sure if the authors of the post would include it in this category.</v>
      </c>
    </row>
    <row r="1826">
      <c r="A1826" t="str">
        <f>IFERROR(__xludf.DUMMYFUNCTION("""COMPUTED_VALUE"""),"Robustness")</f>
        <v>Robustness</v>
      </c>
      <c r="B1826" t="str">
        <f>IFERROR(__xludf.DUMMYFUNCTION("""COMPUTED_VALUE"""),"")</f>
        <v/>
      </c>
      <c r="C1826" s="3" t="str">
        <f>IFERROR(__xludf.DUMMYFUNCTION("""COMPUTED_VALUE"""),"Adversarial Examples Are a Natural Consequence of Test Error in Noise")</f>
        <v>Adversarial Examples Are a Natural Consequence of Test Error in Noise</v>
      </c>
      <c r="D1826" t="str">
        <f>IFERROR(__xludf.DUMMYFUNCTION("""COMPUTED_VALUE"""),"Nicolas Ford, Justin Gilmer, Nicolas Carlini, Dogus Cubuk")</f>
        <v>Nicolas Ford, Justin Gilmer, Nicolas Carlini, Dogus Cubuk</v>
      </c>
      <c r="E1826" t="str">
        <f>IFERROR(__xludf.DUMMYFUNCTION("""COMPUTED_VALUE"""),"arXiv")</f>
        <v>arXiv</v>
      </c>
      <c r="F1826">
        <f>IFERROR(__xludf.DUMMYFUNCTION("""COMPUTED_VALUE"""),2019.0)</f>
        <v>2019</v>
      </c>
      <c r="H1826" s="3" t="str">
        <f>IFERROR(__xludf.DUMMYFUNCTION("""COMPUTED_VALUE"""),"AN #47")</f>
        <v>AN #47</v>
      </c>
      <c r="I1826" t="str">
        <f>IFERROR(__xludf.DUMMYFUNCTION("""COMPUTED_VALUE"""),"Dan H")</f>
        <v>Dan H</v>
      </c>
      <c r="J1826" t="str">
        <f>IFERROR(__xludf.DUMMYFUNCTION("""COMPUTED_VALUE"""),"While this was previously summarized in [AN #32](https://mailchi.mp/8f5d302499be/alignment-newsletter-32), this draft is much more readable.")</f>
        <v>While this was previously summarized in [AN #32](https://mailchi.mp/8f5d302499be/alignment-newsletter-32), this draft is much more readable.</v>
      </c>
    </row>
    <row r="1827">
      <c r="A1827" t="str">
        <f>IFERROR(__xludf.DUMMYFUNCTION("""COMPUTED_VALUE"""),"Robustness")</f>
        <v>Robustness</v>
      </c>
      <c r="B1827" t="str">
        <f>IFERROR(__xludf.DUMMYFUNCTION("""COMPUTED_VALUE"""),"")</f>
        <v/>
      </c>
      <c r="C1827" s="3" t="str">
        <f>IFERROR(__xludf.DUMMYFUNCTION("""COMPUTED_VALUE"""),"Trustworthy Deep Learning Course")</f>
        <v>Trustworthy Deep Learning Course</v>
      </c>
      <c r="D1827" t="str">
        <f>IFERROR(__xludf.DUMMYFUNCTION("""COMPUTED_VALUE"""),"Jacob Steinhardt, Dawn Song, Trevor Darrell")</f>
        <v>Jacob Steinhardt, Dawn Song, Trevor Darrell</v>
      </c>
      <c r="E1827" t="str">
        <f>IFERROR(__xludf.DUMMYFUNCTION("""COMPUTED_VALUE"""),"Berkeley")</f>
        <v>Berkeley</v>
      </c>
      <c r="F1827">
        <f>IFERROR(__xludf.DUMMYFUNCTION("""COMPUTED_VALUE"""),2019.0)</f>
        <v>2019</v>
      </c>
      <c r="H1827" s="3" t="str">
        <f>IFERROR(__xludf.DUMMYFUNCTION("""COMPUTED_VALUE"""),"AN #45")</f>
        <v>AN #45</v>
      </c>
      <c r="I1827" t="str">
        <f>IFERROR(__xludf.DUMMYFUNCTION("""COMPUTED_VALUE"""),"Dan H")</f>
        <v>Dan H</v>
      </c>
      <c r="J1827" t="str">
        <f>IFERROR(__xludf.DUMMYFUNCTION("""COMPUTED_VALUE"""),"This underway course covers topics in AI Safety topics for current deep learning systems. The course includes slides and videos.")</f>
        <v>This underway course covers topics in AI Safety topics for current deep learning systems. The course includes slides and videos.</v>
      </c>
    </row>
    <row r="1828">
      <c r="A1828" t="str">
        <f>IFERROR(__xludf.DUMMYFUNCTION("""COMPUTED_VALUE"""),"Robustness")</f>
        <v>Robustness</v>
      </c>
      <c r="B1828" t="str">
        <f>IFERROR(__xludf.DUMMYFUNCTION("""COMPUTED_VALUE"""),"")</f>
        <v/>
      </c>
      <c r="C1828" s="3" t="str">
        <f>IFERROR(__xludf.DUMMYFUNCTION("""COMPUTED_VALUE"""),"AI Alignment Podcast: The Byzantine Generals’ Problem, Poisoning, and Distributed Machine Learning")</f>
        <v>AI Alignment Podcast: The Byzantine Generals’ Problem, Poisoning, and Distributed Machine Learning</v>
      </c>
      <c r="D1828" t="str">
        <f>IFERROR(__xludf.DUMMYFUNCTION("""COMPUTED_VALUE"""),"Lucas Perry and El Mahdi El Mahmdi")</f>
        <v>Lucas Perry and El Mahdi El Mahmdi</v>
      </c>
      <c r="E1828" t="str">
        <f>IFERROR(__xludf.DUMMYFUNCTION("""COMPUTED_VALUE"""),"FLI Website")</f>
        <v>FLI Website</v>
      </c>
      <c r="F1828">
        <f>IFERROR(__xludf.DUMMYFUNCTION("""COMPUTED_VALUE"""),2019.0)</f>
        <v>2019</v>
      </c>
      <c r="H1828" s="3" t="str">
        <f>IFERROR(__xludf.DUMMYFUNCTION("""COMPUTED_VALUE"""),"AN #45")</f>
        <v>AN #45</v>
      </c>
      <c r="I1828" t="str">
        <f>IFERROR(__xludf.DUMMYFUNCTION("""COMPUTED_VALUE"""),"Richard")</f>
        <v>Richard</v>
      </c>
      <c r="J1828" t="str">
        <f>IFERROR(__xludf.DUMMYFUNCTION("""COMPUTED_VALUE"""),"Byzantine resilience is the ability of a system to operate successfully when some of its components have been corrupted, even if it's unclear which ones they are. In the context of machine learning, this is relevant to poisoning attacks in which some trai"&amp;"ning data is altered to affect the batch gradient (one example being the activity of fake accounts on social media sites). El Mahdi explains that when data is very high-dimensional, it is easy to push a neural network into a bad local minimum by altering "&amp;"only a small fraction of the data. He argues that his work on mitigating this is relevant to AI safety: even superintelligent AGI will be vulnerable to data poisoning due to time constraints on computation, and the fact that data poisoning is easier than "&amp;"resilient learning.")</f>
        <v>Byzantine resilience is the ability of a system to operate successfully when some of its components have been corrupted, even if it's unclear which ones they are. In the context of machine learning, this is relevant to poisoning attacks in which some training data is altered to affect the batch gradient (one example being the activity of fake accounts on social media sites). El Mahdi explains that when data is very high-dimensional, it is easy to push a neural network into a bad local minimum by altering only a small fraction of the data. He argues that his work on mitigating this is relevant to AI safety: even superintelligent AGI will be vulnerable to data poisoning due to time constraints on computation, and the fact that data poisoning is easier than resilient learning.</v>
      </c>
    </row>
    <row r="1829">
      <c r="A1829" t="str">
        <f>IFERROR(__xludf.DUMMYFUNCTION("""COMPUTED_VALUE"""),"Robustness")</f>
        <v>Robustness</v>
      </c>
      <c r="B1829" t="str">
        <f>IFERROR(__xludf.DUMMYFUNCTION("""COMPUTED_VALUE"""),"")</f>
        <v/>
      </c>
      <c r="C1829" s="3" t="str">
        <f>IFERROR(__xludf.DUMMYFUNCTION("""COMPUTED_VALUE"""),"ImageNet-trained CNNs are biased towards texture; increasing shape bias improves accuracy and robustness")</f>
        <v>ImageNet-trained CNNs are biased towards texture; increasing shape bias improves accuracy and robustness</v>
      </c>
      <c r="D1829" t="str">
        <f>IFERROR(__xludf.DUMMYFUNCTION("""COMPUTED_VALUE"""),"Robert Geirhos, Patricia Rubisch, Claudio Michaelis, Matthias Bethge, Felix A. Wichmann, Wieland Brendel")</f>
        <v>Robert Geirhos, Patricia Rubisch, Claudio Michaelis, Matthias Bethge, Felix A. Wichmann, Wieland Brendel</v>
      </c>
      <c r="E1829" t="str">
        <f>IFERROR(__xludf.DUMMYFUNCTION("""COMPUTED_VALUE"""),"arXiv")</f>
        <v>arXiv</v>
      </c>
      <c r="F1829">
        <f>IFERROR(__xludf.DUMMYFUNCTION("""COMPUTED_VALUE"""),2018.0)</f>
        <v>2018</v>
      </c>
      <c r="H1829" s="3" t="str">
        <f>IFERROR(__xludf.DUMMYFUNCTION("""COMPUTED_VALUE"""),"AN #33")</f>
        <v>AN #33</v>
      </c>
      <c r="I1829" t="str">
        <f>IFERROR(__xludf.DUMMYFUNCTION("""COMPUTED_VALUE"""),"Dan H")</f>
        <v>Dan H</v>
      </c>
      <c r="J1829" t="str">
        <f>IFERROR(__xludf.DUMMYFUNCTION("""COMPUTED_VALUE"""),"This paper empirically demonstrates the outsized influence of textures in classification. To address this, they apply style transfer to ImageNet images and train with this dataset. Although training networks on a specific corruption tends to provide robus"&amp;"tness only to that specific corruption, stylized ImageNet images supposedly lead to generalization to new corruption types such as uniform noise and high-pass filters (but not blurs).")</f>
        <v>This paper empirically demonstrates the outsized influence of textures in classification. To address this, they apply style transfer to ImageNet images and train with this dataset. Although training networks on a specific corruption tends to provide robustness only to that specific corruption, stylized ImageNet images supposedly lead to generalization to new corruption types such as uniform noise and high-pass filters (but not blurs).</v>
      </c>
    </row>
    <row r="1830">
      <c r="A1830" t="str">
        <f>IFERROR(__xludf.DUMMYFUNCTION("""COMPUTED_VALUE"""),"Robustness")</f>
        <v>Robustness</v>
      </c>
      <c r="B1830" t="str">
        <f>IFERROR(__xludf.DUMMYFUNCTION("""COMPUTED_VALUE"""),"")</f>
        <v/>
      </c>
      <c r="C1830" s="3" t="str">
        <f>IFERROR(__xludf.DUMMYFUNCTION("""COMPUTED_VALUE"""),"Iterative Learning with Open-set Noisy Labels")</f>
        <v>Iterative Learning with Open-set Noisy Labels</v>
      </c>
      <c r="D1830" t="str">
        <f>IFERROR(__xludf.DUMMYFUNCTION("""COMPUTED_VALUE"""),"Yisen Wang, Weiyang Liu, Xingjun Ma, James Bailey, Hongyuan Zha, Le Song, Shu-Tao Xia")</f>
        <v>Yisen Wang, Weiyang Liu, Xingjun Ma, James Bailey, Hongyuan Zha, Le Song, Shu-Tao Xia</v>
      </c>
      <c r="E1830" t="str">
        <f>IFERROR(__xludf.DUMMYFUNCTION("""COMPUTED_VALUE"""),"CVPR")</f>
        <v>CVPR</v>
      </c>
      <c r="F1830">
        <f>IFERROR(__xludf.DUMMYFUNCTION("""COMPUTED_VALUE"""),2018.0)</f>
        <v>2018</v>
      </c>
      <c r="H1830" s="3" t="str">
        <f>IFERROR(__xludf.DUMMYFUNCTION("""COMPUTED_VALUE"""),"AN #28")</f>
        <v>AN #28</v>
      </c>
      <c r="I1830" t="str">
        <f>IFERROR(__xludf.DUMMYFUNCTION("""COMPUTED_VALUE"""),"Dan H")</f>
        <v>Dan H</v>
      </c>
      <c r="J1830" t="str">
        <f>IFERROR(__xludf.DUMMYFUNCTION("""COMPUTED_VALUE"""),"Much previous research on corrupted learning signals deals with label corruption, but this CVPR 2018 paper considers learning with corrupted or irrelevant inputs. For example, they train a CIFAR-10 classifier on CIFAR-10 data mixed with out-of-class CIFAR"&amp;"-100 data; such a scenario can occur with flawed data curation or data scraping. They use a traditional anomaly detection technique based on the local outlier factor to weight training examples; the more out-of-distribution an example is, the less weight "&amp;"the example has in the training loss. This approach apparently helps the classifier cope with irrelevant inputs and recover accuracy.")</f>
        <v>Much previous research on corrupted learning signals deals with label corruption, but this CVPR 2018 paper considers learning with corrupted or irrelevant inputs. For example, they train a CIFAR-10 classifier on CIFAR-10 data mixed with out-of-class CIFAR-100 data; such a scenario can occur with flawed data curation or data scraping. They use a traditional anomaly detection technique based on the local outlier factor to weight training examples; the more out-of-distribution an example is, the less weight the example has in the training loss. This approach apparently helps the classifier cope with irrelevant inputs and recover accuracy.</v>
      </c>
    </row>
    <row r="1831">
      <c r="A1831" t="str">
        <f>IFERROR(__xludf.DUMMYFUNCTION("""COMPUTED_VALUE"""),"Robustness")</f>
        <v>Robustness</v>
      </c>
      <c r="B1831" t="str">
        <f>IFERROR(__xludf.DUMMYFUNCTION("""COMPUTED_VALUE"""),"")</f>
        <v/>
      </c>
      <c r="C1831" s="3" t="str">
        <f>IFERROR(__xludf.DUMMYFUNCTION("""COMPUTED_VALUE"""),"Bayesian Policy Optimization for Model Uncertainty")</f>
        <v>Bayesian Policy Optimization for Model Uncertainty</v>
      </c>
      <c r="D1831" t="str">
        <f>IFERROR(__xludf.DUMMYFUNCTION("""COMPUTED_VALUE"""),"Gilwoo Lee, Brian Hou, Aditya Mandalika, Jeongseok Lee, Sanjiban Choudhury, Siddhartha S. Srinivasa")</f>
        <v>Gilwoo Lee, Brian Hou, Aditya Mandalika, Jeongseok Lee, Sanjiban Choudhury, Siddhartha S. Srinivasa</v>
      </c>
      <c r="E1831" t="str">
        <f>IFERROR(__xludf.DUMMYFUNCTION("""COMPUTED_VALUE"""),"arXiv")</f>
        <v>arXiv</v>
      </c>
      <c r="F1831">
        <f>IFERROR(__xludf.DUMMYFUNCTION("""COMPUTED_VALUE"""),2018.0)</f>
        <v>2018</v>
      </c>
      <c r="H1831" s="3" t="str">
        <f>IFERROR(__xludf.DUMMYFUNCTION("""COMPUTED_VALUE"""),"AN #27")</f>
        <v>AN #27</v>
      </c>
      <c r="J1831" t="str">
        <f>IFERROR(__xludf.DUMMYFUNCTION("""COMPUTED_VALUE"""),"")</f>
        <v/>
      </c>
    </row>
    <row r="1832">
      <c r="A1832" t="str">
        <f>IFERROR(__xludf.DUMMYFUNCTION("""COMPUTED_VALUE"""),"Robustness")</f>
        <v>Robustness</v>
      </c>
      <c r="B1832" t="str">
        <f>IFERROR(__xludf.DUMMYFUNCTION("""COMPUTED_VALUE"""),"")</f>
        <v/>
      </c>
      <c r="C1832" s="3" t="str">
        <f>IFERROR(__xludf.DUMMYFUNCTION("""COMPUTED_VALUE"""),"Reinforcement Learning with Perturbed Rewards")</f>
        <v>Reinforcement Learning with Perturbed Rewards</v>
      </c>
      <c r="D1832" t="str">
        <f>IFERROR(__xludf.DUMMYFUNCTION("""COMPUTED_VALUE"""),"Jingkang Wang, Yang Liu, Bo Li")</f>
        <v>Jingkang Wang, Yang Liu, Bo Li</v>
      </c>
      <c r="E1832" t="str">
        <f>IFERROR(__xludf.DUMMYFUNCTION("""COMPUTED_VALUE"""),"arXiv")</f>
        <v>arXiv</v>
      </c>
      <c r="F1832">
        <f>IFERROR(__xludf.DUMMYFUNCTION("""COMPUTED_VALUE"""),2018.0)</f>
        <v>2018</v>
      </c>
      <c r="H1832" s="3" t="str">
        <f>IFERROR(__xludf.DUMMYFUNCTION("""COMPUTED_VALUE"""),"AN #27")</f>
        <v>AN #27</v>
      </c>
    </row>
    <row r="1833">
      <c r="A1833" t="str">
        <f>IFERROR(__xludf.DUMMYFUNCTION("""COMPUTED_VALUE"""),"Robustness")</f>
        <v>Robustness</v>
      </c>
      <c r="B1833" t="str">
        <f>IFERROR(__xludf.DUMMYFUNCTION("""COMPUTED_VALUE"""),"")</f>
        <v/>
      </c>
      <c r="C1833" s="3" t="str">
        <f>IFERROR(__xludf.DUMMYFUNCTION("""COMPUTED_VALUE"""),"Teaching ML to answer questions honestly instead of predicting human answers")</f>
        <v>Teaching ML to answer questions honestly instead of predicting human answers</v>
      </c>
      <c r="D1833" t="str">
        <f>IFERROR(__xludf.DUMMYFUNCTION("""COMPUTED_VALUE"""),"Paul Christiano")</f>
        <v>Paul Christiano</v>
      </c>
      <c r="E1833" t="str">
        <f>IFERROR(__xludf.DUMMYFUNCTION("""COMPUTED_VALUE"""),"Alignment Forum")</f>
        <v>Alignment Forum</v>
      </c>
      <c r="F1833">
        <f>IFERROR(__xludf.DUMMYFUNCTION("""COMPUTED_VALUE"""),2021.0)</f>
        <v>2021</v>
      </c>
      <c r="H1833" s="3" t="str">
        <f>IFERROR(__xludf.DUMMYFUNCTION("""COMPUTED_VALUE"""),"AN #158")</f>
        <v>AN #158</v>
      </c>
      <c r="I1833" t="str">
        <f>IFERROR(__xludf.DUMMYFUNCTION("""COMPUTED_VALUE"""),"Rohin")</f>
        <v>Rohin</v>
      </c>
      <c r="J1833" t="str">
        <f>IFERROR(__xludf.DUMMYFUNCTION("""COMPUTED_VALUE"""),"This post presents an algorithm that aims to solve the second problem from the highlighted post. As a reminder, the second problem is that an AI system that already has to make predictions about humans might learn a policy that is just “say what humans wo"&amp;"uld say”, since that is simpler than learning another translation that maps its knowledge to human language (so that it can answer honestly to the best of its knowledge).
The core idea is to have a “simple” labeling process and a “complex” labeling proce"&amp;"ss, where the complex process can catch errors from the simple process. We’ll also assume we have a simple / complex dataset (labeled by the simple / complex processes respectively), where we are confident that all of the answers in the dataset are correc"&amp;"t. This means that the complex dataset has more challenging questions than the simple one. The _simple / complex instrumental policy_ is the policy that predicts what the simple / complex labeling process would do.
As an inefficient first algorithm, we c"&amp;"an train our model on answers from the simple process where we are confident in their correctness, and then simply check whether the model performs well on new, harder questions where the complex and simple processes disagree. If the model fails this chec"&amp;"k, we restart from scratch. Intuitively, when the model eventually passes the check, it has probably learned the intended policy, as that’s the one which would generalize zero-shot to complex questions as well (and in particular, the simple instrumental p"&amp;"olicy would _not_ generalize in this way).
Of course, we need a more efficient algorithm than that. Instead of creating an algorithm where the intended policy would work but the instrumental policy wouldn’t, could we instead change the inductive biases s"&amp;"o that the intended policy is _likely_ while the instrumental policy is not? Our original worry was that the intended policy has to bake in two implementations of language -- one in its world model, and one when translating answers into human-understandab"&amp;"le concepts. So we could instead try to train a model that learns language from the simple instrumental policy, but is also trained on the complex dataset. The hope would be that the intended policy can learn the second implementation of language “for fre"&amp;"e” from the simple instrumental policy, while still working on the complex dataset. The actual details are quite complex and I’m not going to go into them here.
[This post](https://www.alignmentforum.org/posts/gEw8ig38mCGjia7dj/answering-questions-honest"&amp;"ly-instead-of-predicting-human) by Evan Hubinger points out some problems and potential solutions with the approach.")</f>
        <v>This post presents an algorithm that aims to solve the second problem from the highlighted post. As a reminder, the second problem is that an AI system that already has to make predictions about humans might learn a policy that is just “say what humans would say”, since that is simpler than learning another translation that maps its knowledge to human language (so that it can answer honestly to the best of its knowledge).
The core idea is to have a “simple” labeling process and a “complex” labeling process, where the complex process can catch errors from the simple process. We’ll also assume we have a simple / complex dataset (labeled by the simple / complex processes respectively), where we are confident that all of the answers in the dataset are correct. This means that the complex dataset has more challenging questions than the simple one. The _simple / complex instrumental policy_ is the policy that predicts what the simple / complex labeling process would do.
As an inefficient first algorithm, we can train our model on answers from the simple process where we are confident in their correctness, and then simply check whether the model performs well on new, harder questions where the complex and simple processes disagree. If the model fails this check, we restart from scratch. Intuitively, when the model eventually passes the check, it has probably learned the intended policy, as that’s the one which would generalize zero-shot to complex questions as well (and in particular, the simple instrumental policy would _not_ generalize in this way).
Of course, we need a more efficient algorithm than that. Instead of creating an algorithm where the intended policy would work but the instrumental policy wouldn’t, could we instead change the inductive biases so that the intended policy is _likely_ while the instrumental policy is not? Our original worry was that the intended policy has to bake in two implementations of language -- one in its world model, and one when translating answers into human-understandable concepts. So we could instead try to train a model that learns language from the simple instrumental policy, but is also trained on the complex dataset. The hope would be that the intended policy can learn the second implementation of language “for free” from the simple instrumental policy, while still working on the complex dataset. The actual details are quite complex and I’m not going to go into them here.
[This post](https://www.alignmentforum.org/posts/gEw8ig38mCGjia7dj/answering-questions-honestly-instead-of-predicting-human) by Evan Hubinger points out some problems and potential solutions with the approach.</v>
      </c>
    </row>
    <row r="1834">
      <c r="A1834" t="str">
        <f>IFERROR(__xludf.DUMMYFUNCTION("""COMPUTED_VALUE"""),"Robustness")</f>
        <v>Robustness</v>
      </c>
      <c r="B1834" t="str">
        <f>IFERROR(__xludf.DUMMYFUNCTION("""COMPUTED_VALUE"""),"")</f>
        <v/>
      </c>
      <c r="C1834" s="3" t="str">
        <f>IFERROR(__xludf.DUMMYFUNCTION("""COMPUTED_VALUE"""),"AugMix: A Simple Data Processing Method to Improve Robustness and Uncertainty")</f>
        <v>AugMix: A Simple Data Processing Method to Improve Robustness and Uncertainty</v>
      </c>
      <c r="D1834" t="str">
        <f>IFERROR(__xludf.DUMMYFUNCTION("""COMPUTED_VALUE"""),"Dan Hendrycks*, Norman Mu*, Ekin D. Cubuk, Barret Zoph, Justin Gilmer, Balaji Lakshminarayanan")</f>
        <v>Dan Hendrycks*, Norman Mu*, Ekin D. Cubuk, Barret Zoph, Justin Gilmer, Balaji Lakshminarayanan</v>
      </c>
      <c r="E1834" t="str">
        <f>IFERROR(__xludf.DUMMYFUNCTION("""COMPUTED_VALUE"""),"ICLR 2020")</f>
        <v>ICLR 2020</v>
      </c>
      <c r="F1834">
        <f>IFERROR(__xludf.DUMMYFUNCTION("""COMPUTED_VALUE"""),2020.0)</f>
        <v>2020</v>
      </c>
      <c r="H1834" s="3" t="str">
        <f>IFERROR(__xludf.DUMMYFUNCTION("""COMPUTED_VALUE"""),"AN #82")</f>
        <v>AN #82</v>
      </c>
      <c r="I1834" t="str">
        <f>IFERROR(__xludf.DUMMYFUNCTION("""COMPUTED_VALUE"""),"Dan H")</f>
        <v>Dan H</v>
      </c>
      <c r="J1834" t="str">
        <f>IFERROR(__xludf.DUMMYFUNCTION("""COMPUTED_VALUE"""),"This paper introduces a data augmentation technique to improve robustness and uncertainty estimates. The idea is to take various random augmentations such as random rotations, produce several augmented versions of an image with compositions of random augm"&amp;"entations, and then pool the augmented images into a single image by way of an elementwise convex combination. Said another way, the image is augmented with various traditional augmentations, and these augmented images are “averaged” together. This produc"&amp;"es highly diverse augmentations that have similarity to the original image. Unlike techniques such as AutoAugment, this augmentation technique uses typical resources, not 15,000 GPU hours. It also greatly improves generalization to unforeseen corruptions,"&amp;" and it makes models more stable under small perturbations. Most importantly, even as the distribution shifts and accuracy decreases, this technique produces models that can [remain calibrated under distributional shift](https://openreview.net/pdf?id=S1gm"&amp;"rxHFvB#page=8&amp;zoom=100,144,298).")</f>
        <v>This paper introduces a data augmentation technique to improve robustness and uncertainty estimates. The idea is to take various random augmentations such as random rotations, produce several augmented versions of an image with compositions of random augmentations, and then pool the augmented images into a single image by way of an elementwise convex combination. Said another way, the image is augmented with various traditional augmentations, and these augmented images are “averaged” together. This produces highly diverse augmentations that have similarity to the original image. Unlike techniques such as AutoAugment, this augmentation technique uses typical resources, not 15,000 GPU hours. It also greatly improves generalization to unforeseen corruptions, and it makes models more stable under small perturbations. Most importantly, even as the distribution shifts and accuracy decreases, this technique produces models that can [remain calibrated under distributional shift](https://openreview.net/pdf?id=S1gmrxHFvB#page=8&amp;zoom=100,144,298).</v>
      </c>
    </row>
    <row r="1835">
      <c r="A1835" t="str">
        <f>IFERROR(__xludf.DUMMYFUNCTION("""COMPUTED_VALUE"""),"Robustness")</f>
        <v>Robustness</v>
      </c>
      <c r="B1835" t="str">
        <f>IFERROR(__xludf.DUMMYFUNCTION("""COMPUTED_VALUE"""),"")</f>
        <v/>
      </c>
      <c r="C1835" s="3" t="str">
        <f>IFERROR(__xludf.DUMMYFUNCTION("""COMPUTED_VALUE"""),"An Empirical Evaluation on Robustness and Uncertainty of Regularization Methods")</f>
        <v>An Empirical Evaluation on Robustness and Uncertainty of Regularization Methods</v>
      </c>
      <c r="D1835" t="str">
        <f>IFERROR(__xludf.DUMMYFUNCTION("""COMPUTED_VALUE"""),"Sanghyuk Chun, Seong Joon Oh, Sangdoo Yun, Dongyoon Han, Junsuk Choe, Youngjoon Yoo")</f>
        <v>Sanghyuk Chun, Seong Joon Oh, Sangdoo Yun, Dongyoon Han, Junsuk Choe, Youngjoon Yoo</v>
      </c>
      <c r="F1835">
        <f>IFERROR(__xludf.DUMMYFUNCTION("""COMPUTED_VALUE"""),2019.0)</f>
        <v>2019</v>
      </c>
      <c r="H1835" s="3" t="str">
        <f>IFERROR(__xludf.DUMMYFUNCTION("""COMPUTED_VALUE"""),"AN #63")</f>
        <v>AN #63</v>
      </c>
      <c r="I1835" t="str">
        <f>IFERROR(__xludf.DUMMYFUNCTION("""COMPUTED_VALUE"""),"Dan H")</f>
        <v>Dan H</v>
      </c>
      <c r="J1835" t="str">
        <f>IFERROR(__xludf.DUMMYFUNCTION("""COMPUTED_VALUE"""),"There are several small tricks to improve classification performance such as label smoothing, dropout-like regularization, mixup, and so on. However, this paper shows that many of these techniques have mixed and often negative effects on various notions o"&amp;"f robustness and uncertainty estimates.")</f>
        <v>There are several small tricks to improve classification performance such as label smoothing, dropout-like regularization, mixup, and so on. However, this paper shows that many of these techniques have mixed and often negative effects on various notions of robustness and uncertainty estimates.</v>
      </c>
    </row>
    <row r="1836">
      <c r="A1836" t="str">
        <f>IFERROR(__xludf.DUMMYFUNCTION("""COMPUTED_VALUE"""),"Robustness")</f>
        <v>Robustness</v>
      </c>
      <c r="B1836" t="str">
        <f>IFERROR(__xludf.DUMMYFUNCTION("""COMPUTED_VALUE"""),"")</f>
        <v/>
      </c>
      <c r="C1836" s="3" t="str">
        <f>IFERROR(__xludf.DUMMYFUNCTION("""COMPUTED_VALUE"""),"Improving Robustness of Machine Translation with Synthetic Noise")</f>
        <v>Improving Robustness of Machine Translation with Synthetic Noise</v>
      </c>
      <c r="D1836" t="str">
        <f>IFERROR(__xludf.DUMMYFUNCTION("""COMPUTED_VALUE"""),"Vaibhav Vaibhav, Sumeet Singh, Craig Stewart, Graham Neubig")</f>
        <v>Vaibhav Vaibhav, Sumeet Singh, Craig Stewart, Graham Neubig</v>
      </c>
      <c r="E1836" t="str">
        <f>IFERROR(__xludf.DUMMYFUNCTION("""COMPUTED_VALUE"""),"NAACL 2019")</f>
        <v>NAACL 2019</v>
      </c>
      <c r="F1836">
        <f>IFERROR(__xludf.DUMMYFUNCTION("""COMPUTED_VALUE"""),2019.0)</f>
        <v>2019</v>
      </c>
      <c r="H1836" s="3" t="str">
        <f>IFERROR(__xludf.DUMMYFUNCTION("""COMPUTED_VALUE"""),"AN #47")</f>
        <v>AN #47</v>
      </c>
      <c r="I1836" t="str">
        <f>IFERROR(__xludf.DUMMYFUNCTION("""COMPUTED_VALUE"""),"Dan H")</f>
        <v>Dan H</v>
      </c>
      <c r="J1836" t="str">
        <f>IFERROR(__xludf.DUMMYFUNCTION("""COMPUTED_VALUE"""),"By injecting noise (such as typos, word omission, slang) into the training set of a machine translation model, the authors are able to improve performance on naturally occurring data. While this trick usually does not work for computer vision models, it c"&amp;"an work for NLP models.")</f>
        <v>By injecting noise (such as typos, word omission, slang) into the training set of a machine translation model, the authors are able to improve performance on naturally occurring data. While this trick usually does not work for computer vision models, it can work for NLP models.</v>
      </c>
    </row>
    <row r="1837">
      <c r="A1837" t="str">
        <f>IFERROR(__xludf.DUMMYFUNCTION("""COMPUTED_VALUE"""),"Robustness")</f>
        <v>Robustness</v>
      </c>
      <c r="B1837" t="str">
        <f>IFERROR(__xludf.DUMMYFUNCTION("""COMPUTED_VALUE"""),"")</f>
        <v/>
      </c>
      <c r="C1837" s="3" t="str">
        <f>IFERROR(__xludf.DUMMYFUNCTION("""COMPUTED_VALUE"""),"Push the Student to Learn Right: Progressive Gradient Correcting by Meta-learner on Corrupted Labels")</f>
        <v>Push the Student to Learn Right: Progressive Gradient Correcting by Meta-learner on Corrupted Labels</v>
      </c>
      <c r="D1837" t="str">
        <f>IFERROR(__xludf.DUMMYFUNCTION("""COMPUTED_VALUE"""),"Jun Shu, Qi Xie, Lixuan Yi, Qian Zhao, Sanping Zhou, Zongben Xu, Deyu Meng")</f>
        <v>Jun Shu, Qi Xie, Lixuan Yi, Qian Zhao, Sanping Zhou, Zongben Xu, Deyu Meng</v>
      </c>
      <c r="E1837" t="str">
        <f>IFERROR(__xludf.DUMMYFUNCTION("""COMPUTED_VALUE"""),"arXiv")</f>
        <v>arXiv</v>
      </c>
      <c r="F1837">
        <f>IFERROR(__xludf.DUMMYFUNCTION("""COMPUTED_VALUE"""),2019.0)</f>
        <v>2019</v>
      </c>
      <c r="H1837" s="3" t="str">
        <f>IFERROR(__xludf.DUMMYFUNCTION("""COMPUTED_VALUE"""),"AN #47")</f>
        <v>AN #47</v>
      </c>
    </row>
    <row r="1838">
      <c r="A1838" t="str">
        <f>IFERROR(__xludf.DUMMYFUNCTION("""COMPUTED_VALUE"""),"Robustness")</f>
        <v>Robustness</v>
      </c>
      <c r="B1838" t="str">
        <f>IFERROR(__xludf.DUMMYFUNCTION("""COMPUTED_VALUE"""),"")</f>
        <v/>
      </c>
      <c r="C1838" s="3" t="str">
        <f>IFERROR(__xludf.DUMMYFUNCTION("""COMPUTED_VALUE"""),"Learning Robust Representations by Projecting Superficial Statistics Out")</f>
        <v>Learning Robust Representations by Projecting Superficial Statistics Out</v>
      </c>
      <c r="D1838" t="str">
        <f>IFERROR(__xludf.DUMMYFUNCTION("""COMPUTED_VALUE"""),"Haohan Wang, Zexue He, Zachary C. Lipton, Eric P. Xing")</f>
        <v>Haohan Wang, Zexue He, Zachary C. Lipton, Eric P. Xing</v>
      </c>
      <c r="E1838" t="str">
        <f>IFERROR(__xludf.DUMMYFUNCTION("""COMPUTED_VALUE"""),"arXiv")</f>
        <v>arXiv</v>
      </c>
      <c r="F1838">
        <f>IFERROR(__xludf.DUMMYFUNCTION("""COMPUTED_VALUE"""),2018.0)</f>
        <v>2018</v>
      </c>
      <c r="H1838" s="3" t="str">
        <f>IFERROR(__xludf.DUMMYFUNCTION("""COMPUTED_VALUE"""),"AN #33")</f>
        <v>AN #33</v>
      </c>
    </row>
    <row r="1839">
      <c r="A1839" t="str">
        <f>IFERROR(__xludf.DUMMYFUNCTION("""COMPUTED_VALUE"""),"Robustness")</f>
        <v>Robustness</v>
      </c>
      <c r="B1839" t="str">
        <f>IFERROR(__xludf.DUMMYFUNCTION("""COMPUTED_VALUE"""),"")</f>
        <v/>
      </c>
      <c r="C1839" s="3" t="str">
        <f>IFERROR(__xludf.DUMMYFUNCTION("""COMPUTED_VALUE"""),"Making AI Safe in an Unpredictable World: An Interview with Thomas G. Dietterich")</f>
        <v>Making AI Safe in an Unpredictable World: An Interview with Thomas G. Dietterich</v>
      </c>
      <c r="D1839" t="str">
        <f>IFERROR(__xludf.DUMMYFUNCTION("""COMPUTED_VALUE"""),"Thomas G. Dietterich and Jolene Creighton")</f>
        <v>Thomas G. Dietterich and Jolene Creighton</v>
      </c>
      <c r="E1839" t="str">
        <f>IFERROR(__xludf.DUMMYFUNCTION("""COMPUTED_VALUE"""),"FLI Website")</f>
        <v>FLI Website</v>
      </c>
      <c r="F1839">
        <f>IFERROR(__xludf.DUMMYFUNCTION("""COMPUTED_VALUE"""),2018.0)</f>
        <v>2018</v>
      </c>
      <c r="H1839" s="3" t="str">
        <f>IFERROR(__xludf.DUMMYFUNCTION("""COMPUTED_VALUE"""),"AN #28")</f>
        <v>AN #28</v>
      </c>
      <c r="M1839" t="str">
        <f>IFERROR(__xludf.DUMMYFUNCTION("""COMPUTED_VALUE"""),"[Open Category Detection with PAC Guarantees](http://proceedings.mlr.press/v80/liu18e/liu18e.pdf) is the corresponding paper.")</f>
        <v>[Open Category Detection with PAC Guarantees](http://proceedings.mlr.press/v80/liu18e/liu18e.pdf) is the corresponding paper.</v>
      </c>
    </row>
    <row r="1840">
      <c r="A1840" t="str">
        <f>IFERROR(__xludf.DUMMYFUNCTION("""COMPUTED_VALUE"""),"Robustness")</f>
        <v>Robustness</v>
      </c>
      <c r="B1840" t="str">
        <f>IFERROR(__xludf.DUMMYFUNCTION("""COMPUTED_VALUE"""),"")</f>
        <v/>
      </c>
      <c r="C1840" s="3" t="str">
        <f>IFERROR(__xludf.DUMMYFUNCTION("""COMPUTED_VALUE"""),"Redwood Research’s current project")</f>
        <v>Redwood Research’s current project</v>
      </c>
      <c r="D1840" t="str">
        <f>IFERROR(__xludf.DUMMYFUNCTION("""COMPUTED_VALUE"""),"Buck Shlegeris")</f>
        <v>Buck Shlegeris</v>
      </c>
      <c r="E1840" t="str">
        <f>IFERROR(__xludf.DUMMYFUNCTION("""COMPUTED_VALUE"""),"Alignment Forum")</f>
        <v>Alignment Forum</v>
      </c>
      <c r="F1840">
        <f>IFERROR(__xludf.DUMMYFUNCTION("""COMPUTED_VALUE"""),2021.0)</f>
        <v>2021</v>
      </c>
      <c r="H1840" s="3" t="str">
        <f>IFERROR(__xludf.DUMMYFUNCTION("""COMPUTED_VALUE"""),"AN #166")</f>
        <v>AN #166</v>
      </c>
      <c r="I1840" t="str">
        <f>IFERROR(__xludf.DUMMYFUNCTION("""COMPUTED_VALUE"""),"Rohin")</f>
        <v>Rohin</v>
      </c>
      <c r="J1840" t="str">
        <f>IFERROR(__xludf.DUMMYFUNCTION("""COMPUTED_VALUE"""),"This post introduces Redwood Research’s current alignment project: to ensure that a language model finetuned on fanfiction never describes someone getting injured, while maintaining the quality of the generations of that model. Their approach is to train "&amp;"a classifier that determines whether a given generation has a description of someone getting injured, and then to use that classifier as a reward function to train the policy to generate non-injurious completions. Their hope is to learn a general method f"&amp;"or enforcing such constraints on models, such that they could then quickly train the model to, say, never mention anything about food.")</f>
        <v>This post introduces Redwood Research’s current alignment project: to ensure that a language model finetuned on fanfiction never describes someone getting injured, while maintaining the quality of the generations of that model. Their approach is to train a classifier that determines whether a given generation has a description of someone getting injured, and then to use that classifier as a reward function to train the policy to generate non-injurious completions. Their hope is to learn a general method for enforcing such constraints on models, such that they could then quickly train the model to, say, never mention anything about food.</v>
      </c>
    </row>
    <row r="1841">
      <c r="A1841" t="str">
        <f>IFERROR(__xludf.DUMMYFUNCTION("""COMPUTED_VALUE"""),"Security")</f>
        <v>Security</v>
      </c>
      <c r="B1841" t="str">
        <f>IFERROR(__xludf.DUMMYFUNCTION("""COMPUTED_VALUE"""),"")</f>
        <v/>
      </c>
      <c r="C1841" s="3" t="str">
        <f>IFERROR(__xludf.DUMMYFUNCTION("""COMPUTED_VALUE"""),"Poison Frogs! Targeted Clean-Label Poisoning Attacks on Neural Networks")</f>
        <v>Poison Frogs! Targeted Clean-Label Poisoning Attacks on Neural Networks</v>
      </c>
      <c r="D1841" t="str">
        <f>IFERROR(__xludf.DUMMYFUNCTION("""COMPUTED_VALUE"""),"Ali Shafahi, W. Ronny Huang, Mahyar Najibi, Octavian Suciu, Christoph Studer, Tudor Dumitras, Tom Goldstein")</f>
        <v>Ali Shafahi, W. Ronny Huang, Mahyar Najibi, Octavian Suciu, Christoph Studer, Tudor Dumitras, Tom Goldstein</v>
      </c>
      <c r="E1841" t="str">
        <f>IFERROR(__xludf.DUMMYFUNCTION("""COMPUTED_VALUE"""),"ICML 2018")</f>
        <v>ICML 2018</v>
      </c>
      <c r="F1841">
        <f>IFERROR(__xludf.DUMMYFUNCTION("""COMPUTED_VALUE"""),2018.0)</f>
        <v>2018</v>
      </c>
      <c r="H1841" s="3" t="str">
        <f>IFERROR(__xludf.DUMMYFUNCTION("""COMPUTED_VALUE"""),"AN #1")</f>
        <v>AN #1</v>
      </c>
      <c r="I1841" t="str">
        <f>IFERROR(__xludf.DUMMYFUNCTION("""COMPUTED_VALUE"""),"Rohin")</f>
        <v>Rohin</v>
      </c>
      <c r="J1841" t="str">
        <f>IFERROR(__xludf.DUMMYFUNCTION("""COMPUTED_VALUE"""),"Demonstrates a data poisoning attack in which the adversary gets to choose a poison input to add to the training set, but does _not_ get to choose its label. The goal is to misclassify a single test instance as a specific base class. They achieve this by "&amp;"creating a poison input that looks like the base class in pixel space but looks like the test instance in feature space (i.e. the activations in the penultimate layer). The poison input will be labeled by humans as the base class, and then when the networ"&amp;"k is retrained with the original dataset and the new poisoned input(s), it will classify the poison input as the base class, and with it the test instance as well (since they have very similar features).")</f>
        <v>Demonstrates a data poisoning attack in which the adversary gets to choose a poison input to add to the training set, but does _not_ get to choose its label. The goal is to misclassify a single test instance as a specific base class. They achieve this by creating a poison input that looks like the base class in pixel space but looks like the test instance in feature space (i.e. the activations in the penultimate layer). The poison input will be labeled by humans as the base class, and then when the network is retrained with the original dataset and the new poisoned input(s), it will classify the poison input as the base class, and with it the test instance as well (since they have very similar features).</v>
      </c>
      <c r="K1841" t="str">
        <f>IFERROR(__xludf.DUMMYFUNCTION("""COMPUTED_VALUE"""),"I was pleasantly surprised at how understandable the paper was, and they do a good job of looking at exactly what their method is doing and how it accomplishes the attack in different ways under different settings.")</f>
        <v>I was pleasantly surprised at how understandable the paper was, and they do a good job of looking at exactly what their method is doing and how it accomplishes the attack in different ways under different settings.</v>
      </c>
    </row>
    <row r="1842">
      <c r="A1842" t="str">
        <f>IFERROR(__xludf.DUMMYFUNCTION("""COMPUTED_VALUE"""),"Security")</f>
        <v>Security</v>
      </c>
      <c r="B1842" t="str">
        <f>IFERROR(__xludf.DUMMYFUNCTION("""COMPUTED_VALUE"""),"")</f>
        <v/>
      </c>
      <c r="C1842" s="3" t="str">
        <f>IFERROR(__xludf.DUMMYFUNCTION("""COMPUTED_VALUE"""),"When Does Machine Learning FAIL? Generalized Transferability for Evasion and Poisoning Attacks")</f>
        <v>When Does Machine Learning FAIL? Generalized Transferability for Evasion and Poisoning Attacks</v>
      </c>
      <c r="E1842" t="str">
        <f>IFERROR(__xludf.DUMMYFUNCTION("""COMPUTED_VALUE"""),"CVPR 2018")</f>
        <v>CVPR 2018</v>
      </c>
      <c r="H1842" s="3" t="str">
        <f>IFERROR(__xludf.DUMMYFUNCTION("""COMPUTED_VALUE"""),"Recon #5")</f>
        <v>Recon #5</v>
      </c>
    </row>
    <row r="1843">
      <c r="A1843" t="str">
        <f>IFERROR(__xludf.DUMMYFUNCTION("""COMPUTED_VALUE"""),"Security")</f>
        <v>Security</v>
      </c>
      <c r="B1843" t="str">
        <f>IFERROR(__xludf.DUMMYFUNCTION("""COMPUTED_VALUE"""),"")</f>
        <v/>
      </c>
      <c r="C1843" s="3" t="str">
        <f>IFERROR(__xludf.DUMMYFUNCTION("""COMPUTED_VALUE"""),"Adversarial Attacks Against Medical Deep Learning Systems")</f>
        <v>Adversarial Attacks Against Medical Deep Learning Systems</v>
      </c>
      <c r="D1843" t="str">
        <f>IFERROR(__xludf.DUMMYFUNCTION("""COMPUTED_VALUE"""),"Samuel G. Finlayson, Hyung Won Chung, Isaac S. Kohane, Andrew L. Beam")</f>
        <v>Samuel G. Finlayson, Hyung Won Chung, Isaac S. Kohane, Andrew L. Beam</v>
      </c>
      <c r="E1843" t="str">
        <f>IFERROR(__xludf.DUMMYFUNCTION("""COMPUTED_VALUE"""),"arXiv")</f>
        <v>arXiv</v>
      </c>
      <c r="F1843">
        <f>IFERROR(__xludf.DUMMYFUNCTION("""COMPUTED_VALUE"""),2018.0)</f>
        <v>2018</v>
      </c>
      <c r="H1843" s="3" t="str">
        <f>IFERROR(__xludf.DUMMYFUNCTION("""COMPUTED_VALUE"""),"AN #3")</f>
        <v>AN #3</v>
      </c>
    </row>
    <row r="1844">
      <c r="A1844" t="str">
        <f>IFERROR(__xludf.DUMMYFUNCTION("""COMPUTED_VALUE"""),"Security")</f>
        <v>Security</v>
      </c>
      <c r="B1844" t="str">
        <f>IFERROR(__xludf.DUMMYFUNCTION("""COMPUTED_VALUE"""),"")</f>
        <v/>
      </c>
      <c r="C1844" s="3" t="str">
        <f>IFERROR(__xludf.DUMMYFUNCTION("""COMPUTED_VALUE"""),"Manipulating Machine Learning: Poisoning Attacks and Countermeasures for Regression Learning")</f>
        <v>Manipulating Machine Learning: Poisoning Attacks and Countermeasures for Regression Learning</v>
      </c>
      <c r="D1844" t="str">
        <f>IFERROR(__xludf.DUMMYFUNCTION("""COMPUTED_VALUE"""),"Matthew Jagielski, Alina Oprea, Battista Biggio, Chang Liu, Cristina Nita-Rotaru, Bo Li")</f>
        <v>Matthew Jagielski, Alina Oprea, Battista Biggio, Chang Liu, Cristina Nita-Rotaru, Bo Li</v>
      </c>
      <c r="E1844" t="str">
        <f>IFERROR(__xludf.DUMMYFUNCTION("""COMPUTED_VALUE"""),"39th IEEE Symposium on Security and Privacy")</f>
        <v>39th IEEE Symposium on Security and Privacy</v>
      </c>
      <c r="F1844">
        <f>IFERROR(__xludf.DUMMYFUNCTION("""COMPUTED_VALUE"""),2018.0)</f>
        <v>2018</v>
      </c>
      <c r="H1844" s="3" t="str">
        <f>IFERROR(__xludf.DUMMYFUNCTION("""COMPUTED_VALUE"""),"AN #1")</f>
        <v>AN #1</v>
      </c>
    </row>
    <row r="1845">
      <c r="A1845" t="str">
        <f>IFERROR(__xludf.DUMMYFUNCTION("""COMPUTED_VALUE"""),"Summary: Inverse Reinforcement Learning")</f>
        <v>Summary: Inverse Reinforcement Learning</v>
      </c>
      <c r="B1845" t="str">
        <f>IFERROR(__xludf.DUMMYFUNCTION("""COMPUTED_VALUE"""),"")</f>
        <v/>
      </c>
      <c r="C1845" s="3" t="str">
        <f>IFERROR(__xludf.DUMMYFUNCTION("""COMPUTED_VALUE"""),"Learning Robust Rewards with Adversarial Inverse Reinforcement Learning")</f>
        <v>Learning Robust Rewards with Adversarial Inverse Reinforcement Learning</v>
      </c>
      <c r="D1845" t="str">
        <f>IFERROR(__xludf.DUMMYFUNCTION("""COMPUTED_VALUE"""),"Justin Fu, Katie Luo, Sergey Levine")</f>
        <v>Justin Fu, Katie Luo, Sergey Levine</v>
      </c>
      <c r="E1845" t="str">
        <f>IFERROR(__xludf.DUMMYFUNCTION("""COMPUTED_VALUE"""),"arXiv")</f>
        <v>arXiv</v>
      </c>
      <c r="F1845">
        <f>IFERROR(__xludf.DUMMYFUNCTION("""COMPUTED_VALUE"""),2018.0)</f>
        <v>2018</v>
      </c>
      <c r="H1845" s="3" t="str">
        <f>IFERROR(__xludf.DUMMYFUNCTION("""COMPUTED_VALUE"""),"AN #17")</f>
        <v>AN #17</v>
      </c>
      <c r="I1845" t="str">
        <f>IFERROR(__xludf.DUMMYFUNCTION("""COMPUTED_VALUE"""),"Rohin")</f>
        <v>Rohin</v>
      </c>
      <c r="J1845" t="str">
        <f>IFERROR(__xludf.DUMMYFUNCTION("""COMPUTED_VALUE"""),"GAIL and Guided Cost Learning (GCL) both have the idea of learning a policy and a reward function simultaneously, in a GAN-like way (where the generator is the policy, and the discriminator has to distinguish between trajectories from the policy and the e"&amp;"xpert trajectories, which can then be interpreted as a reward function). In GAIL, the discriminator can’t be interpreted as a reward function, and you only get a policy as output (which is why it is called imitation learning). However, if you enforce that"&amp;" the discriminator has to be of the form:
D(τ) = exp(f(τ)) / (exp(f(τ)) + π(τ))
Then you can show that if π is trained to maximize
R(τ) = log(1 - D(τ)) - log(D(τ))
Then R and π converge to the optimal reward and policy respectively.
This trajectory-centr"&amp;"ic formulation is called GAN-GCL (the GAN version of guided cost learning). It’s main issue is that it works with trajectories and so is hard to optimize -- the gradients are very high variance. So, instead, we can work with individual state-action pairs "&amp;"instead of trajectories, just replacing every τ in the equations above with (s, a). This makes it more sample-efficient, and in this case f converges to the advantage function of the optimal policy. However, the advantage function induces a heavily entang"&amp;"led reward function, which rewards the RL agent for doing the action that the expert would have taken, without actually understanding the goal that the expert had. We would like to learn a disentangled reward, which they define as a reward function that l"&amp;"eads to the optimal policy according to the true reward function even if the transition dynamics change.
Intuitively, since entanglement happens by rewarding the agent for taking the same action as the expert, we can do better by enforcing that the rewar"&amp;"d function only be a function of the state, so that it is forced to learn the actual goal rather than memorizing the actions that are good. They prove two theorems under the condition that the true reward is only a function of the state. First, the learne"&amp;"d optimal reward function is fully disentangled if it is a function of only the state, assuming that the transition dynamics are “decomposable”. Second, the reward function must be a function of only the state if it is fully disentangled.
Now the discrim"&amp;"inator in the formulation above is either looking at the trajectory as a whole, or looking at the current action in order to see whether or not you are matching the expert demonstrations. Clearly we can’t just make the discriminator a function of only the"&amp;" current state -- there’s no way that could distinguish between policies, since it has no access to information about the actions that the policies took. However, we can instead separate the discriminator’s f function into the reward term and a shaping te"&amp;"rm, and enforce that the shaping term does not change the optimal policy:
f(s, a, s’) = g(s) + γh(s’) − h(s)
(It happens to be the case that for any function h, adding γh(s’) − h(s) to the reward function does not change the optimal policy.) Now, the disc"&amp;"riminator gets information about the action taken by the policy by seeing the next state s’ that resulted. Since γh(s’) − h(s) does not change the optimal policy, g(s) should converge to an optimal reward function, while h(s) must then be the value functi"&amp;"on V(s) in order to have f(s, a, s’) be the advantage function.
They run a bunch of experiments with recovering a reward function and then transferring it to a situation with different dynamics, and show that it works much better than any other algorithm"&amp;". They also show that for direct imitation (no transfer required), it does about as well as GAIL.")</f>
        <v>GAIL and Guided Cost Learning (GCL) both have the idea of learning a policy and a reward function simultaneously, in a GAN-like way (where the generator is the policy, and the discriminator has to distinguish between trajectories from the policy and the expert trajectories, which can then be interpreted as a reward function). In GAIL, the discriminator can’t be interpreted as a reward function, and you only get a policy as output (which is why it is called imitation learning). However, if you enforce that the discriminator has to be of the form:
D(τ) = exp(f(τ)) / (exp(f(τ)) + π(τ))
Then you can show that if π is trained to maximize
R(τ) = log(1 - D(τ)) - log(D(τ))
Then R and π converge to the optimal reward and policy respectively.
This trajectory-centric formulation is called GAN-GCL (the GAN version of guided cost learning). It’s main issue is that it works with trajectories and so is hard to optimize -- the gradients are very high variance. So, instead, we can work with individual state-action pairs instead of trajectories, just replacing every τ in the equations above with (s, a). This makes it more sample-efficient, and in this case f converges to the advantage function of the optimal policy. However, the advantage function induces a heavily entangled reward function, which rewards the RL agent for doing the action that the expert would have taken, without actually understanding the goal that the expert had. We would like to learn a disentangled reward, which they define as a reward function that leads to the optimal policy according to the true reward function even if the transition dynamics change.
Intuitively, since entanglement happens by rewarding the agent for taking the same action as the expert, we can do better by enforcing that the reward function only be a function of the state, so that it is forced to learn the actual goal rather than memorizing the actions that are good. They prove two theorems under the condition that the true reward is only a function of the state. First, the learned optimal reward function is fully disentangled if it is a function of only the state, assuming that the transition dynamics are “decomposable”. Second, the reward function must be a function of only the state if it is fully disentangled.
Now the discriminator in the formulation above is either looking at the trajectory as a whole, or looking at the current action in order to see whether or not you are matching the expert demonstrations. Clearly we can’t just make the discriminator a function of only the current state -- there’s no way that could distinguish between policies, since it has no access to information about the actions that the policies took. However, we can instead separate the discriminator’s f function into the reward term and a shaping term, and enforce that the shaping term does not change the optimal policy:
f(s, a, s’) = g(s) + γh(s’) − h(s)
(It happens to be the case that for any function h, adding γh(s’) − h(s) to the reward function does not change the optimal policy.) Now, the discriminator gets information about the action taken by the policy by seeing the next state s’ that resulted. Since γh(s’) − h(s) does not change the optimal policy, g(s) should converge to an optimal reward function, while h(s) must then be the value function V(s) in order to have f(s, a, s’) be the advantage function.
They run a bunch of experiments with recovering a reward function and then transferring it to a situation with different dynamics, and show that it works much better than any other algorithm. They also show that for direct imitation (no transfer required), it does about as well as GAIL.</v>
      </c>
    </row>
    <row r="1846">
      <c r="A1846" t="str">
        <f>IFERROR(__xludf.DUMMYFUNCTION("""COMPUTED_VALUE"""),"Summary: Inverse Reinforcement Learning")</f>
        <v>Summary: Inverse Reinforcement Learning</v>
      </c>
      <c r="B1846" t="str">
        <f>IFERROR(__xludf.DUMMYFUNCTION("""COMPUTED_VALUE"""),"")</f>
        <v/>
      </c>
      <c r="C1846" s="3" t="str">
        <f>IFERROR(__xludf.DUMMYFUNCTION("""COMPUTED_VALUE"""),"Generative Adversarial Imitation Learning")</f>
        <v>Generative Adversarial Imitation Learning</v>
      </c>
      <c r="D1846" t="str">
        <f>IFERROR(__xludf.DUMMYFUNCTION("""COMPUTED_VALUE"""),"Jonathan Ho and Stefano Ermon
")</f>
        <v>Jonathan Ho and Stefano Ermon
</v>
      </c>
      <c r="E1846" t="str">
        <f>IFERROR(__xludf.DUMMYFUNCTION("""COMPUTED_VALUE"""),"NIPS 2016")</f>
        <v>NIPS 2016</v>
      </c>
      <c r="F1846">
        <f>IFERROR(__xludf.DUMMYFUNCTION("""COMPUTED_VALUE"""),2016.0)</f>
        <v>2016</v>
      </c>
      <c r="H1846" s="3" t="str">
        <f>IFERROR(__xludf.DUMMYFUNCTION("""COMPUTED_VALUE"""),"AN #17")</f>
        <v>AN #17</v>
      </c>
      <c r="I1846" t="str">
        <f>IFERROR(__xludf.DUMMYFUNCTION("""COMPUTED_VALUE"""),"Rohin")</f>
        <v>Rohin</v>
      </c>
      <c r="J1846" t="str">
        <f>IFERROR(__xludf.DUMMYFUNCTION("""COMPUTED_VALUE"""),"To do imitation learning, you could try to learn the state-action correspondence that defines the expert policy via behavioral cloning (simply learn a model of action given state using supervised learning), but that’s brittle. Specifically, this is learni"&amp;"ng the policy over single timesteps, so any errors in one timestep lead to the next timestep being slightly out of distribution, leading to worse errors, giving compounding errors. So, you can instead use IRL to find the cost function, and use RL to then "&amp;"find a good policy. But IRL is slow. They propose a fast method that gets directly to the policy, but it’s as if you did IRL followed by RL.
They write down IRL as a maximization of a minimization that gives you a cost function, and then RL as a minimiza"&amp;"tion over policies of the expected cost. Specifically, maxent RL(c) computes a good policy π given a cost function c by minimizing expected cost E[c] and maximizing entropy H(π), where H(π) is computed according to causal entropy, not regular entropy (see"&amp;" MaxCausalEnt from [AN #12](https://mailchi.mp/bcb2c6f1d507/alignment-newsletter-12)). IRL(π) finds a cost function c such that the expert policy is maximally better than the RL policy.
Let’s assume that we’re working with all cost functions c : S → A → "&amp;"Reals. This is a huge space, so let’s throw in a convex regularizer ψ for the IRL problem. Then, they prove that RL(IRL(π)) can be expressed as a single minimization involving ψ*, the convex conjugate of ψ. We can make different choices of ψ give us diffe"&amp;"rent imitation learning algorithms that minimize this objective.
Let ρ(s, a) be the occupancy measure of a policy π for a state-action pair (s, a). (Occupancy measure is the sum of the discounted probabilities of taking the given state-action pair.) Then"&amp;", the expected cost of a trajectory is the sum of ρ(s, a) c(s, a) over all s, a. In the special case where you don’t do any regularization, the occupancy measure of the solution is guaranteed to be equal to the occupancy measure of the expert policy. (In "&amp;"the language of convex optimization, IRL and maxent RL are dual to each other, and strong duality applies.)
Of course, this all assumes that you have access to the full expert policy, whereas in practice you only have access to some expert demonstrations"&amp;". So now, the question is how to choose a good ψ that deals with that issue. If you don’t regularize at all, you get something that matches the estimated occupancy measure exactly -- which is not great, since there are likely many areas of state space whe"&amp;"re there are not enough samples to accurately match the occupancy measure, at least in the case with stochastic dynamics. On the other hand, previous algorithms are basically using a ψ that is infinity on cost functions outside of a particular class, and "&amp;"constant elsewhere, which means that they only work if the cost function is actually in the class of learnable functions.
So, they instead propose a ψ that is dependent on the expert data. It requires that the cost function be negative everywhere, and pu"&amp;"ts a high penalty on any cost function that puts high cost (i.e. close to zero) on the expert data. Note that this can represent any (bounded) reward function, so it has very good expressive power. They chose the particular form they did because when you "&amp;"work through the convex conjugate, you end up choosing π to minimize the Jensen-Shannon divergence between the inferred policy and the expert policy, which can be interpreted as the optimal log loss of a classifier that distinguishes between the two polic"&amp;"iees. This is very GAN-like, where we have a discriminator trying to distinguish between two policies, and a generator (the learned policy) that’s trying to fool the discriminator. Their proposed algorithm, GAIL, follows this quite precisely, alternating "&amp;"between an Adam gradient step to update the discriminator, and a TRPO step to update the policy. (Both the discriminator and the policy are neural nets.)
In the experiments, they imitate classic control and MuJoCo tasks that have been trained with TRPO. "&amp;"GAIL consistently achieves the expert performance, even with not much data, though this comes at a cost of lots of environment interaction (which eg. behavioral cloning does not require).")</f>
        <v>To do imitation learning, you could try to learn the state-action correspondence that defines the expert policy via behavioral cloning (simply learn a model of action given state using supervised learning), but that’s brittle. Specifically, this is learning the policy over single timesteps, so any errors in one timestep lead to the next timestep being slightly out of distribution, leading to worse errors, giving compounding errors. So, you can instead use IRL to find the cost function, and use RL to then find a good policy. But IRL is slow. They propose a fast method that gets directly to the policy, but it’s as if you did IRL followed by RL.
They write down IRL as a maximization of a minimization that gives you a cost function, and then RL as a minimization over policies of the expected cost. Specifically, maxent RL(c) computes a good policy π given a cost function c by minimizing expected cost E[c] and maximizing entropy H(π), where H(π) is computed according to causal entropy, not regular entropy (see MaxCausalEnt from [AN #12](https://mailchi.mp/bcb2c6f1d507/alignment-newsletter-12)). IRL(π) finds a cost function c such that the expert policy is maximally better than the RL policy.
Let’s assume that we’re working with all cost functions c : S → A → Reals. This is a huge space, so let’s throw in a convex regularizer ψ for the IRL problem. Then, they prove that RL(IRL(π)) can be expressed as a single minimization involving ψ*, the convex conjugate of ψ. We can make different choices of ψ give us different imitation learning algorithms that minimize this objective.
Let ρ(s, a) be the occupancy measure of a policy π for a state-action pair (s, a). (Occupancy measure is the sum of the discounted probabilities of taking the given state-action pair.) Then, the expected cost of a trajectory is the sum of ρ(s, a) c(s, a) over all s, a. In the special case where you don’t do any regularization, the occupancy measure of the solution is guaranteed to be equal to the occupancy measure of the expert policy. (In the language of convex optimization, IRL and maxent RL are dual to each other, and strong duality applies.)
Of course, this all assumes that you have access to the full expert policy, whereas in practice you only have access to some expert demonstrations. So now, the question is how to choose a good ψ that deals with that issue. If you don’t regularize at all, you get something that matches the estimated occupancy measure exactly -- which is not great, since there are likely many areas of state space where there are not enough samples to accurately match the occupancy measure, at least in the case with stochastic dynamics. On the other hand, previous algorithms are basically using a ψ that is infinity on cost functions outside of a particular class, and constant elsewhere, which means that they only work if the cost function is actually in the class of learnable functions.
So, they instead propose a ψ that is dependent on the expert data. It requires that the cost function be negative everywhere, and puts a high penalty on any cost function that puts high cost (i.e. close to zero) on the expert data. Note that this can represent any (bounded) reward function, so it has very good expressive power. They chose the particular form they did because when you work through the convex conjugate, you end up choosing π to minimize the Jensen-Shannon divergence between the inferred policy and the expert policy, which can be interpreted as the optimal log loss of a classifier that distinguishes between the two policiees. This is very GAN-like, where we have a discriminator trying to distinguish between two policies, and a generator (the learned policy) that’s trying to fool the discriminator. Their proposed algorithm, GAIL, follows this quite precisely, alternating between an Adam gradient step to update the discriminator, and a TRPO step to update the policy. (Both the discriminator and the policy are neural nets.)
In the experiments, they imitate classic control and MuJoCo tasks that have been trained with TRPO. GAIL consistently achieves the expert performance, even with not much data, though this comes at a cost of lots of environment interaction (which eg. behavioral cloning does not require).</v>
      </c>
    </row>
    <row r="1847">
      <c r="A1847" t="str">
        <f>IFERROR(__xludf.DUMMYFUNCTION("""COMPUTED_VALUE"""),"Summary: Inverse Reinforcement Learning")</f>
        <v>Summary: Inverse Reinforcement Learning</v>
      </c>
      <c r="B1847" t="str">
        <f>IFERROR(__xludf.DUMMYFUNCTION("""COMPUTED_VALUE"""),"")</f>
        <v/>
      </c>
      <c r="C1847" s="3" t="str">
        <f>IFERROR(__xludf.DUMMYFUNCTION("""COMPUTED_VALUE"""),"Maximum Entropy Inverse Reinforcement Learning")</f>
        <v>Maximum Entropy Inverse Reinforcement Learning</v>
      </c>
      <c r="D1847" t="str">
        <f>IFERROR(__xludf.DUMMYFUNCTION("""COMPUTED_VALUE"""),"Brian D. Ziebart, Andrew Maas, J.Andrew Bagnell, and Anind K. Dey")</f>
        <v>Brian D. Ziebart, Andrew Maas, J.Andrew Bagnell, and Anind K. Dey</v>
      </c>
      <c r="E1847" t="str">
        <f>IFERROR(__xludf.DUMMYFUNCTION("""COMPUTED_VALUE"""),"AAAI 2008")</f>
        <v>AAAI 2008</v>
      </c>
      <c r="F1847">
        <f>IFERROR(__xludf.DUMMYFUNCTION("""COMPUTED_VALUE"""),2008.0)</f>
        <v>2008</v>
      </c>
      <c r="H1847" s="3" t="str">
        <f>IFERROR(__xludf.DUMMYFUNCTION("""COMPUTED_VALUE"""),"AN #12")</f>
        <v>AN #12</v>
      </c>
      <c r="I1847" t="str">
        <f>IFERROR(__xludf.DUMMYFUNCTION("""COMPUTED_VALUE"""),"Rohin")</f>
        <v>Rohin</v>
      </c>
      <c r="J1847" t="str">
        <f>IFERROR(__xludf.DUMMYFUNCTION("""COMPUTED_VALUE"""),"While matching empirical feature counts helps to deal with the ambiguity of the reward functions, exactly matching featuer counts will typically require policies to be stochastic, in which case there are many stochastic policies that get the right feature"&amp;" counts. How do you pick among these policies? We should choose the distribution using the [principle of maximum entropy](https://en.wikipedia.org/wiki/Principle_of_maximum_entropy), which says to pick the stochastic policy (or alternatively, a probabilit"&amp;"y distribution over trajectories) that has maximum entropy (and so the least amount of information). Formally, we’re trying to find a function P(ζ) that maximizes H(P), subject to E[features(ζ)] = empirical feature counts, and that P(ζ) is a probability d"&amp;"istribution (sums to 1 and is non-negative for all trajectories). For the moment, we’re assuming deterministic dynamics.
We solve this constrained optimization problem using the method of Lagrange multipliers. With simply analytical methods, we can get t"&amp;"o the standard MaxEnt distribution, where P(ζ | θ) is proportional to exp(θ f(ζ)). But where did θ come from? It is the Lagrange multiplier for constraint on expected feature counts. So we’re actually not done with the optimization yet, but this intermedi"&amp;"ate form is interesting in and of itself, because we can identify the Lagrange multiplier θ as the reward weights. Unfortunately, we can’t finish the optimization analytically -- however, we can compute the gradient for θ, which we can then use in a gradi"&amp;"ent descent algorithm. This gives the full MaxEnt IRL algorithm for deterministic environments. When you have (known) stochastic dynamics, we simply tack on the probability of the observed transitions to the model P(ζ | θ) and optimize from there, but thi"&amp;"s is not as theoretically compelling.
One warning -- when people say they are using MaxEnt IRL, they are usually actually talking about MaxCausalEnt IRL, which we'll discuss next.")</f>
        <v>While matching empirical feature counts helps to deal with the ambiguity of the reward functions, exactly matching featuer counts will typically require policies to be stochastic, in which case there are many stochastic policies that get the right feature counts. How do you pick among these policies? We should choose the distribution using the [principle of maximum entropy](https://en.wikipedia.org/wiki/Principle_of_maximum_entropy), which says to pick the stochastic policy (or alternatively, a probability distribution over trajectories) that has maximum entropy (and so the least amount of information). Formally, we’re trying to find a function P(ζ) that maximizes H(P), subject to E[features(ζ)] = empirical feature counts, and that P(ζ) is a probability distribution (sums to 1 and is non-negative for all trajectories). For the moment, we’re assuming deterministic dynamics.
We solve this constrained optimization problem using the method of Lagrange multipliers. With simply analytical methods, we can get to the standard MaxEnt distribution, where P(ζ | θ) is proportional to exp(θ f(ζ)). But where did θ come from? It is the Lagrange multiplier for constraint on expected feature counts. So we’re actually not done with the optimization yet, but this intermediate form is interesting in and of itself, because we can identify the Lagrange multiplier θ as the reward weights. Unfortunately, we can’t finish the optimization analytically -- however, we can compute the gradient for θ, which we can then use in a gradient descent algorithm. This gives the full MaxEnt IRL algorithm for deterministic environments. When you have (known) stochastic dynamics, we simply tack on the probability of the observed transitions to the model P(ζ | θ) and optimize from there, but this is not as theoretically compelling.
One warning -- when people say they are using MaxEnt IRL, they are usually actually talking about MaxCausalEnt IRL, which we'll discuss next.</v>
      </c>
    </row>
    <row r="1848">
      <c r="A1848" t="str">
        <f>IFERROR(__xludf.DUMMYFUNCTION("""COMPUTED_VALUE"""),"Summary: Inverse Reinforcement Learning")</f>
        <v>Summary: Inverse Reinforcement Learning</v>
      </c>
      <c r="B1848" t="str">
        <f>IFERROR(__xludf.DUMMYFUNCTION("""COMPUTED_VALUE"""),"")</f>
        <v/>
      </c>
      <c r="C1848" s="3" t="str">
        <f>IFERROR(__xludf.DUMMYFUNCTION("""COMPUTED_VALUE"""),"Modeling Interaction via the Principle of Maximum Causal Entropy")</f>
        <v>Modeling Interaction via the Principle of Maximum Causal Entropy</v>
      </c>
      <c r="D1848" t="str">
        <f>IFERROR(__xludf.DUMMYFUNCTION("""COMPUTED_VALUE"""),"Brian D. Ziebart, J. Andrew Bagnell, and Anind K. Dey")</f>
        <v>Brian D. Ziebart, J. Andrew Bagnell, and Anind K. Dey</v>
      </c>
      <c r="E1848" t="str">
        <f>IFERROR(__xludf.DUMMYFUNCTION("""COMPUTED_VALUE"""),"CMU Website")</f>
        <v>CMU Website</v>
      </c>
      <c r="F1848">
        <f>IFERROR(__xludf.DUMMYFUNCTION("""COMPUTED_VALUE"""),2010.0)</f>
        <v>2010</v>
      </c>
      <c r="H1848" s="3" t="str">
        <f>IFERROR(__xludf.DUMMYFUNCTION("""COMPUTED_VALUE"""),"AN #12")</f>
        <v>AN #12</v>
      </c>
      <c r="I1848" t="str">
        <f>IFERROR(__xludf.DUMMYFUNCTION("""COMPUTED_VALUE"""),"Rohin")</f>
        <v>Rohin</v>
      </c>
      <c r="J1848" t="str">
        <f>IFERROR(__xludf.DUMMYFUNCTION("""COMPUTED_VALUE"""),"When we have stochastic dynamics, MaxEnt IRL does weird things. It is basically trying to maximize the entropy H(A1, A2, ... | S1, S2, ...), subject to matching the feature expectations. However, when you choose the action A1, you don’t know what the futu"&amp;"re states are going to look like. What you really want to do is maximize the causal entropy, that is, you want to maximize H(A1 | S1) + H(A2 | S1, S2) + ..., so that each action’s entropy is only conditioned on the previous states, and not future states. "&amp;"You can then run through the same machinery as for MaxEnt IRL to get the MaxCausalEnt IRL algorithm.")</f>
        <v>When we have stochastic dynamics, MaxEnt IRL does weird things. It is basically trying to maximize the entropy H(A1, A2, ... | S1, S2, ...), subject to matching the feature expectations. However, when you choose the action A1, you don’t know what the future states are going to look like. What you really want to do is maximize the causal entropy, that is, you want to maximize H(A1 | S1) + H(A2 | S1, S2) + ..., so that each action’s entropy is only conditioned on the previous states, and not future states. You can then run through the same machinery as for MaxEnt IRL to get the MaxCausalEnt IRL algorithm.</v>
      </c>
    </row>
    <row r="1849">
      <c r="A1849" t="str">
        <f>IFERROR(__xludf.DUMMYFUNCTION("""COMPUTED_VALUE"""),"Summary: Inverse Reinforcement Learning")</f>
        <v>Summary: Inverse Reinforcement Learning</v>
      </c>
      <c r="B1849" t="str">
        <f>IFERROR(__xludf.DUMMYFUNCTION("""COMPUTED_VALUE"""),"")</f>
        <v/>
      </c>
      <c r="C1849" s="3" t="str">
        <f>IFERROR(__xludf.DUMMYFUNCTION("""COMPUTED_VALUE"""),"A Survey of Inverse Reinforcement Learning: Challenges, Methods and Progress")</f>
        <v>A Survey of Inverse Reinforcement Learning: Challenges, Methods and Progress</v>
      </c>
      <c r="D1849" t="str">
        <f>IFERROR(__xludf.DUMMYFUNCTION("""COMPUTED_VALUE"""),"Saurabh Arora, Prashant Doshi")</f>
        <v>Saurabh Arora, Prashant Doshi</v>
      </c>
      <c r="E1849" t="str">
        <f>IFERROR(__xludf.DUMMYFUNCTION("""COMPUTED_VALUE"""),"arXiv")</f>
        <v>arXiv</v>
      </c>
      <c r="F1849">
        <f>IFERROR(__xludf.DUMMYFUNCTION("""COMPUTED_VALUE"""),2018.0)</f>
        <v>2018</v>
      </c>
      <c r="H1849" s="3" t="str">
        <f>IFERROR(__xludf.DUMMYFUNCTION("""COMPUTED_VALUE"""),"AN #12")</f>
        <v>AN #12</v>
      </c>
      <c r="I1849" t="str">
        <f>IFERROR(__xludf.DUMMYFUNCTION("""COMPUTED_VALUE"""),"Rohin")</f>
        <v>Rohin</v>
      </c>
      <c r="J1849" t="str">
        <f>IFERROR(__xludf.DUMMYFUNCTION("""COMPUTED_VALUE"""),"This is a comprehensive survey of IRL that should be useful to researchers, or students looking to perform a deep dive into IRL. It's particularly useful because it can compare and contrast across many different IRL algorithms, whereas each individual IRL"&amp;" paper only talks about their method and a few particular weaknesses of other methods. If you want to learn a lot about IRL, I would start with the previous readings, then read this one, and perhaps after that read individual papers that interest you.")</f>
        <v>This is a comprehensive survey of IRL that should be useful to researchers, or students looking to perform a deep dive into IRL. It's particularly useful because it can compare and contrast across many different IRL algorithms, whereas each individual IRL paper only talks about their method and a few particular weaknesses of other methods. If you want to learn a lot about IRL, I would start with the previous readings, then read this one, and perhaps after that read individual papers that interest you.</v>
      </c>
    </row>
    <row r="1850">
      <c r="A1850" t="str">
        <f>IFERROR(__xludf.DUMMYFUNCTION("""COMPUTED_VALUE"""),"Summary: Inverse Reinforcement Learning")</f>
        <v>Summary: Inverse Reinforcement Learning</v>
      </c>
      <c r="B1850" t="str">
        <f>IFERROR(__xludf.DUMMYFUNCTION("""COMPUTED_VALUE"""),"")</f>
        <v/>
      </c>
      <c r="C1850" s="3" t="str">
        <f>IFERROR(__xludf.DUMMYFUNCTION("""COMPUTED_VALUE"""),"Learning from humans: what is inverse reinforcement learning?")</f>
        <v>Learning from humans: what is inverse reinforcement learning?</v>
      </c>
      <c r="D1850" t="str">
        <f>IFERROR(__xludf.DUMMYFUNCTION("""COMPUTED_VALUE"""),"Jordan Alexander")</f>
        <v>Jordan Alexander</v>
      </c>
      <c r="E1850" t="str">
        <f>IFERROR(__xludf.DUMMYFUNCTION("""COMPUTED_VALUE"""),"The Gradient")</f>
        <v>The Gradient</v>
      </c>
      <c r="F1850">
        <f>IFERROR(__xludf.DUMMYFUNCTION("""COMPUTED_VALUE"""),2018.0)</f>
        <v>2018</v>
      </c>
      <c r="H1850" s="3" t="str">
        <f>IFERROR(__xludf.DUMMYFUNCTION("""COMPUTED_VALUE"""),"AN #12")</f>
        <v>AN #12</v>
      </c>
      <c r="I1850" t="str">
        <f>IFERROR(__xludf.DUMMYFUNCTION("""COMPUTED_VALUE"""),"Rohin")</f>
        <v>Rohin</v>
      </c>
      <c r="J1850" t="str">
        <f>IFERROR(__xludf.DUMMYFUNCTION("""COMPUTED_VALUE"""),"This article introduces and summarizes the first few influential papers on inverse reinforcement learning. [Algorithms for IRL](http://ai.stanford.edu/~ang/papers/icml00-irl.pdf) attacked the problem by formulating it as a linear program, assuming that th"&amp;"e given policy or demonstrations is optimal. However, there are many possible solutions to this problem -- for example, the zero reward makes any policy or demonstration optimal. [Apprenticeship Learning via IRL](http://people.eecs.berkeley.edu/~russell/c"&amp;"lasses/cs294/s11/readings/Abbeel+Ng:2004.pdf) lets you learn from an expert policy that is near-optimal. It assumes that the reward function is a weighted linear combination of _features_ of the state. In this case, given some demonstrations, we only need"&amp;" to match the feature expectations of the demonstrations in order to achieve the same performance as the demonstrations (since the reward is linear in the features). So, they do not need to infer the underlying reward function (which may be ambiguous).")</f>
        <v>This article introduces and summarizes the first few influential papers on inverse reinforcement learning. [Algorithms for IRL](http://ai.stanford.edu/~ang/papers/icml00-irl.pdf) attacked the problem by formulating it as a linear program, assuming that the given policy or demonstrations is optimal. However, there are many possible solutions to this problem -- for example, the zero reward makes any policy or demonstration optimal. [Apprenticeship Learning via IRL](http://people.eecs.berkeley.edu/~russell/classes/cs294/s11/readings/Abbeel+Ng:2004.pdf) lets you learn from an expert policy that is near-optimal. It assumes that the reward function is a weighted linear combination of _features_ of the state. In this case, given some demonstrations, we only need to match the feature expectations of the demonstrations in order to achieve the same performance as the demonstrations (since the reward is linear in the features). So, they do not need to infer the underlying reward function (which may be ambiguous).</v>
      </c>
    </row>
    <row r="1851">
      <c r="A1851" t="str">
        <f>IFERROR(__xludf.DUMMYFUNCTION("""COMPUTED_VALUE"""),"Technical agendas and prioritization")</f>
        <v>Technical agendas and prioritization</v>
      </c>
      <c r="B1851" t="str">
        <f>IFERROR(__xludf.DUMMYFUNCTION("""COMPUTED_VALUE"""),"Highlight")</f>
        <v>Highlight</v>
      </c>
      <c r="C1851" s="3" t="str">
        <f>IFERROR(__xludf.DUMMYFUNCTION("""COMPUTED_VALUE"""),"AI Alignment Podcast: An Overview of Technical AI Alignment in 2018 and 2019")</f>
        <v>AI Alignment Podcast: An Overview of Technical AI Alignment in 2018 and 2019</v>
      </c>
      <c r="D1851" t="str">
        <f>IFERROR(__xludf.DUMMYFUNCTION("""COMPUTED_VALUE"""),"Lucas Perry, Buck Shlegeris and Rohin Shah")</f>
        <v>Lucas Perry, Buck Shlegeris and Rohin Shah</v>
      </c>
      <c r="E1851" t="str">
        <f>IFERROR(__xludf.DUMMYFUNCTION("""COMPUTED_VALUE"""),"FLI Website")</f>
        <v>FLI Website</v>
      </c>
      <c r="F1851">
        <f>IFERROR(__xludf.DUMMYFUNCTION("""COMPUTED_VALUE"""),2020.0)</f>
        <v>2020</v>
      </c>
      <c r="H1851" s="3" t="str">
        <f>IFERROR(__xludf.DUMMYFUNCTION("""COMPUTED_VALUE"""),"AN #96")</f>
        <v>AN #96</v>
      </c>
      <c r="I1851" t="str">
        <f>IFERROR(__xludf.DUMMYFUNCTION("""COMPUTED_VALUE"""),"Rohin")</f>
        <v>Rohin</v>
      </c>
      <c r="J1851" t="str">
        <f>IFERROR(__xludf.DUMMYFUNCTION("""COMPUTED_VALUE"""),"This podcast with Buck and me is loosely structured around the [review I wrote](https://www.alignmentforum.org/posts/dKxX76SCfCvceJXHv/ai-alignment-2018-19-review) ([AN #84](https://mailchi.mp/1af38085edc5/an-84-reviewing-ai-alignment-work-in-2018-19)), b"&amp;"ut with a lot more debate and delving into specific points of pessimism and optimism. I suspect that every reader will have some section they're interested in. Since much of the discussion was itself meant to be a summary, I'm not going to try and summari"&amp;"ze even further. Here's the list of topics covered:
Our optimism and pessimism about different approaches to aligned AI
Traditional arguments for AI as an x-risk
Modeling agents as expected utility maximizers
Ambitious value learning and specification le"&amp;"arning/narrow value learning
Agency and optimization
Robustness
Scaling to superhuman abilities
Universality
Impact regularization
Causal models, oracles, and decision theory
Discontinuous and continuous takeoff scenarios
Probability of AI-induced existen"&amp;"tial risk
Timelines for AGI
Information hazards")</f>
        <v>This podcast with Buck and me is loosely structured around the [review I wrote](https://www.alignmentforum.org/posts/dKxX76SCfCvceJXHv/ai-alignment-2018-19-review) ([AN #84](https://mailchi.mp/1af38085edc5/an-84-reviewing-ai-alignment-work-in-2018-19)), but with a lot more debate and delving into specific points of pessimism and optimism. I suspect that every reader will have some section they're interested in. Since much of the discussion was itself meant to be a summary, I'm not going to try and summarize even further. Here's the list of topics covered:
Our optimism and pessimism about different approaches to aligned AI
Traditional arguments for AI as an x-risk
Modeling agents as expected utility maximizers
Ambitious value learning and specification learning/narrow value learning
Agency and optimization
Robustness
Scaling to superhuman abilities
Universality
Impact regularization
Causal models, oracles, and decision theory
Discontinuous and continuous takeoff scenarios
Probability of AI-induced existential risk
Timelines for AGI
Information hazards</v>
      </c>
    </row>
    <row r="1852">
      <c r="A1852" t="str">
        <f>IFERROR(__xludf.DUMMYFUNCTION("""COMPUTED_VALUE"""),"Technical agendas and prioritization")</f>
        <v>Technical agendas and prioritization</v>
      </c>
      <c r="B1852" t="str">
        <f>IFERROR(__xludf.DUMMYFUNCTION("""COMPUTED_VALUE"""),"Highlight")</f>
        <v>Highlight</v>
      </c>
      <c r="C1852" s="3" t="str">
        <f>IFERROR(__xludf.DUMMYFUNCTION("""COMPUTED_VALUE"""),"Current Work in AI Alignment")</f>
        <v>Current Work in AI Alignment</v>
      </c>
      <c r="D1852" t="str">
        <f>IFERROR(__xludf.DUMMYFUNCTION("""COMPUTED_VALUE"""),"Paul Christiano")</f>
        <v>Paul Christiano</v>
      </c>
      <c r="E1852" t="str">
        <f>IFERROR(__xludf.DUMMYFUNCTION("""COMPUTED_VALUE"""),"EA Global")</f>
        <v>EA Global</v>
      </c>
      <c r="F1852">
        <f>IFERROR(__xludf.DUMMYFUNCTION("""COMPUTED_VALUE"""),2019.0)</f>
        <v>2019</v>
      </c>
      <c r="H1852" s="3" t="str">
        <f>IFERROR(__xludf.DUMMYFUNCTION("""COMPUTED_VALUE"""),"AN #95")</f>
        <v>AN #95</v>
      </c>
      <c r="I1852" t="str">
        <f>IFERROR(__xludf.DUMMYFUNCTION("""COMPUTED_VALUE"""),"Rohin")</f>
        <v>Rohin</v>
      </c>
      <c r="J1852" t="str">
        <f>IFERROR(__xludf.DUMMYFUNCTION("""COMPUTED_VALUE"""),"In this talk (whose main slide we covered &lt;@before@&gt;(@AI alignment landscape@)), Paul Christiano explains how he decomposes the problem of beneficial AI:
1. At the top level, ""make AI go well"" is decomposed into making AI competent, making AI aligned, "&amp;"and coping with the impacts of AI. Paul focuses on the alignment part, which he defines as building AI systems that are _trying_ to do what we want. See &lt;@Clarifying ""AI Alignment""@&gt; and [my comment on it](https://www.alignmentforum.org/posts/ZeE7EKHTFM"&amp;"Bs8eMxn/clarifying-ai-alignment#3ECKoYzFNW2ZqS6km). Paul considers many problems of competence as separate from alignment, including understanding humans well, and most reliability / robustness work.
2. Within alignment, we can consider the concept of an"&amp;" ""alignment tax"": the cost incurred by insisting that we only deploy aligned AI. One approach is to help pay the alignment tax, for example, by convincing important actors that they should care about alignment, or by adopting agreements that make it eas"&amp;"ier to coordinate to pay the tax, as with the &lt;@OpenAI Charter@&gt;). Technical AI safety research on the other hand can help _reduce_ the alignment tax, by creating better aligned AI systems (which consequently incur less cost than before).
3. With alignme"&amp;"nt tax reduction, we could either try to advance current alignable algorithms (making them more competent, and so reducing their tax), or make existing algorithms alignable. It would be particularly nice to take some general class of algorithms (such as d"&amp;"eep reinforcement learning) and figure out how to transform them to make them alignable, such that improvements to the algorithms automatically translate to improvements in the alignable version. This is what Paul works on.
4. The next layer is simply a "&amp;"decomposition of possible algorithms we could try to align, e.g. planning, deduction, and learning. Paul focuses on learning.
5. Within aligned learning, we can distinguish between outer alignment (finding an objective that incentivizes aligned behavior)"&amp;" and inner alignment (ensuring that the trained agent robustly pursues the aligned objective). Paul works primarily on outer alignment, but has &lt;@written about inner alignment@&gt;(@Worst-case guarantees (Revisited)@).
6. Within outer alignment, we could ei"&amp;"ther consider algorithms that learn from a teacher, such as imitiation learning or preference inference, or we could find algorithms that perform better than the teacher (as would be needed for superhuman performance). Paul focuses on the latter case.
7."&amp;" To go beyond the teacher, you could extrapolate beyond what you've seen (i.e. generalization), do some sort of &lt;@ambitious value learning@&gt;(@What is ambitious value learning?@), or build a better teacher. Paul focuses on the last case, and thinks of ampl"&amp;"ification as a way to achieve this.")</f>
        <v>In this talk (whose main slide we covered &lt;@before@&gt;(@AI alignment landscape@)), Paul Christiano explains how he decomposes the problem of beneficial AI:
1. At the top level, "make AI go well" is decomposed into making AI competent, making AI aligned, and coping with the impacts of AI. Paul focuses on the alignment part, which he defines as building AI systems that are _trying_ to do what we want. See &lt;@Clarifying "AI Alignment"@&gt; and [my comment on it](https://www.alignmentforum.org/posts/ZeE7EKHTFMBs8eMxn/clarifying-ai-alignment#3ECKoYzFNW2ZqS6km). Paul considers many problems of competence as separate from alignment, including understanding humans well, and most reliability / robustness work.
2. Within alignment, we can consider the concept of an "alignment tax": the cost incurred by insisting that we only deploy aligned AI. One approach is to help pay the alignment tax, for example, by convincing important actors that they should care about alignment, or by adopting agreements that make it easier to coordinate to pay the tax, as with the &lt;@OpenAI Charter@&gt;). Technical AI safety research on the other hand can help _reduce_ the alignment tax, by creating better aligned AI systems (which consequently incur less cost than before).
3. With alignment tax reduction, we could either try to advance current alignable algorithms (making them more competent, and so reducing their tax), or make existing algorithms alignable. It would be particularly nice to take some general class of algorithms (such as deep reinforcement learning) and figure out how to transform them to make them alignable, such that improvements to the algorithms automatically translate to improvements in the alignable version. This is what Paul works on.
4. The next layer is simply a decomposition of possible algorithms we could try to align, e.g. planning, deduction, and learning. Paul focuses on learning.
5. Within aligned learning, we can distinguish between outer alignment (finding an objective that incentivizes aligned behavior) and inner alignment (ensuring that the trained agent robustly pursues the aligned objective). Paul works primarily on outer alignment, but has &lt;@written about inner alignment@&gt;(@Worst-case guarantees (Revisited)@).
6. Within outer alignment, we could either consider algorithms that learn from a teacher, such as imitiation learning or preference inference, or we could find algorithms that perform better than the teacher (as would be needed for superhuman performance). Paul focuses on the latter case.
7. To go beyond the teacher, you could extrapolate beyond what you've seen (i.e. generalization), do some sort of &lt;@ambitious value learning@&gt;(@What is ambitious value learning?@), or build a better teacher. Paul focuses on the last case, and thinks of amplification as a way to achieve this.</v>
      </c>
      <c r="K1852" t="str">
        <f>IFERROR(__xludf.DUMMYFUNCTION("""COMPUTED_VALUE"""),"I really like this decomposition. I already laid out most of my thoughts back when I summarized just the &lt;@main slide@&gt;(@AI alignment landscape@); I still endorse them.")</f>
        <v>I really like this decomposition. I already laid out most of my thoughts back when I summarized just the &lt;@main slide@&gt;(@AI alignment landscape@); I still endorse them.</v>
      </c>
    </row>
    <row r="1853">
      <c r="A1853" t="str">
        <f>IFERROR(__xludf.DUMMYFUNCTION("""COMPUTED_VALUE"""),"Technical agendas and prioritization")</f>
        <v>Technical agendas and prioritization</v>
      </c>
      <c r="B1853" t="str">
        <f>IFERROR(__xludf.DUMMYFUNCTION("""COMPUTED_VALUE"""),"Highlight")</f>
        <v>Highlight</v>
      </c>
      <c r="C1853" s="3" t="str">
        <f>IFERROR(__xludf.DUMMYFUNCTION("""COMPUTED_VALUE"""),"AI Alignment Podcast: On DeepMind, AI Safety, and Recursive Reward Modeling")</f>
        <v>AI Alignment Podcast: On DeepMind, AI Safety, and Recursive Reward Modeling</v>
      </c>
      <c r="D1853" t="str">
        <f>IFERROR(__xludf.DUMMYFUNCTION("""COMPUTED_VALUE"""),"Lucas Perry and Jan Leike")</f>
        <v>Lucas Perry and Jan Leike</v>
      </c>
      <c r="E1853" t="str">
        <f>IFERROR(__xludf.DUMMYFUNCTION("""COMPUTED_VALUE"""),"FLI Website")</f>
        <v>FLI Website</v>
      </c>
      <c r="F1853">
        <f>IFERROR(__xludf.DUMMYFUNCTION("""COMPUTED_VALUE"""),2019.0)</f>
        <v>2019</v>
      </c>
      <c r="H1853" s="3" t="str">
        <f>IFERROR(__xludf.DUMMYFUNCTION("""COMPUTED_VALUE"""),"AN #79")</f>
        <v>AN #79</v>
      </c>
      <c r="I1853" t="str">
        <f>IFERROR(__xludf.DUMMYFUNCTION("""COMPUTED_VALUE"""),"Rohin")</f>
        <v>Rohin</v>
      </c>
      <c r="J1853" t="str">
        <f>IFERROR(__xludf.DUMMYFUNCTION("""COMPUTED_VALUE"""),"While Jan originally worked on theory (specifically AIXI), DQN, AlphaZero and others demonstrated that deep RL was a plausible path to AGI, and so now Jan works on more empirical approaches. In particular, when selecting research directions, he looks for "&amp;"techniques that are deeply integrated with the current paradigm, that could scale to AGI and beyond. He also wants the technique to work for agents in general, rather than just question answering systems, since people will want to build agents that can ac"&amp;"t, at least in the digital world (e.g. composing emails). This has led him to work on &lt;@recursive reward modeling@&gt;(@Scalable agent alignment via reward modeling@), which tries to solve the specification problem in the &lt;@SRA framework@&gt;(@Building safe art"&amp;"ificial intelligence: specification, robustness, and assurance@).
Reward functions are useful because they allow the AI to find novel solutions that we wouldn't think of (e.g. AlphaGo's move 37), but often are incorrectly specified, leading to reward hac"&amp;"king. This suggests that we should do _reward modeling_, where we learn a model of the reward function from human feedback. Of course, such a model is still likely to have errors leading to reward hacking, and so to avoid this, the reward model needs to b"&amp;"e updated online. As long as it is **easier to evaluate behavior than to produce behavior**, reward modeling should allow AIs to find novel solutions that we wouldn't think of.
However, we would eventually like to apply reward modeling to tasks where eva"&amp;"luation is also hard. In this case, we can decompose the evaluation task into smaller tasks, and recursively apply reward modeling to train AI systems that can perform those small helper tasks. Then, assisted by these helpers, the human should be able to "&amp;"evaluate the original task. This is essentially forming a ""tree"" of reward modeling agents that are all building up to the reward model for the original, hard task. While currently the decomposition would be done by a human, you could in principle also "&amp;"use recursive reward modeling to automate the decomposition. Assuming that we can get regular reward modeling working robustly, we then need to make sure that the tree of reward models doesn't introduce new problems. In particular, it might be the case th"&amp;"at as you go up the tree, the errors compound: errors in the reward model at the leaves lead to slightly worse helper agents, which lead to worse evaluations for the second layer, and so on.
He recommends that rather than spending a lot of time figuring "&amp;"out the theoretically optimal way to address a problem, AI safety researchers should alternate between conceptual thinking and trying to make something work. The ML community errs on the other side, where they try out lots of techniques, but don't think a"&amp;"s much about how their systems will be deployed in the real world. Jan also wants the community to focus more on clear, concrete technical explanations, rather than vague blog posts that are difficult to critique and reason about. This would allow us to m"&amp;"ore easily build on past work, rather than reasoning from first principles and reinventing the wheel many times.
More broadly, DeepMind is taking a portfolio approach to AI safety: they are trying many different lines of attack, and hoping that some of t"&amp;"hem will pan out. Currently, there are teams for agent alignment (primarily recursive reward modeling), incentive theory, trained agent analysis, policy, and ethics. They have also spent some time thinking about AI safety benchmarks, as in [AI Safety Grid"&amp;"worlds](https://arxiv.org/abs/1711.09883), since progress in machine learning is driven by benchmarks, though Jan does think it is quite hard to create a well-made benchmark.")</f>
        <v>While Jan originally worked on theory (specifically AIXI), DQN, AlphaZero and others demonstrated that deep RL was a plausible path to AGI, and so now Jan works on more empirical approaches. In particular, when selecting research directions, he looks for techniques that are deeply integrated with the current paradigm, that could scale to AGI and beyond. He also wants the technique to work for agents in general, rather than just question answering systems, since people will want to build agents that can act, at least in the digital world (e.g. composing emails). This has led him to work on &lt;@recursive reward modeling@&gt;(@Scalable agent alignment via reward modeling@), which tries to solve the specification problem in the &lt;@SRA framework@&gt;(@Building safe artificial intelligence: specification, robustness, and assurance@).
Reward functions are useful because they allow the AI to find novel solutions that we wouldn't think of (e.g. AlphaGo's move 37), but often are incorrectly specified, leading to reward hacking. This suggests that we should do _reward modeling_, where we learn a model of the reward function from human feedback. Of course, such a model is still likely to have errors leading to reward hacking, and so to avoid this, the reward model needs to be updated online. As long as it is **easier to evaluate behavior than to produce behavior**, reward modeling should allow AIs to find novel solutions that we wouldn't think of.
However, we would eventually like to apply reward modeling to tasks where evaluation is also hard. In this case, we can decompose the evaluation task into smaller tasks, and recursively apply reward modeling to train AI systems that can perform those small helper tasks. Then, assisted by these helpers, the human should be able to evaluate the original task. This is essentially forming a "tree" of reward modeling agents that are all building up to the reward model for the original, hard task. While currently the decomposition would be done by a human, you could in principle also use recursive reward modeling to automate the decomposition. Assuming that we can get regular reward modeling working robustly, we then need to make sure that the tree of reward models doesn't introduce new problems. In particular, it might be the case that as you go up the tree, the errors compound: errors in the reward model at the leaves lead to slightly worse helper agents, which lead to worse evaluations for the second layer, and so on.
He recommends that rather than spending a lot of time figuring out the theoretically optimal way to address a problem, AI safety researchers should alternate between conceptual thinking and trying to make something work. The ML community errs on the other side, where they try out lots of techniques, but don't think as much about how their systems will be deployed in the real world. Jan also wants the community to focus more on clear, concrete technical explanations, rather than vague blog posts that are difficult to critique and reason about. This would allow us to more easily build on past work, rather than reasoning from first principles and reinventing the wheel many times.
More broadly, DeepMind is taking a portfolio approach to AI safety: they are trying many different lines of attack, and hoping that some of them will pan out. Currently, there are teams for agent alignment (primarily recursive reward modeling), incentive theory, trained agent analysis, policy, and ethics. They have also spent some time thinking about AI safety benchmarks, as in [AI Safety Gridworlds](https://arxiv.org/abs/1711.09883), since progress in machine learning is driven by benchmarks, though Jan does think it is quite hard to create a well-made benchmark.</v>
      </c>
      <c r="K1853" t="str">
        <f>IFERROR(__xludf.DUMMYFUNCTION("""COMPUTED_VALUE"""),"I've become more optimistic about recursive reward modeling since the &lt;@original paper@&gt;(@Scalable agent alignment via reward modeling@), primarily (I think) because I now see more value in approaches that can be used to perform specific tasks (relative t"&amp;"o approaches that try to infer ""human values"").
I also appreciated the recommendations for the AI safety community, and agree with them quite a lot. Relative to Jan, I see more value in conceptual work described using fuzzy intuitions, but I do think t"&amp;"hat more effort should be put into exposition of that kind of work.")</f>
        <v>I've become more optimistic about recursive reward modeling since the &lt;@original paper@&gt;(@Scalable agent alignment via reward modeling@), primarily (I think) because I now see more value in approaches that can be used to perform specific tasks (relative to approaches that try to infer "human values").
I also appreciated the recommendations for the AI safety community, and agree with them quite a lot. Relative to Jan, I see more value in conceptual work described using fuzzy intuitions, but I do think that more effort should be put into exposition of that kind of work.</v>
      </c>
    </row>
    <row r="1854">
      <c r="A1854" t="str">
        <f>IFERROR(__xludf.DUMMYFUNCTION("""COMPUTED_VALUE"""),"Technical agendas and prioritization")</f>
        <v>Technical agendas and prioritization</v>
      </c>
      <c r="B1854" t="str">
        <f>IFERROR(__xludf.DUMMYFUNCTION("""COMPUTED_VALUE"""),"Highlight")</f>
        <v>Highlight</v>
      </c>
      <c r="C1854" s="3" t="str">
        <f>IFERROR(__xludf.DUMMYFUNCTION("""COMPUTED_VALUE"""),"AI alignment landscape")</f>
        <v>AI alignment landscape</v>
      </c>
      <c r="D1854" t="str">
        <f>IFERROR(__xludf.DUMMYFUNCTION("""COMPUTED_VALUE"""),"Paul Christiano")</f>
        <v>Paul Christiano</v>
      </c>
      <c r="E1854" t="str">
        <f>IFERROR(__xludf.DUMMYFUNCTION("""COMPUTED_VALUE"""),"AI Alignment Blog")</f>
        <v>AI Alignment Blog</v>
      </c>
      <c r="F1854">
        <f>IFERROR(__xludf.DUMMYFUNCTION("""COMPUTED_VALUE"""),2019.0)</f>
        <v>2019</v>
      </c>
      <c r="H1854" s="3" t="str">
        <f>IFERROR(__xludf.DUMMYFUNCTION("""COMPUTED_VALUE"""),"AN #74")</f>
        <v>AN #74</v>
      </c>
      <c r="I1854" t="str">
        <f>IFERROR(__xludf.DUMMYFUNCTION("""COMPUTED_VALUE"""),"Rohin")</f>
        <v>Rohin</v>
      </c>
      <c r="J1854" t="str">
        <f>IFERROR(__xludf.DUMMYFUNCTION("""COMPUTED_VALUE"""),"This post presents the following decomposition of how to make AI go well:
IMAGE HERE")</f>
        <v>This post presents the following decomposition of how to make AI go well:
IMAGE HERE</v>
      </c>
      <c r="K1854" t="str">
        <f>IFERROR(__xludf.DUMMYFUNCTION("""COMPUTED_VALUE"""),"Here are a few points about this decomposition that were particularly salient or interesting to me.
First, at the top level, the problem is decomposed into alignment, competence, and coping with the impacts of AI. The ""alignment tax"" (extra technical c"&amp;"ost for safety) is only applied to alignment, and not competence. While there isn't a tax in the ""coping"" section, I expect that is simply due to a lack of space; I expect that extra work will be needed for this, though it may not be technical. I broadl"&amp;"y agree with this perspective: to me, it seems like the major technical problem which _differentially_ increases long-term safety is to figure out how to get powerful AI systems that are _trying_ to do what we want, i.e. they have the right [motivation](h"&amp;"ttps://www.alignmentforum.org/posts/ZeE7EKHTFMBs8eMxn/clarifying-ai-alignment#3ECKoYzFNW2ZqS6km) ([AN #33](https://mailchi.mp/b6dc636f6a1b/alignment-newsletter-33)). Such AI systems will hopefully make sure to check with us before taking unusual irreversi"&amp;"ble actions, making e.g. robustness and reliability less important. Note that &lt;@techniques like verification, transparency, and adversarial training@&gt;(@Techniques for optimizing worst-case performance@) may still be needed to ensure that the _alignment_ i"&amp;"tself is robust and reliable (see the inner alignment box); the claim is just that robustness and reliability of the AI's _capabilities_ is less important.
Second, strategy and policy work here is divided into two categories: improving our ability to pay"&amp;" technical taxes (extra work that needs to be done to make AI systems better), and improving our ability to handle impacts of AI. Often, generically improving coordination can help with both categories: for example, the &lt;@publishing concerns around GPT-2@"&amp;"&gt;(@Better Language Models and Their Implications@) have allowed researchers to develop synthetic text detection (the first category) as well as to coordinate on when not to release models (the second category).
Third, the categorization is relatively agn"&amp;"ostic to the details of the AI systems we develop -- these only show up in level 4, where Paul specifies that he is mostly thinking about aligning learning, and not planning and deduction. It's not clear to me to what extent the upper levels of the decomp"&amp;"osition make as much sense if considering other types of AI systems: I wouldn't be surprised if I thought the decomposition was not as good for risks from e.g. powerful deductive algorithms, but it would depend on the details of how deductive algorithms b"&amp;"ecome so powerful. I'd be particularly excited to see more work presenting more concrete models of powerful AGI systems, and reasoning about risks in those models, as was done in &lt;@Risks from Learned Optimization@&gt;(@Risks from Learned Optimization in Adva"&amp;"nced Machine Learning Systems@).")</f>
        <v>Here are a few points about this decomposition that were particularly salient or interesting to me.
First, at the top level, the problem is decomposed into alignment, competence, and coping with the impacts of AI. The "alignment tax" (extra technical cost for safety) is only applied to alignment, and not competence. While there isn't a tax in the "coping" section, I expect that is simply due to a lack of space; I expect that extra work will be needed for this, though it may not be technical. I broadly agree with this perspective: to me, it seems like the major technical problem which _differentially_ increases long-term safety is to figure out how to get powerful AI systems that are _trying_ to do what we want, i.e. they have the right [motivation](https://www.alignmentforum.org/posts/ZeE7EKHTFMBs8eMxn/clarifying-ai-alignment#3ECKoYzFNW2ZqS6km) ([AN #33](https://mailchi.mp/b6dc636f6a1b/alignment-newsletter-33)). Such AI systems will hopefully make sure to check with us before taking unusual irreversible actions, making e.g. robustness and reliability less important. Note that &lt;@techniques like verification, transparency, and adversarial training@&gt;(@Techniques for optimizing worst-case performance@) may still be needed to ensure that the _alignment_ itself is robust and reliable (see the inner alignment box); the claim is just that robustness and reliability of the AI's _capabilities_ is less important.
Second, strategy and policy work here is divided into two categories: improving our ability to pay technical taxes (extra work that needs to be done to make AI systems better), and improving our ability to handle impacts of AI. Often, generically improving coordination can help with both categories: for example, the &lt;@publishing concerns around GPT-2@&gt;(@Better Language Models and Their Implications@) have allowed researchers to develop synthetic text detection (the first category) as well as to coordinate on when not to release models (the second category).
Third, the categorization is relatively agnostic to the details of the AI systems we develop -- these only show up in level 4, where Paul specifies that he is mostly thinking about aligning learning, and not planning and deduction. It's not clear to me to what extent the upper levels of the decomposition make as much sense if considering other types of AI systems: I wouldn't be surprised if I thought the decomposition was not as good for risks from e.g. powerful deductive algorithms, but it would depend on the details of how deductive algorithms become so powerful. I'd be particularly excited to see more work presenting more concrete models of powerful AGI systems, and reasoning about risks in those models, as was done in &lt;@Risks from Learned Optimization@&gt;(@Risks from Learned Optimization in Advanced Machine Learning Systems@).</v>
      </c>
    </row>
    <row r="1855">
      <c r="A1855" t="str">
        <f>IFERROR(__xludf.DUMMYFUNCTION("""COMPUTED_VALUE"""),"Technical agendas and prioritization")</f>
        <v>Technical agendas and prioritization</v>
      </c>
      <c r="B1855" t="str">
        <f>IFERROR(__xludf.DUMMYFUNCTION("""COMPUTED_VALUE"""),"Highlight")</f>
        <v>Highlight</v>
      </c>
      <c r="C1855" s="3" t="str">
        <f>IFERROR(__xludf.DUMMYFUNCTION("""COMPUTED_VALUE"""),"AI Alignment Research Overview")</f>
        <v>AI Alignment Research Overview</v>
      </c>
      <c r="D1855" t="str">
        <f>IFERROR(__xludf.DUMMYFUNCTION("""COMPUTED_VALUE"""),"Jacob Steinhardt")</f>
        <v>Jacob Steinhardt</v>
      </c>
      <c r="E1855" t="str">
        <f>IFERROR(__xludf.DUMMYFUNCTION("""COMPUTED_VALUE"""),"Google Docs")</f>
        <v>Google Docs</v>
      </c>
      <c r="F1855">
        <f>IFERROR(__xludf.DUMMYFUNCTION("""COMPUTED_VALUE"""),2019.0)</f>
        <v>2019</v>
      </c>
      <c r="H1855" s="3" t="str">
        <f>IFERROR(__xludf.DUMMYFUNCTION("""COMPUTED_VALUE"""),"AN #72")</f>
        <v>AN #72</v>
      </c>
      <c r="I1855" t="str">
        <f>IFERROR(__xludf.DUMMYFUNCTION("""COMPUTED_VALUE"""),"Dan H")</f>
        <v>Dan H</v>
      </c>
      <c r="J1855" t="str">
        <f>IFERROR(__xludf.DUMMYFUNCTION("""COMPUTED_VALUE"""),"It has been over three years since _[Concrete Problems in AI Safety](https://arxiv.org/abs/1606.06565)_. Since that time we have learned more about the structure of the safety problem. This document represents an updated taxonomy of problems relevant for "&amp;"AI alignment. Jacob Steinhardt decomposes the remaining technical work into “technical alignment (the overcoming of conceptual or engineering issues needed to create aligned AI), detecting failures (the development of tools for proactively assessing the s"&amp;"afety/alignment of a system or approach), methodological understanding (best practices backed up by experience), and system-building (how to tie together the three preceding categories in the context of many engineers working on a large system).”
The fir"&amp;"st topic under “technical alignment” is “Out-of-Distribution Robustness,” which receives more emphasis than it did in Concrete Problems. Out-of-Distribution Robustness is in part motivated by the fact that transformative AI will lead to substantial change"&amp;"s to the real world, and we should like our systems to perform well even under these large and possibly rapid data shifts. Specific subproblems include _some_ work on adversarial examples and out-of-distribution detection. Next, the problem of Reward Lear"&amp;"ning is described. For this, there are challenges including learning human values and ensuring those lossily represented human values can remain aligned under extreme optimization. While we have attained more conceptual clarity about reward learning since"&amp;" _Concrete Problems_, reward learning still remains largely “uncharted,” and it is still not clear “how approach the problem.” The next section on Scalable Reward Generation points out that, in the future, labeling meaning or providing human oversight wil"&amp;"l prove increasingly difficult. Next, he proposes that we ought to study how to make systems “act conservatively,” such as endowing systems with the ability to activate a conservative fallback routine when they are uncertain. The final topic under technic"&amp;"al alignment is Counterfactual Reasoning. Here one possible direction is generating a family of simulated environments to generate counterfactuals.
The “technical alignment” section is the majority of this document. Later sections such as “Detecting Fail"&amp;"ures in Advance” highlight the importance of deep neural network visualization and recent model stress-test datasets. “Methodological Understanding” suggests that we are more likely to build aligned AI systems if we improve our best practices for building"&amp;" and evaluating models, and “System Building” speculates about how to do this for future multi-faceted ML systems.")</f>
        <v>It has been over three years since _[Concrete Problems in AI Safety](https://arxiv.org/abs/1606.06565)_. Since that time we have learned more about the structure of the safety problem. This document represents an updated taxonomy of problems relevant for AI alignment. Jacob Steinhardt decomposes the remaining technical work into “technical alignment (the overcoming of conceptual or engineering issues needed to create aligned AI), detecting failures (the development of tools for proactively assessing the safety/alignment of a system or approach), methodological understanding (best practices backed up by experience), and system-building (how to tie together the three preceding categories in the context of many engineers working on a large system).”
The first topic under “technical alignment” is “Out-of-Distribution Robustness,” which receives more emphasis than it did in Concrete Problems. Out-of-Distribution Robustness is in part motivated by the fact that transformative AI will lead to substantial changes to the real world, and we should like our systems to perform well even under these large and possibly rapid data shifts. Specific subproblems include _some_ work on adversarial examples and out-of-distribution detection. Next, the problem of Reward Learning is described. For this, there are challenges including learning human values and ensuring those lossily represented human values can remain aligned under extreme optimization. While we have attained more conceptual clarity about reward learning since _Concrete Problems_, reward learning still remains largely “uncharted,” and it is still not clear “how approach the problem.” The next section on Scalable Reward Generation points out that, in the future, labeling meaning or providing human oversight will prove increasingly difficult. Next, he proposes that we ought to study how to make systems “act conservatively,” such as endowing systems with the ability to activate a conservative fallback routine when they are uncertain. The final topic under technical alignment is Counterfactual Reasoning. Here one possible direction is generating a family of simulated environments to generate counterfactuals.
The “technical alignment” section is the majority of this document. Later sections such as “Detecting Failures in Advance” highlight the importance of deep neural network visualization and recent model stress-test datasets. “Methodological Understanding” suggests that we are more likely to build aligned AI systems if we improve our best practices for building and evaluating models, and “System Building” speculates about how to do this for future multi-faceted ML systems.</v>
      </c>
      <c r="K1855" t="str">
        <f>IFERROR(__xludf.DUMMYFUNCTION("""COMPUTED_VALUE"""),"This is a welcome update to _Concrete Problems_ since it is slightly more concrete, current, and discusses improving safety in both deep learning and RL rather than mostly RL. While the document mentions many problems, the set of problems retains precisio"&amp;"n and fortunately does not include every capabilities concern that may possibly one day impact safety. A takeaway is that value learning and model transparency still need groundwork, but fortunately other problems including out-of-distribution robustness "&amp;"are more concretized and mostly need time and continued effort.
**Rohin's opinion:** One thing I particularly like about this agenda is that the connection to AI _alignment_ is significantly clearer than in _Concrete Problems_.")</f>
        <v>This is a welcome update to _Concrete Problems_ since it is slightly more concrete, current, and discusses improving safety in both deep learning and RL rather than mostly RL. While the document mentions many problems, the set of problems retains precision and fortunately does not include every capabilities concern that may possibly one day impact safety. A takeaway is that value learning and model transparency still need groundwork, but fortunately other problems including out-of-distribution robustness are more concretized and mostly need time and continued effort.
**Rohin's opinion:** One thing I particularly like about this agenda is that the connection to AI _alignment_ is significantly clearer than in _Concrete Problems_.</v>
      </c>
    </row>
    <row r="1856">
      <c r="A1856" t="str">
        <f>IFERROR(__xludf.DUMMYFUNCTION("""COMPUTED_VALUE"""),"Technical agendas and prioritization")</f>
        <v>Technical agendas and prioritization</v>
      </c>
      <c r="B1856" t="str">
        <f>IFERROR(__xludf.DUMMYFUNCTION("""COMPUTED_VALUE"""),"Highlight")</f>
        <v>Highlight</v>
      </c>
      <c r="C1856" s="3" t="str">
        <f>IFERROR(__xludf.DUMMYFUNCTION("""COMPUTED_VALUE"""),"AGI Safety Literature Review")</f>
        <v>AGI Safety Literature Review</v>
      </c>
      <c r="D1856" t="str">
        <f>IFERROR(__xludf.DUMMYFUNCTION("""COMPUTED_VALUE"""),"Tom Everitt, Gary Lea, Marcus Hutter")</f>
        <v>Tom Everitt, Gary Lea, Marcus Hutter</v>
      </c>
      <c r="E1856" t="str">
        <f>IFERROR(__xludf.DUMMYFUNCTION("""COMPUTED_VALUE"""),"International Joint Conference on Artificial Intelligence (IJCAI), 2018")</f>
        <v>International Joint Conference on Artificial Intelligence (IJCAI), 2018</v>
      </c>
      <c r="F1856">
        <f>IFERROR(__xludf.DUMMYFUNCTION("""COMPUTED_VALUE"""),2018.0)</f>
        <v>2018</v>
      </c>
      <c r="H1856" s="3" t="str">
        <f>IFERROR(__xludf.DUMMYFUNCTION("""COMPUTED_VALUE"""),"AN #5")</f>
        <v>AN #5</v>
      </c>
      <c r="I1856" t="str">
        <f>IFERROR(__xludf.DUMMYFUNCTION("""COMPUTED_VALUE"""),"Rohin")</f>
        <v>Rohin</v>
      </c>
      <c r="J1856" t="str">
        <f>IFERROR(__xludf.DUMMYFUNCTION("""COMPUTED_VALUE"""),"Self-explanatory. It's more of a list of approaches and references within each approach than an integrated whole, but I still expect it to be useful.")</f>
        <v>Self-explanatory. It's more of a list of approaches and references within each approach than an integrated whole, but I still expect it to be useful.</v>
      </c>
      <c r="K1856" t="str">
        <f>IFERROR(__xludf.DUMMYFUNCTION("""COMPUTED_VALUE"""),"This is great as a way to find references. I do wish there was more comparison between papers and/or approaches, but that's probably asking too much.")</f>
        <v>This is great as a way to find references. I do wish there was more comparison between papers and/or approaches, but that's probably asking too much.</v>
      </c>
    </row>
    <row r="1857">
      <c r="A1857" t="str">
        <f>IFERROR(__xludf.DUMMYFUNCTION("""COMPUTED_VALUE"""),"Technical agendas and prioritization")</f>
        <v>Technical agendas and prioritization</v>
      </c>
      <c r="B1857" t="str">
        <f>IFERROR(__xludf.DUMMYFUNCTION("""COMPUTED_VALUE"""),"Highlight")</f>
        <v>Highlight</v>
      </c>
      <c r="C1857" s="3" t="str">
        <f>IFERROR(__xludf.DUMMYFUNCTION("""COMPUTED_VALUE"""),"Reframing Superintelligence: Comprehensive AI Services as General Intelligence")</f>
        <v>Reframing Superintelligence: Comprehensive AI Services as General Intelligence</v>
      </c>
      <c r="D1857" t="str">
        <f>IFERROR(__xludf.DUMMYFUNCTION("""COMPUTED_VALUE"""),"Eric Drexler")</f>
        <v>Eric Drexler</v>
      </c>
      <c r="E1857" t="str">
        <f>IFERROR(__xludf.DUMMYFUNCTION("""COMPUTED_VALUE"""),"FHI Website")</f>
        <v>FHI Website</v>
      </c>
      <c r="F1857">
        <f>IFERROR(__xludf.DUMMYFUNCTION("""COMPUTED_VALUE"""),2019.0)</f>
        <v>2019</v>
      </c>
      <c r="H1857" s="3" t="str">
        <f>IFERROR(__xludf.DUMMYFUNCTION("""COMPUTED_VALUE"""),"AN #40")</f>
        <v>AN #40</v>
      </c>
      <c r="I1857" t="str">
        <f>IFERROR(__xludf.DUMMYFUNCTION("""COMPUTED_VALUE"""),"Rohin")</f>
        <v>Rohin</v>
      </c>
      <c r="J1857" t="str">
        <f>IFERROR(__xludf.DUMMYFUNCTION("""COMPUTED_VALUE"""),"This is a huge document; rather than summarize it all in this newsletter, I wrote up my summary in [this post](https://www.alignmentforum.org/posts/x3fNwSe5aWZb5yXEG/reframing-superintelligence-comprehensive-ai-services). For this newsletter, I've copied "&amp;"over the description of the model, but left out all of the implications and critiques.
The core idea is to look at the pathway by which we will develop general intelligence, rather than assuming that at some point we will get a superintelligent AGI agent"&amp;". To predict how AI will progress in the future, we can look at how AI progresses currently -- through research and development (R&amp;D) processes. AI researchers consider a problem, define a search space, formulate an objective, and use an optimization tech"&amp;"nique in order to obtain an AI system, called a service, that performs the task.
A service is an AI system that delivers bounded results for some task using bounded resources in bounded time. Superintelligent language translation would count as a service"&amp;", even though it requires a very detailed understanding of the world, including engineering, history, science, etc. Episodic RL agents also count as services.
While each of the AI R&amp;D subtasks is currently performed by a human, as AI progresses we should"&amp;" expect that we will automate these tasks as well. At that point, we will have automated R&amp;D, leading to recursive technological improvement. This is not recursive self-improvement, because the improvement comes from R&amp;D services creating improvements in "&amp;"basic AI building blocks, and those improvements feed back into the R&amp;D services. All of this should happen before we get any powerful AGI agents that can do arbitrary general reasoning.")</f>
        <v>This is a huge document; rather than summarize it all in this newsletter, I wrote up my summary in [this post](https://www.alignmentforum.org/posts/x3fNwSe5aWZb5yXEG/reframing-superintelligence-comprehensive-ai-services). For this newsletter, I've copied over the description of the model, but left out all of the implications and critiques.
The core idea is to look at the pathway by which we will develop general intelligence, rather than assuming that at some point we will get a superintelligent AGI agent. To predict how AI will progress in the future, we can look at how AI progresses currently -- through research and development (R&amp;D) processes. AI researchers consider a problem, define a search space, formulate an objective, and use an optimization technique in order to obtain an AI system, called a service, that performs the task.
A service is an AI system that delivers bounded results for some task using bounded resources in bounded time. Superintelligent language translation would count as a service, even though it requires a very detailed understanding of the world, including engineering, history, science, etc. Episodic RL agents also count as services.
While each of the AI R&amp;D subtasks is currently performed by a human, as AI progresses we should expect that we will automate these tasks as well. At that point, we will have automated R&amp;D, leading to recursive technological improvement. This is not recursive self-improvement, because the improvement comes from R&amp;D services creating improvements in basic AI building blocks, and those improvements feed back into the R&amp;D services. All of this should happen before we get any powerful AGI agents that can do arbitrary general reasoning.</v>
      </c>
      <c r="K1857" t="str">
        <f>IFERROR(__xludf.DUMMYFUNCTION("""COMPUTED_VALUE"""),"I'm glad this has finally been published -- it's been informing my views for a long time now. I broadly buy the general view put forward here, with a few nitpicks that you can see in [the post](https://www.alignmentforum.org/posts/x3fNwSe5aWZb5yXEG/refram"&amp;"ing-superintelligence-comprehensive-ai-services). I really do recommend you read at least the post -- that's just the _summary_ of the report, so it's full of insights, and it should be interesting to technical safety and strategy researchers alike.
I'm "&amp;"still not sure how this should affect what research we do -- techniques like preference learning and recursive reward modeling seem applicable to CAIS as well, since they allow us to more accurately specify what we want each individual service to do.")</f>
        <v>I'm glad this has finally been published -- it's been informing my views for a long time now. I broadly buy the general view put forward here, with a few nitpicks that you can see in [the post](https://www.alignmentforum.org/posts/x3fNwSe5aWZb5yXEG/reframing-superintelligence-comprehensive-ai-services). I really do recommend you read at least the post -- that's just the _summary_ of the report, so it's full of insights, and it should be interesting to technical safety and strategy researchers alike.
I'm still not sure how this should affect what research we do -- techniques like preference learning and recursive reward modeling seem applicable to CAIS as well, since they allow us to more accurately specify what we want each individual service to do.</v>
      </c>
    </row>
    <row r="1858">
      <c r="A1858" t="str">
        <f>IFERROR(__xludf.DUMMYFUNCTION("""COMPUTED_VALUE"""),"Technical agendas and prioritization")</f>
        <v>Technical agendas and prioritization</v>
      </c>
      <c r="B1858" t="str">
        <f>IFERROR(__xludf.DUMMYFUNCTION("""COMPUTED_VALUE"""),"Highlight")</f>
        <v>Highlight</v>
      </c>
      <c r="C1858" s="3" t="str">
        <f>IFERROR(__xludf.DUMMYFUNCTION("""COMPUTED_VALUE"""),"AI Alignment Podcast: Inverse Reinforcement Learning and the State of AI Alignment")</f>
        <v>AI Alignment Podcast: Inverse Reinforcement Learning and the State of AI Alignment</v>
      </c>
      <c r="D1858" t="str">
        <f>IFERROR(__xludf.DUMMYFUNCTION("""COMPUTED_VALUE"""),"Lucas Perry and Rohin Shah")</f>
        <v>Lucas Perry and Rohin Shah</v>
      </c>
      <c r="E1858" t="str">
        <f>IFERROR(__xludf.DUMMYFUNCTION("""COMPUTED_VALUE"""),"FLI Website")</f>
        <v>FLI Website</v>
      </c>
      <c r="F1858">
        <f>IFERROR(__xludf.DUMMYFUNCTION("""COMPUTED_VALUE"""),2018.0)</f>
        <v>2018</v>
      </c>
      <c r="H1858" s="3" t="str">
        <f>IFERROR(__xludf.DUMMYFUNCTION("""COMPUTED_VALUE"""),"AN #38")</f>
        <v>AN #38</v>
      </c>
      <c r="I1858" t="str">
        <f>IFERROR(__xludf.DUMMYFUNCTION("""COMPUTED_VALUE"""),"Rohin")</f>
        <v>Rohin</v>
      </c>
      <c r="J1858" t="str">
        <f>IFERROR(__xludf.DUMMYFUNCTION("""COMPUTED_VALUE"""),"Lucas interviewed me and we talked about a bunch of different topics. Some quick highlights, without the supporting arguments:
- If we want to use inverse reinforcement learning (IRL) to infer a utility function that we then optimize, we would have to acc"&amp;"ount for systematic biases, and this is hard, and subject to an impossibility result.
- Humans do seem to be good at inferring goals of other humans, probably because we model them as planning in a similar way that we ourselves plan. It's reasonable to th"&amp;"ink that IRL could replicate this. However, humans have very different ideas on how the future should go, so this seems not enough to get a utility function that can then be optimized over the long term.
- Another issue with having a utility function that"&amp;" is optimized over the long term is that it would have to somehow solve a whole lot of very difficult problems like the nature of identity and population ethics and metaphilosophy.
- Since human preferences seem to change as the environment changes, we co"&amp;"uld try to build AI systems whose goals are constantly changing by continuously running IRL. This sort of approach is promising but we don't know how to get it working yet.
- IRL, agency and optimization all seem to require a notion of counterfactuals.
- "&amp;"One view of agency is that it is about how a search process thinks of itself, or about other search processes. This gives it a feeling of ""choice"", even though the output of the search process is determined by physics. This can explain the debates over "&amp;"whether evolution is an optimization process -- on the one hand, it can be viewed as a search process, but on the other, we understand it well enough to think of it as a ""deterministic"" procedure.
- One way to view the AI alignment problem is to view it"&amp;" as a human-AI interaction problem, so that we get an AI that evolves over time along with us.
- Rather than building a function maximizer, we could aim to build an AI system that is corrigible, or one that follows norms.- Both iterated amplification and "&amp;"debate operate on an exponential deliberation tree, though in different ways, using reasoning learned from humans. If a human would have some desirable property (such as good epistemics), so too should their amplification.- Both iterated amplification and"&amp;" debate are based on _explicit_ human reasoning, as opposed to intuitive reasoning.
- Value drift in the literal sense can be both positive and negative -- I certainly expect and want my stated preferences to change as I become more knowledgeable in the f"&amp;"uture.
- We only want the combined human-AI system to have a goal, which allows for a space of possibilities where the AI is not optimizing a goal.
- One of the problems that seems most troubling is the issue of inner optimizers, which will hopefully be d"&amp;"escribed in a sequence soon.")</f>
        <v>Lucas interviewed me and we talked about a bunch of different topics. Some quick highlights, without the supporting arguments:
- If we want to use inverse reinforcement learning (IRL) to infer a utility function that we then optimize, we would have to account for systematic biases, and this is hard, and subject to an impossibility result.
- Humans do seem to be good at inferring goals of other humans, probably because we model them as planning in a similar way that we ourselves plan. It's reasonable to think that IRL could replicate this. However, humans have very different ideas on how the future should go, so this seems not enough to get a utility function that can then be optimized over the long term.
- Another issue with having a utility function that is optimized over the long term is that it would have to somehow solve a whole lot of very difficult problems like the nature of identity and population ethics and metaphilosophy.
- Since human preferences seem to change as the environment changes, we could try to build AI systems whose goals are constantly changing by continuously running IRL. This sort of approach is promising but we don't know how to get it working yet.
- IRL, agency and optimization all seem to require a notion of counterfactuals.
- One view of agency is that it is about how a search process thinks of itself, or about other search processes. This gives it a feeling of "choice", even though the output of the search process is determined by physics. This can explain the debates over whether evolution is an optimization process -- on the one hand, it can be viewed as a search process, but on the other, we understand it well enough to think of it as a "deterministic" procedure.
- One way to view the AI alignment problem is to view it as a human-AI interaction problem, so that we get an AI that evolves over time along with us.
- Rather than building a function maximizer, we could aim to build an AI system that is corrigible, or one that follows norms.- Both iterated amplification and debate operate on an exponential deliberation tree, though in different ways, using reasoning learned from humans. If a human would have some desirable property (such as good epistemics), so too should their amplification.- Both iterated amplification and debate are based on _explicit_ human reasoning, as opposed to intuitive reasoning.
- Value drift in the literal sense can be both positive and negative -- I certainly expect and want my stated preferences to change as I become more knowledgeable in the future.
- We only want the combined human-AI system to have a goal, which allows for a space of possibilities where the AI is not optimizing a goal.
- One of the problems that seems most troubling is the issue of inner optimizers, which will hopefully be described in a sequence soon.</v>
      </c>
    </row>
    <row r="1859">
      <c r="A1859" t="str">
        <f>IFERROR(__xludf.DUMMYFUNCTION("""COMPUTED_VALUE"""),"Technical agendas and prioritization")</f>
        <v>Technical agendas and prioritization</v>
      </c>
      <c r="B1859" t="str">
        <f>IFERROR(__xludf.DUMMYFUNCTION("""COMPUTED_VALUE"""),"Highlight")</f>
        <v>Highlight</v>
      </c>
      <c r="C1859" s="3" t="str">
        <f>IFERROR(__xludf.DUMMYFUNCTION("""COMPUTED_VALUE"""),"Incomplete Contracting and AI Alignment")</f>
        <v>Incomplete Contracting and AI Alignment</v>
      </c>
      <c r="D1859" t="str">
        <f>IFERROR(__xludf.DUMMYFUNCTION("""COMPUTED_VALUE"""),"Dylan Hadfield-Menell, Gillian Hadfield")</f>
        <v>Dylan Hadfield-Menell, Gillian Hadfield</v>
      </c>
      <c r="E1859" t="str">
        <f>IFERROR(__xludf.DUMMYFUNCTION("""COMPUTED_VALUE"""),"arXiv")</f>
        <v>arXiv</v>
      </c>
      <c r="F1859">
        <f>IFERROR(__xludf.DUMMYFUNCTION("""COMPUTED_VALUE"""),2018.0)</f>
        <v>2018</v>
      </c>
      <c r="H1859" s="3" t="str">
        <f>IFERROR(__xludf.DUMMYFUNCTION("""COMPUTED_VALUE"""),"AN #3")</f>
        <v>AN #3</v>
      </c>
      <c r="I1859" t="str">
        <f>IFERROR(__xludf.DUMMYFUNCTION("""COMPUTED_VALUE"""),"Rohin")</f>
        <v>Rohin</v>
      </c>
      <c r="J1859" t="str">
        <f>IFERROR(__xludf.DUMMYFUNCTION("""COMPUTED_VALUE"""),"This paper explores an analogy between AI alignment and incomplete contracting. In human society, we often encounter principal-agent problems, where we want to align the incentives of the agent with those of the principal. In theory, we can do this with a"&amp;" ""complete"" contract, that is an enforceable contract that fully specifies the optimal behavior in every possible situation. Obviously in practice we cannot write such contracts, and so we end up using incomplete contracts instead. Similarly, in AI alig"&amp;"nment, in theory we could perfectly align an AI with humans by imbuing it with the true human utility function, but in practice this is impossible -- we cannot consider every possible situation that could come up. The difference between the behavior impli"&amp;"ed by the reward function we write down and the utility function we actually want leads to misalignment. The paper then talks about several ideas from incomplete contracting and their analogues in AI alignment. The main conclusion is that our AI systems w"&amp;"ill have to learn and use a ""common sense"" understanding of what society will and will not sanction, since that is what enables humans to solve principal-agent problems (to the extent that we can).")</f>
        <v>This paper explores an analogy between AI alignment and incomplete contracting. In human society, we often encounter principal-agent problems, where we want to align the incentives of the agent with those of the principal. In theory, we can do this with a "complete" contract, that is an enforceable contract that fully specifies the optimal behavior in every possible situation. Obviously in practice we cannot write such contracts, and so we end up using incomplete contracts instead. Similarly, in AI alignment, in theory we could perfectly align an AI with humans by imbuing it with the true human utility function, but in practice this is impossible -- we cannot consider every possible situation that could come up. The difference between the behavior implied by the reward function we write down and the utility function we actually want leads to misalignment. The paper then talks about several ideas from incomplete contracting and their analogues in AI alignment. The main conclusion is that our AI systems will have to learn and use a "common sense" understanding of what society will and will not sanction, since that is what enables humans to solve principal-agent problems (to the extent that we can).</v>
      </c>
      <c r="K1859" t="str">
        <f>IFERROR(__xludf.DUMMYFUNCTION("""COMPUTED_VALUE"""),"I'm excited to see what feels like quite a strong connection to an existing field of research. I especially liked the section about building in ""common sense"" (Section 5).")</f>
        <v>I'm excited to see what feels like quite a strong connection to an existing field of research. I especially liked the section about building in "common sense" (Section 5).</v>
      </c>
    </row>
    <row r="1860">
      <c r="A1860" t="str">
        <f>IFERROR(__xludf.DUMMYFUNCTION("""COMPUTED_VALUE"""),"Technical agendas and prioritization")</f>
        <v>Technical agendas and prioritization</v>
      </c>
      <c r="B1860" t="str">
        <f>IFERROR(__xludf.DUMMYFUNCTION("""COMPUTED_VALUE"""),"Highlight")</f>
        <v>Highlight</v>
      </c>
      <c r="C1860" s="3" t="str">
        <f>IFERROR(__xludf.DUMMYFUNCTION("""COMPUTED_VALUE"""),"80K podcast with Paul Christiano")</f>
        <v>80K podcast with Paul Christiano</v>
      </c>
      <c r="D1860" t="str">
        <f>IFERROR(__xludf.DUMMYFUNCTION("""COMPUTED_VALUE"""),"Paul Christiano and Rob Wiblin")</f>
        <v>Paul Christiano and Rob Wiblin</v>
      </c>
      <c r="E1860" t="str">
        <f>IFERROR(__xludf.DUMMYFUNCTION("""COMPUTED_VALUE"""),"80000 Hours")</f>
        <v>80000 Hours</v>
      </c>
      <c r="F1860">
        <f>IFERROR(__xludf.DUMMYFUNCTION("""COMPUTED_VALUE"""),2018.0)</f>
        <v>2018</v>
      </c>
      <c r="H1860" s="3" t="str">
        <f>IFERROR(__xludf.DUMMYFUNCTION("""COMPUTED_VALUE"""),"AN #27")</f>
        <v>AN #27</v>
      </c>
      <c r="I1860" t="str">
        <f>IFERROR(__xludf.DUMMYFUNCTION("""COMPUTED_VALUE"""),"Rohin")</f>
        <v>Rohin</v>
      </c>
      <c r="J1860" t="str">
        <f>IFERROR(__xludf.DUMMYFUNCTION("""COMPUTED_VALUE"""),"This is a mammoth 4-hour interview that covers a lot of ground. I'll try to state the main points without the supporting arguments in roughly chronological order, listen to the podcast for more.
- The problem of AI safety is that we don't know how to buil"&amp;"d AI that does what we want it to do. It arises primarily because each actor faces a tradeoff between AI systems being maximally effective at its task, and being robustly beneficial.
- AI safety has had much more attention in the last few years.
- Everyon"&amp;"e agrees that we don't know how to build AI that does what we want, but disagrees on how hard the problem is, or how it should be framed.
- The best arguments against working on alignment are opportunity cost (eg. working on biosecurity instead) and that "&amp;"the problem might be very easy or impossible, but even then it seems like work would be valuable for getting information about how hard the problem actually is.
- It's not very important for the best AI safety team to work with the best ML team for the pu"&amp;"rpose of pursuing alignment research, but it is important for actually building powerful aligned AI.
- The variance in outcomes from AGI come primarily from uncertainty in how hard the technical problem is, how people behave about AGI, and then how good w"&amp;"e are at technical safety research. The last one is easiest to push on.
- It seems useful to build organizations that can make commitments that are credible to outsiders. This would allow the top AI actors to jointly commit that they meet a particular bar"&amp;" for safety, though this would also require monitoring and enforcing to be effective, which is hard to do without leaking information.
- We should expect [slow takeoff](https://sideways-view.com/2018/02/24/takeoff-speeds/), as Paul defines it. (I'm ignori"&amp;"ng a lot of detail here.)
- We should focus on short timelines because we have more leverage over them, but the analogous argument for focusing on fast takeoff is not as compelling.
- Paul places 15% probability on human labor being obselete in 10 years, "&amp;"and 35% on 20 years, but doesn't think he has done enough analysis that people should defer to him.
- Comparing current AI systems to humans seems like the wrong way to measure progress in AI. Instead, we should consider what we'd be able to do now _if_ A"&amp;"I becomes comparable to humans in 10-20 years, and compare to that.
- We can decompose alignment into the problem of training an AI given a smarter overseer, and the problem of creating a sufficiently smart overseer. These roughly correspond to distillati"&amp;"on and amplification respectively in IDA. (There's more discussion of IDA, but it should be pretty familiar to people who have engaged with IDA before.) Reactions fall into three camps: a) IDA is hopelessly difficult, b) IDA is focusing on far-away proble"&amp;"ms that will be easy by the time they are relevant, and c) optimistic about IDA.
- Very few people think about how to solve the full problem, that is, solve alignment in the limit of arbitrarily intelligent AI. MIRI doesn't think about the question becaus"&amp;"e it seems obviously doomed to them, while the broader ML community wants to wait until we know how to build the system. The other approaches are [debate](https://blog.openai.com/debate/) ([AN #5](https://mailchi.mp/0ae5d69de63b/alignment-newsletter-5)), "&amp;"which is very related to IDA, and inverse reinforcement learning (IRL). However, there are key problems with IRL, and research hasn't shed much light on the core of the problem.
- AI safety via debate also shares the insight of IDA that we can use AI to h"&amp;"elp us define a better training signal for AI. (There's discussion of how debate works, that again should be familiar to anyone who has engaged with it before.) The biggest difficulty is whether human judges are actually capable of judging debates on trut"&amp;"hfulness and usefulness, as opposed to eg. persuasiveness.
- There are three main categories of work to be done on IDA and debate -- engineering work to actually build systems, philosophical work to determine whether we would be happy with the output of I"&amp;"DA or debate, and ML research that allows us to try out IDA or debate with current ML techniques.
- We should focus on [prosaic AI](https://ai-alignment.com/prosaic-ai-control-b959644d79c2), that is, powerful AI built out of current techniques (so no unkn"&amp;"own unknowns). This is easier to work on since it is very concrete, and even if AGI requires new techniques, it will probably still use current ones, and so work aligning current techniques should transfer. In addition, if current techniques go further th"&amp;"an expected, it would catch people by surprise, which makes this case more important.
- With sufficient computation, current ML techniques can produce general intelligence, because evolution did so, and current ML looks a lot like evolution.
- The biggest"&amp;" crux between Paul and MIRI is whether prosaic AI can be aligned.
- One problem that MIRI thinks is irresolvable is the problem of inner optimizers, where even if you optimize a perfectly constructed objective function that captures what we want, you may "&amp;"create a consequentialist that has good behavior in training environments but arbitrarily bad behavior in test environments. However, we could try to solve this through techniques like adversarial training.
- The other problem is that constructing a good "&amp;"objective is incredibly difficult, and existing schemes are hiding the magic somewhere (for example, in IDA, it would be hidden in the amplification step).
- Research of the kind that MIRI does will probably be useful for answering the philosophical quest"&amp;"ions around IDA and debate.
- Ought's [Factored Cognition](https://ought.org/presentations/factored-cognition-2018-05) ([AN #12](https://mailch...newsletter-12)) project is very related to IDA.
- Besides learning ML, and careers in strategy and policy, Pa"&amp;"ul is excited for people to start careers studying problems around IDA from a CS lens, a philosophical lens, or a psychological lens (in the sense of studying how humans decompose problems for IDA, or how they judge debates).
- Computer security problems "&amp;"that are about attacking AI (rather than defending against attacks in a world with AI) are often very related to long term AI alignment.
- It is important for safety researchers to be respectful of ML researchers, since they are justifiably defensive give"&amp;"n the high levels of external interest in safety that's off-base.
- EAs often incorrectly think in terms of a system that has been given a goal to optimize.
- Probably the most important question in moral philosophy is what kinds of unaligned AI would be "&amp;"morally valuable, and how they compare to the scenario where we build an aligned AI.
- Among super weird backup plans, we could build unaligned AI that is in expectation as valuable as aligned AI, which allows us to sidestep AI risk. For example, we could"&amp;" simulate other civilizations that evolution would produce, and hand over control of the world to a civilization that would have done the same thing if our places were swapped. From behind a veil of ignorance of ""civilizations evolution could have produc"&amp;"ed"", or from a multiverse perspective, this has the same expected value as building an _aligned_ AI (modulo the resource cost of simulations), allowing us to sidestep AI risk.
- We might face an issue where society worries about being bigoted towards AI "&amp;"and so gives them rights and autonomy, instead of focusing on the more important question of whether their values or goals align with ours.")</f>
        <v>This is a mammoth 4-hour interview that covers a lot of ground. I'll try to state the main points without the supporting arguments in roughly chronological order, listen to the podcast for more.
- The problem of AI safety is that we don't know how to build AI that does what we want it to do. It arises primarily because each actor faces a tradeoff between AI systems being maximally effective at its task, and being robustly beneficial.
- AI safety has had much more attention in the last few years.
- Everyone agrees that we don't know how to build AI that does what we want, but disagrees on how hard the problem is, or how it should be framed.
- The best arguments against working on alignment are opportunity cost (eg. working on biosecurity instead) and that the problem might be very easy or impossible, but even then it seems like work would be valuable for getting information about how hard the problem actually is.
- It's not very important for the best AI safety team to work with the best ML team for the purpose of pursuing alignment research, but it is important for actually building powerful aligned AI.
- The variance in outcomes from AGI come primarily from uncertainty in how hard the technical problem is, how people behave about AGI, and then how good we are at technical safety research. The last one is easiest to push on.
- It seems useful to build organizations that can make commitments that are credible to outsiders. This would allow the top AI actors to jointly commit that they meet a particular bar for safety, though this would also require monitoring and enforcing to be effective, which is hard to do without leaking information.
- We should expect [slow takeoff](https://sideways-view.com/2018/02/24/takeoff-speeds/), as Paul defines it. (I'm ignoring a lot of detail here.)
- We should focus on short timelines because we have more leverage over them, but the analogous argument for focusing on fast takeoff is not as compelling.
- Paul places 15% probability on human labor being obselete in 10 years, and 35% on 20 years, but doesn't think he has done enough analysis that people should defer to him.
- Comparing current AI systems to humans seems like the wrong way to measure progress in AI. Instead, we should consider what we'd be able to do now _if_ AI becomes comparable to humans in 10-20 years, and compare to that.
- We can decompose alignment into the problem of training an AI given a smarter overseer, and the problem of creating a sufficiently smart overseer. These roughly correspond to distillation and amplification respectively in IDA. (There's more discussion of IDA, but it should be pretty familiar to people who have engaged with IDA before.) Reactions fall into three camps: a) IDA is hopelessly difficult, b) IDA is focusing on far-away problems that will be easy by the time they are relevant, and c) optimistic about IDA.
- Very few people think about how to solve the full problem, that is, solve alignment in the limit of arbitrarily intelligent AI. MIRI doesn't think about the question because it seems obviously doomed to them, while the broader ML community wants to wait until we know how to build the system. The other approaches are [debate](https://blog.openai.com/debate/) ([AN #5](https://mailchi.mp/0ae5d69de63b/alignment-newsletter-5)), which is very related to IDA, and inverse reinforcement learning (IRL). However, there are key problems with IRL, and research hasn't shed much light on the core of the problem.
- AI safety via debate also shares the insight of IDA that we can use AI to help us define a better training signal for AI. (There's discussion of how debate works, that again should be familiar to anyone who has engaged with it before.) The biggest difficulty is whether human judges are actually capable of judging debates on truthfulness and usefulness, as opposed to eg. persuasiveness.
- There are three main categories of work to be done on IDA and debate -- engineering work to actually build systems, philosophical work to determine whether we would be happy with the output of IDA or debate, and ML research that allows us to try out IDA or debate with current ML techniques.
- We should focus on [prosaic AI](https://ai-alignment.com/prosaic-ai-control-b959644d79c2), that is, powerful AI built out of current techniques (so no unknown unknowns). This is easier to work on since it is very concrete, and even if AGI requires new techniques, it will probably still use current ones, and so work aligning current techniques should transfer. In addition, if current techniques go further than expected, it would catch people by surprise, which makes this case more important.
- With sufficient computation, current ML techniques can produce general intelligence, because evolution did so, and current ML looks a lot like evolution.
- The biggest crux between Paul and MIRI is whether prosaic AI can be aligned.
- One problem that MIRI thinks is irresolvable is the problem of inner optimizers, where even if you optimize a perfectly constructed objective function that captures what we want, you may create a consequentialist that has good behavior in training environments but arbitrarily bad behavior in test environments. However, we could try to solve this through techniques like adversarial training.
- The other problem is that constructing a good objective is incredibly difficult, and existing schemes are hiding the magic somewhere (for example, in IDA, it would be hidden in the amplification step).
- Research of the kind that MIRI does will probably be useful for answering the philosophical questions around IDA and debate.
- Ought's [Factored Cognition](https://ought.org/presentations/factored-cognition-2018-05) ([AN #12](https://mailch...newsletter-12)) project is very related to IDA.
- Besides learning ML, and careers in strategy and policy, Paul is excited for people to start careers studying problems around IDA from a CS lens, a philosophical lens, or a psychological lens (in the sense of studying how humans decompose problems for IDA, or how they judge debates).
- Computer security problems that are about attacking AI (rather than defending against attacks in a world with AI) are often very related to long term AI alignment.
- It is important for safety researchers to be respectful of ML researchers, since they are justifiably defensive given the high levels of external interest in safety that's off-base.
- EAs often incorrectly think in terms of a system that has been given a goal to optimize.
- Probably the most important question in moral philosophy is what kinds of unaligned AI would be morally valuable, and how they compare to the scenario where we build an aligned AI.
- Among super weird backup plans, we could build unaligned AI that is in expectation as valuable as aligned AI, which allows us to sidestep AI risk. For example, we could simulate other civilizations that evolution would produce, and hand over control of the world to a civilization that would have done the same thing if our places were swapped. From behind a veil of ignorance of "civilizations evolution could have produced", or from a multiverse perspective, this has the same expected value as building an _aligned_ AI (modulo the resource cost of simulations), allowing us to sidestep AI risk.
- We might face an issue where society worries about being bigoted towards AI and so gives them rights and autonomy, instead of focusing on the more important question of whether their values or goals align with ours.</v>
      </c>
      <c r="K1860" t="str">
        <f>IFERROR(__xludf.DUMMYFUNCTION("""COMPUTED_VALUE"""),"This is _definitely_ worth reading or listening if you haven't engaged much with Paul's work before, it will probably be my go-to reference to introduce someone to the approach. Even if you have, this podcast will probably help tie things together in a un"&amp;"ified whole (at least, it felt that way to me). A lot of the specific things mentioned have been in the newsletter before, if you want to dig up my opinions on them.")</f>
        <v>This is _definitely_ worth reading or listening if you haven't engaged much with Paul's work before, it will probably be my go-to reference to introduce someone to the approach. Even if you have, this podcast will probably help tie things together in a unified whole (at least, it felt that way to me). A lot of the specific things mentioned have been in the newsletter before, if you want to dig up my opinions on them.</v>
      </c>
    </row>
    <row r="1861">
      <c r="A1861" t="str">
        <f>IFERROR(__xludf.DUMMYFUNCTION("""COMPUTED_VALUE"""),"Technical agendas and prioritization")</f>
        <v>Technical agendas and prioritization</v>
      </c>
      <c r="B1861" t="str">
        <f>IFERROR(__xludf.DUMMYFUNCTION("""COMPUTED_VALUE"""),"Highlight")</f>
        <v>Highlight</v>
      </c>
      <c r="C1861" s="3" t="str">
        <f>IFERROR(__xludf.DUMMYFUNCTION("""COMPUTED_VALUE"""),"Building safe artificial intelligence: specification, robustness, and assurance")</f>
        <v>Building safe artificial intelligence: specification, robustness, and assurance</v>
      </c>
      <c r="D1861" t="str">
        <f>IFERROR(__xludf.DUMMYFUNCTION("""COMPUTED_VALUE"""),"Pedro A. Ortega, Vishal Maini DeepMind safety team")</f>
        <v>Pedro A. Ortega, Vishal Maini DeepMind safety team</v>
      </c>
      <c r="E1861" t="str">
        <f>IFERROR(__xludf.DUMMYFUNCTION("""COMPUTED_VALUE"""),"Medium")</f>
        <v>Medium</v>
      </c>
      <c r="F1861">
        <f>IFERROR(__xludf.DUMMYFUNCTION("""COMPUTED_VALUE"""),2018.0)</f>
        <v>2018</v>
      </c>
      <c r="H1861" s="3" t="str">
        <f>IFERROR(__xludf.DUMMYFUNCTION("""COMPUTED_VALUE"""),"AN #26")</f>
        <v>AN #26</v>
      </c>
      <c r="I1861" t="str">
        <f>IFERROR(__xludf.DUMMYFUNCTION("""COMPUTED_VALUE"""),"Richard")</f>
        <v>Richard</v>
      </c>
      <c r="J1861" t="str">
        <f>IFERROR(__xludf.DUMMYFUNCTION("""COMPUTED_VALUE"""),"In this blog post, the DeepMind safety team divides AI safety into the problems of specification, robustness and assurance. Specification ensures that an AI system's behaviour aligns with the operator's true intentions, i.e that our ""ideal specification"&amp;""" of a fully alligned AI system is consistent with the AI's actual behavior. Problems in this category include avoiding side-effects and the creation of dangerous sub-agents. Robustness ensures that an AI system continues to operate within safe limits up"&amp;"on facing peturbations like adversarial inputs or distributional shift, both by preventing these problems arising and by being able to recover from them. It also includes criteria like safe exploration and cautious generalisation. Assurance ensures that w"&amp;"e can understand and control AI systems during operation, by monitoring them and enforcing restrictions. Interpretability and interruptability are examples of monitoring and enforcement respectively. I'd encourage you to look at the table in the original "&amp;"post, since it also categorises many more AI safety problems.")</f>
        <v>In this blog post, the DeepMind safety team divides AI safety into the problems of specification, robustness and assurance. Specification ensures that an AI system's behaviour aligns with the operator's true intentions, i.e that our "ideal specification" of a fully alligned AI system is consistent with the AI's actual behavior. Problems in this category include avoiding side-effects and the creation of dangerous sub-agents. Robustness ensures that an AI system continues to operate within safe limits upon facing peturbations like adversarial inputs or distributional shift, both by preventing these problems arising and by being able to recover from them. It also includes criteria like safe exploration and cautious generalisation. Assurance ensures that we can understand and control AI systems during operation, by monitoring them and enforcing restrictions. Interpretability and interruptability are examples of monitoring and enforcement respectively. I'd encourage you to look at the table in the original post, since it also categorises many more AI safety problems.</v>
      </c>
      <c r="K1861" t="str">
        <f>IFERROR(__xludf.DUMMYFUNCTION("""COMPUTED_VALUE"""),"I like this framing - I think it's an improvement on the categorisation into specification and robustness problems from the AI safety gridworlds paper. In particular, it's useful to separate properties that we want an AI to have from mechanisms by which w"&amp;"e might control or limit the damage from an AI that doesn't have those properties.
I do worry that this approach doesn't contain scalability as a core concern in the same way that IDA and agent foundations do. Solutions to AI safety problems which work f"&amp;"or sub-human-level AI and even human-level AI may not translate to superintelligent AI. Relatedly, I think that maintaining the same goals under distributional shift should be considered a specification problem, because as AIs get smarter they'll be able "&amp;"to handle tasks increasingly different from the ones they trained on, and also because scaling up a system is itself a form of distributional shift.
**Rohin's opinion:** I also like this framing. Unlike Richard, I am not worried about the absence of scal"&amp;"ability as a core concern -- scalability seems to be a desideratum about _solutions_, while the blog post aims to categorize _problems_. I'm also more agnostic about the categorization of distributional shift -- I can see it as both a specification proble"&amp;"m and a robustness problem, and want to figure out more precisely what I think the difference between specification and robustness is.")</f>
        <v>I like this framing - I think it's an improvement on the categorisation into specification and robustness problems from the AI safety gridworlds paper. In particular, it's useful to separate properties that we want an AI to have from mechanisms by which we might control or limit the damage from an AI that doesn't have those properties.
I do worry that this approach doesn't contain scalability as a core concern in the same way that IDA and agent foundations do. Solutions to AI safety problems which work for sub-human-level AI and even human-level AI may not translate to superintelligent AI. Relatedly, I think that maintaining the same goals under distributional shift should be considered a specification problem, because as AIs get smarter they'll be able to handle tasks increasingly different from the ones they trained on, and also because scaling up a system is itself a form of distributional shift.
**Rohin's opinion:** I also like this framing. Unlike Richard, I am not worried about the absence of scalability as a core concern -- scalability seems to be a desideratum about _solutions_, while the blog post aims to categorize _problems_. I'm also more agnostic about the categorization of distributional shift -- I can see it as both a specification problem and a robustness problem, and want to figure out more precisely what I think the difference between specification and robustness is.</v>
      </c>
    </row>
    <row r="1862">
      <c r="A1862" t="str">
        <f>IFERROR(__xludf.DUMMYFUNCTION("""COMPUTED_VALUE"""),"Technical agendas and prioritization")</f>
        <v>Technical agendas and prioritization</v>
      </c>
      <c r="B1862" t="str">
        <f>IFERROR(__xludf.DUMMYFUNCTION("""COMPUTED_VALUE"""),"Highlight")</f>
        <v>Highlight</v>
      </c>
      <c r="C1862" s="3" t="str">
        <f>IFERROR(__xludf.DUMMYFUNCTION("""COMPUTED_VALUE"""),"Realism about rationality")</f>
        <v>Realism about rationality</v>
      </c>
      <c r="D1862" t="str">
        <f>IFERROR(__xludf.DUMMYFUNCTION("""COMPUTED_VALUE"""),"Richard Ngo")</f>
        <v>Richard Ngo</v>
      </c>
      <c r="E1862" t="str">
        <f>IFERROR(__xludf.DUMMYFUNCTION("""COMPUTED_VALUE"""),"LessWrong")</f>
        <v>LessWrong</v>
      </c>
      <c r="F1862">
        <f>IFERROR(__xludf.DUMMYFUNCTION("""COMPUTED_VALUE"""),2018.0)</f>
        <v>2018</v>
      </c>
      <c r="H1862" s="3" t="str">
        <f>IFERROR(__xludf.DUMMYFUNCTION("""COMPUTED_VALUE"""),"AN #25")</f>
        <v>AN #25</v>
      </c>
      <c r="I1862" t="str">
        <f>IFERROR(__xludf.DUMMYFUNCTION("""COMPUTED_VALUE"""),"Rohin")</f>
        <v>Rohin</v>
      </c>
      <c r="J1862" t="str">
        <f>IFERROR(__xludf.DUMMYFUNCTION("""COMPUTED_VALUE"""),"In the same way that moral realism claims that there is one true morality (even though we may not know it yet), rationality realism is the claim that there is one ""correct"" algorithm for rationality or intelligence. This post argues that many disagreeme"&amp;"nts can be traced back to differences on how much one identifies with the rationality realism mindset. For example, people who agree with rationality realism are more likely to think that there is a simple theoretical framework that captures intelligence,"&amp;" that there is an ""ideal"" decision theory, that certain types of moral reasoning are ""correct"", that having contradictory preferences or beliefs is really bad, etc. The author's skepticism about this mindset also makes them skeptical about agent found"&amp;"ations research.")</f>
        <v>In the same way that moral realism claims that there is one true morality (even though we may not know it yet), rationality realism is the claim that there is one "correct" algorithm for rationality or intelligence. This post argues that many disagreements can be traced back to differences on how much one identifies with the rationality realism mindset. For example, people who agree with rationality realism are more likely to think that there is a simple theoretical framework that captures intelligence, that there is an "ideal" decision theory, that certain types of moral reasoning are "correct", that having contradictory preferences or beliefs is really bad, etc. The author's skepticism about this mindset also makes them skeptical about agent foundations research.</v>
      </c>
      <c r="K1862" t="str">
        <f>IFERROR(__xludf.DUMMYFUNCTION("""COMPUTED_VALUE"""),"This does feel like an important generator of many disagreements I've had. I'd split rationality realism into two subcases -- whether you expect that there is a simple ""correct"" algorithm for computation-bounded rationality, and whether you expect there"&amp;" is only a simple ""correct"" algorithm for rationality given infinite compute, but the bounded computation case may be a lot messier. (I'm guessing almost all rationality realists fall in the latter category, but I'm not sure.)
I'd expect most of the pe"&amp;"ople working on reducing existential risk from AI to be much more realist about rationality, since we often start working on this based on astronomical waste arguments and utilitarianism, which seems very realist about preferences. (At least, this was the"&amp;" case for me.) This is worrying -- it seems plausible to me that there isn't a ""correct"" rationality or intelligence algorithm (even in the infinite compute case), but that we wouldn't realize this because people who believe that also wouldn't want to w"&amp;"ork on AI alignment.")</f>
        <v>This does feel like an important generator of many disagreements I've had. I'd split rationality realism into two subcases -- whether you expect that there is a simple "correct" algorithm for computation-bounded rationality, and whether you expect there is only a simple "correct" algorithm for rationality given infinite compute, but the bounded computation case may be a lot messier. (I'm guessing almost all rationality realists fall in the latter category, but I'm not sure.)
I'd expect most of the people working on reducing existential risk from AI to be much more realist about rationality, since we often start working on this based on astronomical waste arguments and utilitarianism, which seems very realist about preferences. (At least, this was the case for me.) This is worrying -- it seems plausible to me that there isn't a "correct" rationality or intelligence algorithm (even in the infinite compute case), but that we wouldn't realize this because people who believe that also wouldn't want to work on AI alignment.</v>
      </c>
    </row>
    <row r="1863">
      <c r="A1863" t="str">
        <f>IFERROR(__xludf.DUMMYFUNCTION("""COMPUTED_VALUE"""),"Technical agendas and prioritization")</f>
        <v>Technical agendas and prioritization</v>
      </c>
      <c r="B1863" t="str">
        <f>IFERROR(__xludf.DUMMYFUNCTION("""COMPUTED_VALUE"""),"Highlight")</f>
        <v>Highlight</v>
      </c>
      <c r="C1863" s="3" t="str">
        <f>IFERROR(__xludf.DUMMYFUNCTION("""COMPUTED_VALUE"""),"RFP: Measuring and forecasting risks")</f>
        <v>RFP: Measuring and forecasting risks</v>
      </c>
      <c r="D1863" t="str">
        <f>IFERROR(__xludf.DUMMYFUNCTION("""COMPUTED_VALUE"""),"Jacob Steinhardt")</f>
        <v>Jacob Steinhardt</v>
      </c>
      <c r="E1863" t="str">
        <f>IFERROR(__xludf.DUMMYFUNCTION("""COMPUTED_VALUE"""),"Open Philanthropy Website")</f>
        <v>Open Philanthropy Website</v>
      </c>
      <c r="F1863">
        <f>IFERROR(__xludf.DUMMYFUNCTION("""COMPUTED_VALUE"""),2021.0)</f>
        <v>2021</v>
      </c>
      <c r="H1863" s="3" t="str">
        <f>IFERROR(__xludf.DUMMYFUNCTION("""COMPUTED_VALUE"""),"AN #168")</f>
        <v>AN #168</v>
      </c>
      <c r="I1863" t="str">
        <f>IFERROR(__xludf.DUMMYFUNCTION("""COMPUTED_VALUE"""),"Rohin")</f>
        <v>Rohin</v>
      </c>
      <c r="J1863" t="str">
        <f>IFERROR(__xludf.DUMMYFUNCTION("""COMPUTED_VALUE"""),"Measurement and forecasting is useful for two reasons. First, it gives us empirical data that can improve our understanding and spur progress. Second, it can allow us to quantitatively compare the safety performance of different systems, which could enabl"&amp;"e the creation of safety standards. So what makes for a good measurement?
1. **Relevance to AI alignment:** The measurement exhibits a failure mode that becomes worse as models become larger, or tracks a potential capability that may emerge with further "&amp;"scale (which in turn could enable deception, hacking, resource acquisition, etc).
2. **Forward-looking:** The measurement helps us understand _future_ issues, not just those that exist today. Isolated examples of a phenomenon are good if we have nothing e"&amp;"lse, but we’d much prefer to have a systematic understanding of when a phenomenon occurs and how it tends to quantitatively increase or decrease with various factors. See for example &lt;@scaling laws@&gt;(@Scaling Laws for Neural Language Models@).
3. **Rich d"&amp;"ata source:** Not all trends in MNIST generalize to CIFAR-10, and not all trends in CIFAR-10 generalize to ImageNet. Measurements on data sources with rich factors of variation are more likely to give general insights.
4. **Soundness and quality:** This i"&amp;"s a general category for things like “do we know that the signal isn’t overwhelmed by the noise” and “are there any reasons that the measurement might produce false positives or false negatives”.
What sorts of things might you measure?
1. As you scale u"&amp;"p task complexity, how much do you need to scale up human-labeled data to continue to maintain good performance and avoid reward hacking? If you fail at this and there are imperfections in the reward, how bad does this become?
2. What changes do we observ"&amp;"e based on changes in the _quality_ of the human feedback (e.g. getting feedback from amateurs vs experts)? This could give us information about the acceptable “difference in intelligence” between a model and its supervisor.
3. What happens when models ar"&amp;"e pushed out of distribution along a factor of variation that was not varied in the pretraining data?
4. To what extent do models provide wrong or undesired outputs in contexts where they are capable of providing the right answer?")</f>
        <v>Measurement and forecasting is useful for two reasons. First, it gives us empirical data that can improve our understanding and spur progress. Second, it can allow us to quantitatively compare the safety performance of different systems, which could enable the creation of safety standards. So what makes for a good measurement?
1. **Relevance to AI alignment:** The measurement exhibits a failure mode that becomes worse as models become larger, or tracks a potential capability that may emerge with further scale (which in turn could enable deception, hacking, resource acquisition, etc).
2. **Forward-looking:** The measurement helps us understand _future_ issues, not just those that exist today. Isolated examples of a phenomenon are good if we have nothing else, but we’d much prefer to have a systematic understanding of when a phenomenon occurs and how it tends to quantitatively increase or decrease with various factors. See for example &lt;@scaling laws@&gt;(@Scaling Laws for Neural Language Models@).
3. **Rich data source:** Not all trends in MNIST generalize to CIFAR-10, and not all trends in CIFAR-10 generalize to ImageNet. Measurements on data sources with rich factors of variation are more likely to give general insights.
4. **Soundness and quality:** This is a general category for things like “do we know that the signal isn’t overwhelmed by the noise” and “are there any reasons that the measurement might produce false positives or false negatives”.
What sorts of things might you measure?
1. As you scale up task complexity, how much do you need to scale up human-labeled data to continue to maintain good performance and avoid reward hacking? If you fail at this and there are imperfections in the reward, how bad does this become?
2. What changes do we observe based on changes in the _quality_ of the human feedback (e.g. getting feedback from amateurs vs experts)? This could give us information about the acceptable “difference in intelligence” between a model and its supervisor.
3. What happens when models are pushed out of distribution along a factor of variation that was not varied in the pretraining data?
4. To what extent do models provide wrong or undesired outputs in contexts where they are capable of providing the right answer?</v>
      </c>
      <c r="K1863" t="str">
        <f>IFERROR(__xludf.DUMMYFUNCTION("""COMPUTED_VALUE"""),"Measurements generally seem great. One story for impact is that we have a measurement that we think is strongly correlated with x-risk, and we use that measurement to select an AI system that scores low on such a metric. This seems distinctly good and I t"&amp;"hink would in fact reduce x-risk! But I want to clarify that I don’t think it would convince me that the system was safe with high confidence. The conceptual arguments against high confidence in safety seem quite strong and not easily overcome by such mea"&amp;"surements. (I’m thinking of &lt;@objective robustness failures@&gt;(@2-D Robustness@) of the form “the model is trying to pursue a simple proxy, but behaves well on the training distribution until it can execute a treacherous turn”.)
You can also tell stories "&amp;"where the measurements reveal empirical facts that then help us have high confidence in safety, by allowing us to build better theories and arguments, which can rule out the conceptual arguments above.
Separately, these measurements are also useful as a "&amp;"form of legible evidence about risk to others who are more skeptical of conceptual arguments.")</f>
        <v>Measurements generally seem great. One story for impact is that we have a measurement that we think is strongly correlated with x-risk, and we use that measurement to select an AI system that scores low on such a metric. This seems distinctly good and I think would in fact reduce x-risk! But I want to clarify that I don’t think it would convince me that the system was safe with high confidence. The conceptual arguments against high confidence in safety seem quite strong and not easily overcome by such measurements. (I’m thinking of &lt;@objective robustness failures@&gt;(@2-D Robustness@) of the form “the model is trying to pursue a simple proxy, but behaves well on the training distribution until it can execute a treacherous turn”.)
You can also tell stories where the measurements reveal empirical facts that then help us have high confidence in safety, by allowing us to build better theories and arguments, which can rule out the conceptual arguments above.
Separately, these measurements are also useful as a form of legible evidence about risk to others who are more skeptical of conceptual arguments.</v>
      </c>
    </row>
    <row r="1864">
      <c r="A1864" t="str">
        <f>IFERROR(__xludf.DUMMYFUNCTION("""COMPUTED_VALUE"""),"Technical agendas and prioritization")</f>
        <v>Technical agendas and prioritization</v>
      </c>
      <c r="B1864" t="str">
        <f>IFERROR(__xludf.DUMMYFUNCTION("""COMPUTED_VALUE"""),"Highlight")</f>
        <v>Highlight</v>
      </c>
      <c r="C1864" s="3" t="str">
        <f>IFERROR(__xludf.DUMMYFUNCTION("""COMPUTED_VALUE"""),"RFP: Techniques for enhancing human feedback")</f>
        <v>RFP: Techniques for enhancing human feedback</v>
      </c>
      <c r="D1864" t="str">
        <f>IFERROR(__xludf.DUMMYFUNCTION("""COMPUTED_VALUE"""),"Ajeya Cotra")</f>
        <v>Ajeya Cotra</v>
      </c>
      <c r="E1864" t="str">
        <f>IFERROR(__xludf.DUMMYFUNCTION("""COMPUTED_VALUE"""),"Open Philanthropy Website")</f>
        <v>Open Philanthropy Website</v>
      </c>
      <c r="F1864">
        <f>IFERROR(__xludf.DUMMYFUNCTION("""COMPUTED_VALUE"""),2021.0)</f>
        <v>2021</v>
      </c>
      <c r="H1864" s="3" t="str">
        <f>IFERROR(__xludf.DUMMYFUNCTION("""COMPUTED_VALUE"""),"AN #168")</f>
        <v>AN #168</v>
      </c>
      <c r="I1864" t="str">
        <f>IFERROR(__xludf.DUMMYFUNCTION("""COMPUTED_VALUE"""),"Rohin")</f>
        <v>Rohin</v>
      </c>
      <c r="J1864" t="str">
        <f>IFERROR(__xludf.DUMMYFUNCTION("""COMPUTED_VALUE"""),"Consider a topic previously analyzed in &lt;@aligning narrowly superhuman models@&gt;(@The case for aligning narrowly superhuman models@): how can we use human feedback to train models to do what we want in cases where the models are _more_ knowledgeable than t"&amp;"he humans providing the feedback? A variety of techniques have been proposed to solve this problem, including &lt;@iterated amplification@&gt;(@Supervising strong learners by amplifying weak experts@), &lt;@debate@&gt;(@AI safety via debate@), &lt;@recursive reward mode"&amp;"ling@&gt;(@Scalable agent alignment via reward modeling@), &lt;@market making@&gt;(@AI safety via market making@), and [generalizing from short deliberations to long deliberations](https://ai-alignment.com/turning-reflection-up-to-11-1bd6171afd21). This RFP solici"&amp;"ts proposals that aim to test these or other mechanisms on existing systems. There are a variety of ways to set up the experiments so that the models are more knowledgeable than the humans providing the feedback, for example:
1. Train a language model to"&amp;" accurately explain things about a field that the feedback providers are not familiar with.
2. Train an RL agent to act well in an environment where the RL agent can observe more information than the feedback providers can.
3. Train a multilingual model t"&amp;"o translate between English and a foreign language that the feedback providers do not know.")</f>
        <v>Consider a topic previously analyzed in &lt;@aligning narrowly superhuman models@&gt;(@The case for aligning narrowly superhuman models@): how can we use human feedback to train models to do what we want in cases where the models are _more_ knowledgeable than the humans providing the feedback? A variety of techniques have been proposed to solve this problem, including &lt;@iterated amplification@&gt;(@Supervising strong learners by amplifying weak experts@), &lt;@debate@&gt;(@AI safety via debate@), &lt;@recursive reward modeling@&gt;(@Scalable agent alignment via reward modeling@), &lt;@market making@&gt;(@AI safety via market making@), and [generalizing from short deliberations to long deliberations](https://ai-alignment.com/turning-reflection-up-to-11-1bd6171afd21). This RFP solicits proposals that aim to test these or other mechanisms on existing systems. There are a variety of ways to set up the experiments so that the models are more knowledgeable than the humans providing the feedback, for example:
1. Train a language model to accurately explain things about a field that the feedback providers are not familiar with.
2. Train an RL agent to act well in an environment where the RL agent can observe more information than the feedback providers can.
3. Train a multilingual model to translate between English and a foreign language that the feedback providers do not know.</v>
      </c>
    </row>
    <row r="1865">
      <c r="A1865" t="str">
        <f>IFERROR(__xludf.DUMMYFUNCTION("""COMPUTED_VALUE"""),"Technical agendas and prioritization")</f>
        <v>Technical agendas and prioritization</v>
      </c>
      <c r="B1865" t="str">
        <f>IFERROR(__xludf.DUMMYFUNCTION("""COMPUTED_VALUE"""),"Highlight")</f>
        <v>Highlight</v>
      </c>
      <c r="C1865" s="3" t="str">
        <f>IFERROR(__xludf.DUMMYFUNCTION("""COMPUTED_VALUE"""),"RFP: Interpretability")</f>
        <v>RFP: Interpretability</v>
      </c>
      <c r="D1865" t="str">
        <f>IFERROR(__xludf.DUMMYFUNCTION("""COMPUTED_VALUE"""),"Chris Olah")</f>
        <v>Chris Olah</v>
      </c>
      <c r="E1865" t="str">
        <f>IFERROR(__xludf.DUMMYFUNCTION("""COMPUTED_VALUE"""),"Open Philanthropy Website")</f>
        <v>Open Philanthropy Website</v>
      </c>
      <c r="F1865">
        <f>IFERROR(__xludf.DUMMYFUNCTION("""COMPUTED_VALUE"""),2021.0)</f>
        <v>2021</v>
      </c>
      <c r="H1865" s="3" t="str">
        <f>IFERROR(__xludf.DUMMYFUNCTION("""COMPUTED_VALUE"""),"AN #168")</f>
        <v>AN #168</v>
      </c>
      <c r="I1865" t="str">
        <f>IFERROR(__xludf.DUMMYFUNCTION("""COMPUTED_VALUE"""),"Rohin")</f>
        <v>Rohin</v>
      </c>
      <c r="J1865" t="str">
        <f>IFERROR(__xludf.DUMMYFUNCTION("""COMPUTED_VALUE"""),"The author provides this one sentence summary: _We would like to see research building towards the ability to “reverse engineer"" trained neural networks into human-understandable algorithms, enabling auditors to catch unanticipated safety problems in the"&amp;"se models._
This RFP is primarily focused on an aspirational “intermediate” goal: to fully reverse engineer some modern neural network, such as an ImageNet classifier. (Despite the ambition, it is only an “intermediate” goal because what we would eventua"&amp;"lly need is a general method for _cheaply_ reverse engineering _any_ neural network.) The proposed areas of research are primarily inspired by the &lt;@Circuits line of work@&gt;(@Circuits Thread@):
1. **Discovering Features and Circuits:** This is the most ob"&amp;"vious approach to the aspirational goal. We simply “turn the crank” using existing tools to study new features and circuits, and this fairly often yields an interesting result that makes progress towards reverse engineering a neural network.
2. **Scaling "&amp;"Circuits to Larger Models:** So far the largest example of reverse engineering is [curve circuits](https://distill.pub/2020/circuits/curve-circuits/), with 50K parameters. Can we find examples of structure in the neural networks that allow us to drastical"&amp;"ly reduce the amount of effort required per parameter? (As examples, see [equivariance](https://distill.pub/2020/circuits/equivariance/) and [branch specialization](https://distill.pub/2020/circuits/branch-specialization/).)
3. **Resolving Polysemanticity"&amp;":** One of the core building blocks of the circuits approach is to identify a neuron with a concept, so that connections between neurons can be analyzed as connections between concepts. Unfortunately, some neurons are _polysemantic_, that is, they encode "&amp;"multiple different concepts. This greatly complicates analysis of the connections and circuits between these neurons. How can we deal with this potential obstacle?")</f>
        <v>The author provides this one sentence summary: _We would like to see research building towards the ability to “reverse engineer" trained neural networks into human-understandable algorithms, enabling auditors to catch unanticipated safety problems in these models._
This RFP is primarily focused on an aspirational “intermediate” goal: to fully reverse engineer some modern neural network, such as an ImageNet classifier. (Despite the ambition, it is only an “intermediate” goal because what we would eventually need is a general method for _cheaply_ reverse engineering _any_ neural network.) The proposed areas of research are primarily inspired by the &lt;@Circuits line of work@&gt;(@Circuits Thread@):
1. **Discovering Features and Circuits:** This is the most obvious approach to the aspirational goal. We simply “turn the crank” using existing tools to study new features and circuits, and this fairly often yields an interesting result that makes progress towards reverse engineering a neural network.
2. **Scaling Circuits to Larger Models:** So far the largest example of reverse engineering is [curve circuits](https://distill.pub/2020/circuits/curve-circuits/), with 50K parameters. Can we find examples of structure in the neural networks that allow us to drastically reduce the amount of effort required per parameter? (As examples, see [equivariance](https://distill.pub/2020/circuits/equivariance/) and [branch specialization](https://distill.pub/2020/circuits/branch-specialization/).)
3. **Resolving Polysemanticity:** One of the core building blocks of the circuits approach is to identify a neuron with a concept, so that connections between neurons can be analyzed as connections between concepts. Unfortunately, some neurons are _polysemantic_, that is, they encode multiple different concepts. This greatly complicates analysis of the connections and circuits between these neurons. How can we deal with this potential obstacle?</v>
      </c>
      <c r="K1865" t="str">
        <f>IFERROR(__xludf.DUMMYFUNCTION("""COMPUTED_VALUE"""),"The full RFP has many, many more points about these topics; it’s 8 pages of remarkably information-dense yet readable prose. If you’re at all interested in mechanistic interpretability, I recommend reading it in full.
This RFP also has the benefit of hav"&amp;"ing the most obvious pathway to impact: if we understand what algorithm neural networks are running, there’s a much better chance that we can catch any problems that arise, especially ones in which the neural network is deliberately optimizing against us."&amp;" It’s one of the few areas where nearly everyone agrees that further progress is especially valuable.")</f>
        <v>The full RFP has many, many more points about these topics; it’s 8 pages of remarkably information-dense yet readable prose. If you’re at all interested in mechanistic interpretability, I recommend reading it in full.
This RFP also has the benefit of having the most obvious pathway to impact: if we understand what algorithm neural networks are running, there’s a much better chance that we can catch any problems that arise, especially ones in which the neural network is deliberately optimizing against us. It’s one of the few areas where nearly everyone agrees that further progress is especially valuable.</v>
      </c>
    </row>
    <row r="1866">
      <c r="A1866" t="str">
        <f>IFERROR(__xludf.DUMMYFUNCTION("""COMPUTED_VALUE"""),"Technical agendas and prioritization")</f>
        <v>Technical agendas and prioritization</v>
      </c>
      <c r="B1866" t="str">
        <f>IFERROR(__xludf.DUMMYFUNCTION("""COMPUTED_VALUE"""),"Highlight")</f>
        <v>Highlight</v>
      </c>
      <c r="C1866" s="3" t="str">
        <f>IFERROR(__xludf.DUMMYFUNCTION("""COMPUTED_VALUE"""),"RFP: Truthful and honest AI")</f>
        <v>RFP: Truthful and honest AI</v>
      </c>
      <c r="D1866" t="str">
        <f>IFERROR(__xludf.DUMMYFUNCTION("""COMPUTED_VALUE"""),"Owain Evans")</f>
        <v>Owain Evans</v>
      </c>
      <c r="E1866" t="str">
        <f>IFERROR(__xludf.DUMMYFUNCTION("""COMPUTED_VALUE"""),"Open Philanthropy Website")</f>
        <v>Open Philanthropy Website</v>
      </c>
      <c r="F1866">
        <f>IFERROR(__xludf.DUMMYFUNCTION("""COMPUTED_VALUE"""),2021.0)</f>
        <v>2021</v>
      </c>
      <c r="H1866" s="3" t="str">
        <f>IFERROR(__xludf.DUMMYFUNCTION("""COMPUTED_VALUE"""),"AN #168")</f>
        <v>AN #168</v>
      </c>
      <c r="I1866" t="str">
        <f>IFERROR(__xludf.DUMMYFUNCTION("""COMPUTED_VALUE"""),"Rohin")</f>
        <v>Rohin</v>
      </c>
      <c r="J1866" t="str">
        <f>IFERROR(__xludf.DUMMYFUNCTION("""COMPUTED_VALUE"""),"This RFP outlines research projects on [Truthful AI](https://arxiv.org/abs/2110.06674) (summarized below). They fall under three main categories:
1. Increasing clarity about “truthfulness” and “honesty”. While there are some tentative definitions of thes"&amp;"e concepts, there is still more precision to be had: for example, how do we deal with statements with ambiguous meanings, or ones involving figurative language? What is the appropriate standard for _robustly_ truthful AI? It seems too strong to require th"&amp;"e AI system to never generate a false statement; for example it might misunderstand the meaning of a newly coined piece of jargon.
2. Creating benchmarks and tasks for Truthful AI, such as &lt;@TruthfulQA@&gt;(@TruthfulQA: Measuring How Models Mimic Human False"&amp;"hoods@), which checks for imitative falsehoods. This is not just meant to create a metric to improve on; it may also simply perform as a measurement. For example, we could &lt;@experimentally evaluate whether honesty generalizes@&gt;(@Experimentally evaluating "&amp;"whether honesty generalizes@), or explore how much truthfulness is reduced when adding in a task-specific objective.
3. Improving the truthfulness of models, for example by finetuning models on curated datasets of truthful utterances, finetuning on human "&amp;"feedback, using &lt;@debate@&gt;(@AI safety via debate@), etc.
Besides the societal benefits from truthful AI, building truthful AI systems can also help with AI alignment:
1. A truthful AI system can be used to supervise its own actions, by asking it whether "&amp;"its selected action was good.
2. A robustly truthful AI system could continue to do this after deployment, allowing for ongoing monitoring of the AI system.
3. Similarly, we could have a robustly truthful AI system supervise its own actions in hypothetica"&amp;"l scenarios, to make it more robustly aligned.")</f>
        <v>This RFP outlines research projects on [Truthful AI](https://arxiv.org/abs/2110.06674) (summarized below). They fall under three main categories:
1. Increasing clarity about “truthfulness” and “honesty”. While there are some tentative definitions of these concepts, there is still more precision to be had: for example, how do we deal with statements with ambiguous meanings, or ones involving figurative language? What is the appropriate standard for _robustly_ truthful AI? It seems too strong to require the AI system to never generate a false statement; for example it might misunderstand the meaning of a newly coined piece of jargon.
2. Creating benchmarks and tasks for Truthful AI, such as &lt;@TruthfulQA@&gt;(@TruthfulQA: Measuring How Models Mimic Human Falsehoods@), which checks for imitative falsehoods. This is not just meant to create a metric to improve on; it may also simply perform as a measurement. For example, we could &lt;@experimentally evaluate whether honesty generalizes@&gt;(@Experimentally evaluating whether honesty generalizes@), or explore how much truthfulness is reduced when adding in a task-specific objective.
3. Improving the truthfulness of models, for example by finetuning models on curated datasets of truthful utterances, finetuning on human feedback, using &lt;@debate@&gt;(@AI safety via debate@), etc.
Besides the societal benefits from truthful AI, building truthful AI systems can also help with AI alignment:
1. A truthful AI system can be used to supervise its own actions, by asking it whether its selected action was good.
2. A robustly truthful AI system could continue to do this after deployment, allowing for ongoing monitoring of the AI system.
3. Similarly, we could have a robustly truthful AI system supervise its own actions in hypothetical scenarios, to make it more robustly aligned.</v>
      </c>
      <c r="K1866" t="str">
        <f>IFERROR(__xludf.DUMMYFUNCTION("""COMPUTED_VALUE"""),"While I agree that making AI systems truthful would then enable many alignment strategies, I’m actually more interested in the _methods_ by which we make AI systems truthful. Many of the ideas suggested in the RFP are ones that would apply to alignment mo"&amp;"re generally and aren’t particularly specific to truthful AI. So it seems like whatever techniques we used to build truthful AI could then be repurposed for alignment. In other words, I expect that the benefit to AI alignment of working on truthful AI is "&amp;"that it serves as a good test case for methods that aim to impose constraints upon an AI system. In this sense, it is a more challenging, larger version of the &lt;@”never describe someone getting injured” challenge@&gt;(@Redwood Research’s current project@). N"&amp;"ote that I am only talking about how this helps AI alignment; there are also beneficial effects on society from pursuing truthful AI that I haven’t talked about here.")</f>
        <v>While I agree that making AI systems truthful would then enable many alignment strategies, I’m actually more interested in the _methods_ by which we make AI systems truthful. Many of the ideas suggested in the RFP are ones that would apply to alignment more generally and aren’t particularly specific to truthful AI. So it seems like whatever techniques we used to build truthful AI could then be repurposed for alignment. In other words, I expect that the benefit to AI alignment of working on truthful AI is that it serves as a good test case for methods that aim to impose constraints upon an AI system. In this sense, it is a more challenging, larger version of the &lt;@”never describe someone getting injured” challenge@&gt;(@Redwood Research’s current project@). Note that I am only talking about how this helps AI alignment; there are also beneficial effects on society from pursuing truthful AI that I haven’t talked about here.</v>
      </c>
    </row>
    <row r="1867">
      <c r="A1867" t="str">
        <f>IFERROR(__xludf.DUMMYFUNCTION("""COMPUTED_VALUE"""),"Technical agendas and prioritization")</f>
        <v>Technical agendas and prioritization</v>
      </c>
      <c r="B1867" t="str">
        <f>IFERROR(__xludf.DUMMYFUNCTION("""COMPUTED_VALUE"""),"Highlight")</f>
        <v>Highlight</v>
      </c>
      <c r="C1867" s="3" t="str">
        <f>IFERROR(__xludf.DUMMYFUNCTION("""COMPUTED_VALUE"""),"Unsolved Problems in ML Safety")</f>
        <v>Unsolved Problems in ML Safety</v>
      </c>
      <c r="D1867" t="str">
        <f>IFERROR(__xludf.DUMMYFUNCTION("""COMPUTED_VALUE"""),"Dan Hendrycks, Nicholas Carlini, John Schulman, and Jacob Steinhardt")</f>
        <v>Dan Hendrycks, Nicholas Carlini, John Schulman, and Jacob Steinhardt</v>
      </c>
      <c r="E1867" t="str">
        <f>IFERROR(__xludf.DUMMYFUNCTION("""COMPUTED_VALUE"""),"arXiv")</f>
        <v>arXiv</v>
      </c>
      <c r="F1867">
        <f>IFERROR(__xludf.DUMMYFUNCTION("""COMPUTED_VALUE"""),2021.0)</f>
        <v>2021</v>
      </c>
      <c r="H1867" s="3" t="str">
        <f>IFERROR(__xludf.DUMMYFUNCTION("""COMPUTED_VALUE"""),"AN #167")</f>
        <v>AN #167</v>
      </c>
      <c r="I1867" t="str">
        <f>IFERROR(__xludf.DUMMYFUNCTION("""COMPUTED_VALUE"""),"Dan Hendrycks")</f>
        <v>Dan Hendrycks</v>
      </c>
      <c r="J1867" t="str">
        <f>IFERROR(__xludf.DUMMYFUNCTION("""COMPUTED_VALUE"""),"To make the case for safety to the broader machine learning research community, this paper provides a revised and expanded collection of concrete technical safety research problems, namely:
1. Robustness: Create models that are resilient to adversaries, u"&amp;"nusual situations, and Black Swan events.
2. Monitoring: Detect malicious use, monitor predictions, and discover unexpected model functionality.
3. Alignment: Build models that represent and safely optimize hard-to-specify human values.
4. External Safety"&amp;": Use ML to address risks to how ML systems are handled, including cyberwarfare and global turbulence.
Throughout, the paper attempts to clarify the problems’ motivation and provide concrete project ideas.")</f>
        <v>To make the case for safety to the broader machine learning research community, this paper provides a revised and expanded collection of concrete technical safety research problems, namely:
1. Robustness: Create models that are resilient to adversaries, unusual situations, and Black Swan events.
2. Monitoring: Detect malicious use, monitor predictions, and discover unexpected model functionality.
3. Alignment: Build models that represent and safely optimize hard-to-specify human values.
4. External Safety: Use ML to address risks to how ML systems are handled, including cyberwarfare and global turbulence.
Throughout, the paper attempts to clarify the problems’ motivation and provide concrete project ideas.</v>
      </c>
      <c r="K1867" t="str">
        <f>IFERROR(__xludf.DUMMYFUNCTION("""COMPUTED_VALUE"""),"My coauthors and I wrote this paper with the ML research community as our target audience. Here are some thoughts on this topic:
1. The document includes numerous problems that, if left unsolved, would imply that ML systems are unsafe. We need the effort"&amp;" of thousands of researchers to address all of them. This means that the main safety discussions cannot stay within the confines of the relatively small EA community. I think we should aim to have over one third of the ML research community work on safety"&amp;" problems. We need the broader community to treat AI safety at least as seriously as safety for nuclear power plants.
2. To grow the ML safety research community, we need to suggest problems that can progressively build the community and organically grow"&amp;" support for elevating safety standards within the existing research ecosystem. Research agendas that pertain to AGI exclusively will not scale sufficiently, and such research will simply not get enough market share in time. If we do not get the machine l"&amp;"earning community on board with proactively mitigating risks that already exist, we will have a harder time getting them to mitigate less familiar and unprecedented risks. Rather than try to win over the community with alignment philosophy arguments, I'll"&amp;" try winning them over with interesting problems and try to make work towards safer systems rewarded with prestige. 
3. The benefits of a larger ML safety community are numerous. They can decrease the cost of safety methods and increase the propensity to"&amp;" adopt them. Moreover, to ensure that ML systems have desirable properties, it is necessary to rapidly accumulate incremental improvements, but this requires substantial growth since such gains cannot be produced by just a few card-carrying x-risk researc"&amp;"hers with the purest intentions.
4. The community will fail to grow if we ignore near-term concerns or actively exclude or sneer at people who work on problems that are useful for both near- and long-term safety (such as adversaries). The alignment commu"&amp;"nity will need to stop engaging in textbook territorialism and welcome serious hypercompetent researchers who do not post on internet forums or who happen not to subscribe to effective altruism. (We include a community strategy in the Appendix.)
5. We fo"&amp;"cus on reinforcement learning but also deep learning. Most of the machine learning research community studies deep learning (e.g., text processing, vision) and does not use, say, Bellman equations or PPO. While existentially catastrophic failures will lik"&amp;"ely require competent sequential decision-making agents, the relevant problems and solutions can often be better studied outside of gridworlds and MuJoCo. There is much useful safety research to be done that does not need to be cast as a reinforcement lea"&amp;"rning problem.
6. To prevent alienating readers, we did not use phrases such as ""AGI."" AGI-exclusive research will not scale; for most academics and many industry researchers, it's a nonstarter. Likewise, to prevent needless dismissiveness, we kept x-r"&amp;"isks implicit, only hinted at them, or used the phrase ""permanent catastrophe."" 
I would have personally enjoyed discussing at length how anomaly detection is an indispensable tool for reducing x-risks from [Black Balls](https://www.nickbostrom.com/pape"&amp;"rs/vulnerable.pdf), engineered microorganisms, and deceptive ML systems.
Here are how the problems relate to x-risk:
Adversarial Robustness: This is needed for proxy gaming. ML systems encoding proxies must become more robust to optimizers, which is to "&amp;"say they must become more adversarially robust. We make this connection explicit at the bottom of page 9.
Black Swans and Tail Risks: It's hard to be safe without high reliability. It's not obvious we'll achieve high reliability even by the time we have s"&amp;"ystems that are superhuman in important respects. Even though MNIST is solved for typical inputs, we still do not even have an MNIST classifier for atypical inputs that is reliable! Moreover, if optimizing agents become unreliable in the face of novel or "&amp;"extreme events, they could start heavily optimizing the wrong thing. Models accidentally going off the rails poses an x-risk if they are sufficiently powerful (this is related to ""competent errors"" and ""treacherous turns""). If this problem is not solv"&amp;"ed, optimizers can use these weaknesses; this is a simpler problem on the way to adversarial robustness.
Anomaly and Malicious Use Detection: This is an indispensable tool for detecting proxy gaming, [Black Balls](https://www.nickbostrom.com/papers/vulner"&amp;"able.pdf), engineered microorganisms that present bio x-risks, malicious users who may misalign a model, deceptive ML systems, and rogue ML systems.
Representative Outputs: Making models honest is a way to avoid many treacherous turns.
Hidden Model Functi"&amp;"onality: This also helps avoid treacherous turns. Backdoors is a potentially useful related problem, as it is about detecting latent but potential sharp changes in behavior.
Value Learning: Understanding utilities is difficult even for humans. Powerful op"&amp;"timizers will need to achieve a certain, as-of-yet unclear level of superhuman performance at learning our values.
Translating Values to Action: Successfully prodding models to optimize our values is necessary for safe outcomes.
Proxy Gaming: Obvious.
Val"&amp;"ue Clarification: This is the philosophy bot section. We will need to decide what values to pursue. If we decide poorly, we may lock in or destroy what is of value. It is also possible that there is an ongoing moral catastrophe, which we would not want to"&amp;" replicate across the cosmos.
Unintended Consequences: This should help models not accidentally work against our values.
ML for Cybersecurity: If you believe that AI governance is valuable and that global turbulence risks can increase risks of terrible ou"&amp;"tcomes, this section is also relevant. Even if some of the components of ML systems are safe, they can become unsafe when traditional software vulnerabilities enable others to control their behavior. Moreover, traditional software vulnerabilities may lead"&amp;" to the proliferation of powerful advanced models, and this may be worse than proliferating nuclear weapons.
Informed Decision Making: We want to avoid decision making based on unreliable gut reactions during a time of crisis. This reduces risks of poor g"&amp;"overnance of advanced systems.
Here are some other notes:
1. We use systems theory to motivate inner optimization as we expect this motivation will be more convincing to others.
2. Rather than having a broad call for ""interpretability,"" we focus on s"&amp;"pecific transparency-related problems that are more tractable and neglected. (See the Appendix for a table assessing importance, tractability, and neglectedness.) For example, we include sections on making models honest and detecting emergent functionalit"&amp;"y.
3. The ""External Safety"" section can also be thought of as technical research for reducing ""Governance"" risks. For readers mostly concerned about AI risks from global turbulence, there still is technical research that can be done.
Here are some o"&amp;"bservations while writing the document:
1. Some approaches that were previously very popular are currently neglected, such as inverse reinforcement learning. This may be due to currently low tractability.
2. Five years ago, I started explicitly brainsto"&amp;"rming the content for this document. I think it took the whole time for this document to take shape. Moreover, if this were written last fall, the document would be far more confused, since it took around a year after GPT-3 to become reoriented; writing t"&amp;"hese types of documents shortly after a paradigm shift may be too hasty.
3. When collecting feedback, it was not uncommon for ""in-the-know"" researchers to make opposite suggestions. Some people thought some of the problems in the Alignment section were"&amp;" unimportant, while others thought they were the most critical. We attempted to include most research directions.")</f>
        <v>My coauthors and I wrote this paper with the ML research community as our target audience. Here are some thoughts on this topic:
1. The document includes numerous problems that, if left unsolved, would imply that ML systems are unsafe. We need the effort of thousands of researchers to address all of them. This means that the main safety discussions cannot stay within the confines of the relatively small EA community. I think we should aim to have over one third of the ML research community work on safety problems. We need the broader community to treat AI safety at least as seriously as safety for nuclear power plants.
2. To grow the ML safety research community, we need to suggest problems that can progressively build the community and organically grow support for elevating safety standards within the existing research ecosystem. Research agendas that pertain to AGI exclusively will not scale sufficiently, and such research will simply not get enough market share in time. If we do not get the machine learning community on board with proactively mitigating risks that already exist, we will have a harder time getting them to mitigate less familiar and unprecedented risks. Rather than try to win over the community with alignment philosophy arguments, I'll try winning them over with interesting problems and try to make work towards safer systems rewarded with prestige. 
3. The benefits of a larger ML safety community are numerous. They can decrease the cost of safety methods and increase the propensity to adopt them. Moreover, to ensure that ML systems have desirable properties, it is necessary to rapidly accumulate incremental improvements, but this requires substantial growth since such gains cannot be produced by just a few card-carrying x-risk researchers with the purest intentions.
4. The community will fail to grow if we ignore near-term concerns or actively exclude or sneer at people who work on problems that are useful for both near- and long-term safety (such as adversaries). The alignment community will need to stop engaging in textbook territorialism and welcome serious hypercompetent researchers who do not post on internet forums or who happen not to subscribe to effective altruism. (We include a community strategy in the Appendix.)
5. We focus on reinforcement learning but also deep learning. Most of the machine learning research community studies deep learning (e.g., text processing, vision) and does not use, say, Bellman equations or PPO. While existentially catastrophic failures will likely require competent sequential decision-making agents, the relevant problems and solutions can often be better studied outside of gridworlds and MuJoCo. There is much useful safety research to be done that does not need to be cast as a reinforcement learning problem.
6. To prevent alienating readers, we did not use phrases such as "AGI." AGI-exclusive research will not scale; for most academics and many industry researchers, it's a nonstarter. Likewise, to prevent needless dismissiveness, we kept x-risks implicit, only hinted at them, or used the phrase "permanent catastrophe." 
I would have personally enjoyed discussing at length how anomaly detection is an indispensable tool for reducing x-risks from [Black Balls](https://www.nickbostrom.com/papers/vulnerable.pdf), engineered microorganisms, and deceptive ML systems.
Here are how the problems relate to x-risk:
Adversarial Robustness: This is needed for proxy gaming. ML systems encoding proxies must become more robust to optimizers, which is to say they must become more adversarially robust. We make this connection explicit at the bottom of page 9.
Black Swans and Tail Risks: It's hard to be safe without high reliability. It's not obvious we'll achieve high reliability even by the time we have systems that are superhuman in important respects. Even though MNIST is solved for typical inputs, we still do not even have an MNIST classifier for atypical inputs that is reliable! Moreover, if optimizing agents become unreliable in the face of novel or extreme events, they could start heavily optimizing the wrong thing. Models accidentally going off the rails poses an x-risk if they are sufficiently powerful (this is related to "competent errors" and "treacherous turns"). If this problem is not solved, optimizers can use these weaknesses; this is a simpler problem on the way to adversarial robustness.
Anomaly and Malicious Use Detection: This is an indispensable tool for detecting proxy gaming, [Black Balls](https://www.nickbostrom.com/papers/vulnerable.pdf), engineered microorganisms that present bio x-risks, malicious users who may misalign a model, deceptive ML systems, and rogue ML systems.
Representative Outputs: Making models honest is a way to avoid many treacherous turns.
Hidden Model Functionality: This also helps avoid treacherous turns. Backdoors is a potentially useful related problem, as it is about detecting latent but potential sharp changes in behavior.
Value Learning: Understanding utilities is difficult even for humans. Powerful optimizers will need to achieve a certain, as-of-yet unclear level of superhuman performance at learning our values.
Translating Values to Action: Successfully prodding models to optimize our values is necessary for safe outcomes.
Proxy Gaming: Obvious.
Value Clarification: This is the philosophy bot section. We will need to decide what values to pursue. If we decide poorly, we may lock in or destroy what is of value. It is also possible that there is an ongoing moral catastrophe, which we would not want to replicate across the cosmos.
Unintended Consequences: This should help models not accidentally work against our values.
ML for Cybersecurity: If you believe that AI governance is valuable and that global turbulence risks can increase risks of terrible outcomes, this section is also relevant. Even if some of the components of ML systems are safe, they can become unsafe when traditional software vulnerabilities enable others to control their behavior. Moreover, traditional software vulnerabilities may lead to the proliferation of powerful advanced models, and this may be worse than proliferating nuclear weapons.
Informed Decision Making: We want to avoid decision making based on unreliable gut reactions during a time of crisis. This reduces risks of poor governance of advanced systems.
Here are some other notes:
1. We use systems theory to motivate inner optimization as we expect this motivation will be more convincing to others.
2. Rather than having a broad call for "interpretability," we focus on specific transparency-related problems that are more tractable and neglected. (See the Appendix for a table assessing importance, tractability, and neglectedness.) For example, we include sections on making models honest and detecting emergent functionality.
3. The "External Safety" section can also be thought of as technical research for reducing "Governance" risks. For readers mostly concerned about AI risks from global turbulence, there still is technical research that can be done.
Here are some observations while writing the document:
1. Some approaches that were previously very popular are currently neglected, such as inverse reinforcement learning. This may be due to currently low tractability.
2. Five years ago, I started explicitly brainstorming the content for this document. I think it took the whole time for this document to take shape. Moreover, if this were written last fall, the document would be far more confused, since it took around a year after GPT-3 to become reoriented; writing these types of documents shortly after a paradigm shift may be too hasty.
3. When collecting feedback, it was not uncommon for "in-the-know" researchers to make opposite suggestions. Some people thought some of the problems in the Alignment section were unimportant, while others thought they were the most critical. We attempted to include most research directions.</v>
      </c>
    </row>
    <row r="1868">
      <c r="A1868" t="str">
        <f>IFERROR(__xludf.DUMMYFUNCTION("""COMPUTED_VALUE"""),"Technical agendas and prioritization")</f>
        <v>Technical agendas and prioritization</v>
      </c>
      <c r="B1868" t="str">
        <f>IFERROR(__xludf.DUMMYFUNCTION("""COMPUTED_VALUE"""),"Highlight")</f>
        <v>Highlight</v>
      </c>
      <c r="C1868" s="3" t="str">
        <f>IFERROR(__xludf.DUMMYFUNCTION("""COMPUTED_VALUE"""),"The case for aligning narrowly superhuman models")</f>
        <v>The case for aligning narrowly superhuman models</v>
      </c>
      <c r="D1868" t="str">
        <f>IFERROR(__xludf.DUMMYFUNCTION("""COMPUTED_VALUE"""),"Ajeya Cotra")</f>
        <v>Ajeya Cotra</v>
      </c>
      <c r="E1868" t="str">
        <f>IFERROR(__xludf.DUMMYFUNCTION("""COMPUTED_VALUE"""),"Alignment Forum")</f>
        <v>Alignment Forum</v>
      </c>
      <c r="F1868">
        <f>IFERROR(__xludf.DUMMYFUNCTION("""COMPUTED_VALUE"""),2021.0)</f>
        <v>2021</v>
      </c>
      <c r="H1868" s="3" t="str">
        <f>IFERROR(__xludf.DUMMYFUNCTION("""COMPUTED_VALUE"""),"AN #141")</f>
        <v>AN #141</v>
      </c>
      <c r="I1868" t="str">
        <f>IFERROR(__xludf.DUMMYFUNCTION("""COMPUTED_VALUE"""),"Rohin")</f>
        <v>Rohin</v>
      </c>
      <c r="J1868" t="str">
        <f>IFERROR(__xludf.DUMMYFUNCTION("""COMPUTED_VALUE"""),"One argument against work on AI safety is that [it is hard to do good work without feedback loops](https://www.jefftk.com/p/why-global-poverty). So how could we get feedback loops? The most obvious approach is to actually try to align strong models right "&amp;"now, in order to get practice with aligning models in the future. This post fleshes out what such an approach might look like. Note that I will not be covering all of the points mentioned in the post; if you find yourself skeptical, you may want to read t"&amp;"he full post as your question might be answered there.
The author specifically suggests that we work on **aligning narrowly superhuman models** to make them more useful. _Aligning_ a model roughly means harnessing the full capabilities of the model and o"&amp;"rienting these full capabilities towards helping humans. For example, GPT-3 presumably “knows” a lot about medicine and health. How can we get GPT-3 to apply this knowledge as best as possible to be maximally useful in answering user questions about healt"&amp;"h?
_Narrowly superhuman_ means that the model has more knowledge or “latent capability” than either its overseers or its users. In the example above, GPT-3 almost certainly has more medical knowledge than laypeople, so it is at least narrowly superhuman "&amp;"at “giving medical advice” relative to laypeople. (It might even be so relative to doctors, given how broad its knowledge is.)
&lt;@Learning to Summarize with Human Feedback@&gt; is a good example of what this could look like: that paper attempted to “bring ou"&amp;"t” GPT-3’s latent capability to write summaries, and outperformed the reference summaries written by humans. This sort of work will be needed for any new powerful model we train, and so it has a lot of potential for growing the field of people concerned a"&amp;"bout long-term risk.
Note that the focus here is on aligning _existing_ capabilities to make a model more useful, and so simply increasing capabilities doesn’t count. As a concrete example, just scaling up the model capacity or training data or compute w"&amp;"ould _not_ count as an example of “aligning narrowly superhuman models”, even though it might make the model more useful, since scaling increases raw capabilities without improving alignment. This makes it pretty different from what profit-maximizing comp"&amp;"anies would do by default: instead of baking in domain knowledge and simply scaling up models in order to solve the easiest profitable problems (as you would do if you wanted to maximize profit), work in this research area would look for general and scala"&amp;"ble techniques, would not be allowed to scale up models, and would select interestingly difficult problems.
Why is this a fruitful area of research? The author points out four main benefits:
1. Most importantly, the more we align systems ahead of time, t"&amp;"he more likely that researchers will be able to put thought and consideration into new issues like treacherous turns, rather than spending all their time putting out fires.
2. We can build practical know-how and infrastructure for alignment techniques lik"&amp;"e learning from human feedback.
3. As the world gets progressively faster and crazier, we’ll have better AI assistants helping us to navigate the world.
4. It improves our chances of discovering or verifying a long-term or “full” alignment solution.
See "&amp;"also [MIRI’s comments](https://www.alignmentforum.org/posts/AyfDnnAdjG7HHeD3d/miri-comments-on-cotra-s-case-for-aligning-narrowly), which were more positive than I expected.")</f>
        <v>One argument against work on AI safety is that [it is hard to do good work without feedback loops](https://www.jefftk.com/p/why-global-poverty). So how could we get feedback loops? The most obvious approach is to actually try to align strong models right now, in order to get practice with aligning models in the future. This post fleshes out what such an approach might look like. Note that I will not be covering all of the points mentioned in the post; if you find yourself skeptical, you may want to read the full post as your question might be answered there.
The author specifically suggests that we work on **aligning narrowly superhuman models** to make them more useful. _Aligning_ a model roughly means harnessing the full capabilities of the model and orienting these full capabilities towards helping humans. For example, GPT-3 presumably “knows” a lot about medicine and health. How can we get GPT-3 to apply this knowledge as best as possible to be maximally useful in answering user questions about health?
_Narrowly superhuman_ means that the model has more knowledge or “latent capability” than either its overseers or its users. In the example above, GPT-3 almost certainly has more medical knowledge than laypeople, so it is at least narrowly superhuman at “giving medical advice” relative to laypeople. (It might even be so relative to doctors, given how broad its knowledge is.)
&lt;@Learning to Summarize with Human Feedback@&gt; is a good example of what this could look like: that paper attempted to “bring out” GPT-3’s latent capability to write summaries, and outperformed the reference summaries written by humans. This sort of work will be needed for any new powerful model we train, and so it has a lot of potential for growing the field of people concerned about long-term risk.
Note that the focus here is on aligning _existing_ capabilities to make a model more useful, and so simply increasing capabilities doesn’t count. As a concrete example, just scaling up the model capacity or training data or compute would _not_ count as an example of “aligning narrowly superhuman models”, even though it might make the model more useful, since scaling increases raw capabilities without improving alignment. This makes it pretty different from what profit-maximizing companies would do by default: instead of baking in domain knowledge and simply scaling up models in order to solve the easiest profitable problems (as you would do if you wanted to maximize profit), work in this research area would look for general and scalable techniques, would not be allowed to scale up models, and would select interestingly difficult problems.
Why is this a fruitful area of research? The author points out four main benefits:
1. Most importantly, the more we align systems ahead of time, the more likely that researchers will be able to put thought and consideration into new issues like treacherous turns, rather than spending all their time putting out fires.
2. We can build practical know-how and infrastructure for alignment techniques like learning from human feedback.
3. As the world gets progressively faster and crazier, we’ll have better AI assistants helping us to navigate the world.
4. It improves our chances of discovering or verifying a long-term or “full” alignment solution.
See also [MIRI’s comments](https://www.alignmentforum.org/posts/AyfDnnAdjG7HHeD3d/miri-comments-on-cotra-s-case-for-aligning-narrowly), which were more positive than I expected.</v>
      </c>
      <c r="K1868" t="str">
        <f>IFERROR(__xludf.DUMMYFUNCTION("""COMPUTED_VALUE"""),"I am very sympathetic to the argument that we should be getting experience with aligning powerful models right now, and would be excited to see more work along these lines. As the post mentions, I personally see this sort of work as a strong baseline, and"&amp;" while I currently think that the conceptual work I’m doing is more important, I wouldn’t be surprised if I worked on a project in this vein within the next two years.
I especially agree with the point that this is one of the most scalable forms of resea"&amp;"rch, and am personally working on a [benchmark](https://docs.google.com/document/d/18MEmQ4aA1zdZHBKG5fLeISYoFAv1IfUozWZ5JYnq-bY/edit) meant to incentivize this sort of research for similar reasons.")</f>
        <v>I am very sympathetic to the argument that we should be getting experience with aligning powerful models right now, and would be excited to see more work along these lines. As the post mentions, I personally see this sort of work as a strong baseline, and while I currently think that the conceptual work I’m doing is more important, I wouldn’t be surprised if I worked on a project in this vein within the next two years.
I especially agree with the point that this is one of the most scalable forms of research, and am personally working on a [benchmark](https://docs.google.com/document/d/18MEmQ4aA1zdZHBKG5fLeISYoFAv1IfUozWZ5JYnq-bY/edit) meant to incentivize this sort of research for similar reasons.</v>
      </c>
      <c r="M1868" s="3" t="str">
        <f>IFERROR(__xludf.DUMMYFUNCTION("""COMPUTED_VALUE"""),"MIRI comments")</f>
        <v>MIRI comments</v>
      </c>
    </row>
    <row r="1869">
      <c r="A1869" t="str">
        <f>IFERROR(__xludf.DUMMYFUNCTION("""COMPUTED_VALUE"""),"Technical agendas and prioritization")</f>
        <v>Technical agendas and prioritization</v>
      </c>
      <c r="B1869" t="str">
        <f>IFERROR(__xludf.DUMMYFUNCTION("""COMPUTED_VALUE"""),"Highlight")</f>
        <v>Highlight</v>
      </c>
      <c r="C1869" s="3" t="str">
        <f>IFERROR(__xludf.DUMMYFUNCTION("""COMPUTED_VALUE"""),"Some AI research areas and their relevance to existential safety")</f>
        <v>Some AI research areas and their relevance to existential safety</v>
      </c>
      <c r="D1869" t="str">
        <f>IFERROR(__xludf.DUMMYFUNCTION("""COMPUTED_VALUE"""),"Andrew Critch")</f>
        <v>Andrew Critch</v>
      </c>
      <c r="E1869" t="str">
        <f>IFERROR(__xludf.DUMMYFUNCTION("""COMPUTED_VALUE"""),"Alignment Forum")</f>
        <v>Alignment Forum</v>
      </c>
      <c r="F1869">
        <f>IFERROR(__xludf.DUMMYFUNCTION("""COMPUTED_VALUE"""),2020.0)</f>
        <v>2020</v>
      </c>
      <c r="H1869" s="3" t="str">
        <f>IFERROR(__xludf.DUMMYFUNCTION("""COMPUTED_VALUE"""),"AN #128")</f>
        <v>AN #128</v>
      </c>
      <c r="I1869" t="str">
        <f>IFERROR(__xludf.DUMMYFUNCTION("""COMPUTED_VALUE"""),"Rohin")</f>
        <v>Rohin</v>
      </c>
      <c r="J1869" t="str">
        <f>IFERROR(__xludf.DUMMYFUNCTION("""COMPUTED_VALUE"""),"This long post explains the author’s beliefs about a variety of research topics relevant to AI existential safety. First, let’s look at some definitions.
While AI safety alone just means getting AI systems to avoid risks (including e.g. the risk of a sel"&amp;"f-driving car crashing), _AI existential safety_ means preventing AI systems from posing risks at least as bad as human extinction. _AI alignment_ on the other hand is about getting an AI system to try to / succeed at doing what a person or institution wa"&amp;"nts them to do. (The “try” version is _intent alignment_, while the “succeed” version is _impact alignment_.)
Note that AI alignment is not the same thing as AI existential safety. In addition, the author makes the stronger claim that it is insufficient "&amp;"to guarantee AI existential safety, because AI alignment tends to focus on situations involving a single human and a single AI system, whereas AI existential safety requires navigating systems involving multiple humans and multiple AI systems. Just as AI "&amp;"alignment researchers worry that work on AI capabilities for useful systems doesn’t engage enough with the difficulty of alignment, the author worries that work on alignment doesn’t engage enough with the difficulty of multiagent systems.
The author also"&amp;" defines _AI ethics_ as the principles that AI developers and systems should follow, and _AI governance_ as identifying _and enforcing_ norms for AI developers and systems to follow. While ethics research may focus on resolving disagreements, governance w"&amp;"ill be more focused on finding agreeable principles and putting them into practice.
Let’s now turn to how to achieve AI existential safety. The main mechanism the author sees is to _anticipate, legitimize, and fulfill governance demands_ for AI technolog"&amp;"y. Roughly, governance demands are those properties which there are social and political pressures for, such as “AI systems should be fair” or “AI systems should not lead to human extinction”. If we can _anticipate_ these demands in advance, then we can d"&amp;"o technical work on how to _fulfill_ or meet these demands, which in turn _legitimizes_ them, that is, it makes it clearer that the demand can be fulfilled and so makes it easier to create common knowledge that it is likely to become a legal or profession"&amp;"al standard.
We then turn to various different fields of research, which the author ranks on three axes: helpfulness to AI existential safety (including potential negative effects), educational value, and neglectedness. Note that for educational value, t"&amp;"he author is estimating the benefits of conducting research on the topic _to the researcher_, and not to (say) the rest of the field. I’ll only focus on helpfulness to AI existential safety below, since that’s what I’m most interested in (it’s where the m"&amp;"ost disagreement is, and so where new arguments are most useful), but I do think all three axes are important.
The author ranks both preference learning and out of distribution robustness lowest on helpfulness to existential safety (1/10), primarily beca"&amp;"use companies already have a strong incentive to have robust AI systems that understand preferences.
Multiagent reinforcement learning (MARL) comes only slightly higher (2/10), because since it doesn’t involve humans its main purpose seems to be to deplo"&amp;"y fleets of agents that may pose risks to humanity. It is possible that MARL research could help by producing &lt;@cooperative agents@&gt;(@Cooperative AI Workshop@), but even this carries its own risks.
Agent foundations is especially dual-use in this framing"&amp;", because it can help us understand the big multiagent system of interactions, and there isn’t a restriction on how that understanding could be used. It consequently gets a low score (3/10), that is a combination of “targeted applications could be very us"&amp;"eful” and “it could lead to powerful harmful forces”.
Minimizing side effects starts to address the challenges the author sees as important (4/10): in particular, it can allow us both to prevent accidents, where an AI system “messes up”, and it can help "&amp;"us prevent externalities (harms to people other than the primary stakeholders), which are one of the most challenging issues in regulating multiagent systems.
Fairness is valuable for the obvious reason: it is a particular governance demand that we have "&amp;"anticipated, and research on it now will help fulfill and legitimize that demand. In addition, research on fairness helps get people to think at a societal scale, and to think about the context in which AI systems are deployed. It may also help prevent ce"&amp;"ntralization of power from deployment of AI systems, since that would be an unfair outcome.
The author would love it if AI/ML pivoted to frequently think about real-life humans and their desires, values and vulnerabilities. Human-robot interaction (HRI) "&amp;"is a great way to cause more of that to happen, and that alone is valuable enough that the author assigns it 6/10, tying it with fairness.
As we deploy more and more powerful AI systems, things will eventually happen too quickly for humans to monitor. As"&amp;" a result, we will need to also automate the process of governance itself. The area of computational social choice is well-posed to make this happen (7/10), though certainly current proposals are insufficient and more research is needed.
Accountability i"&amp;"n ML is good (8/10) primarily because as we make ML systems accountable, we will likely also start to make tech companies accountable, which seems important for governance. In addition, in a &lt;@CAIS@&gt;(@Reframing Superintelligence: Comprehensive AI Services"&amp;" as General Intelligence@) scenario, better accountability mechanisms seem likely to help in ensuring that the various AI systems remain accountable, and thus safer, to human society.
Finally, interpretability is useful (8/10) for the obvious reasons: it"&amp;" allows developers to more accurately judge the properties of systems they build, and helps in holding developers and systems accountable. But the most important reason may be that interpretable systems can make it significantly easier for competing insti"&amp;"tutions and nations to establish cooperation around AI-heavy operations.")</f>
        <v>This long post explains the author’s beliefs about a variety of research topics relevant to AI existential safety. First, let’s look at some definitions.
While AI safety alone just means getting AI systems to avoid risks (including e.g. the risk of a self-driving car crashing), _AI existential safety_ means preventing AI systems from posing risks at least as bad as human extinction. _AI alignment_ on the other hand is about getting an AI system to try to / succeed at doing what a person or institution wants them to do. (The “try” version is _intent alignment_, while the “succeed” version is _impact alignment_.)
Note that AI alignment is not the same thing as AI existential safety. In addition, the author makes the stronger claim that it is insufficient to guarantee AI existential safety, because AI alignment tends to focus on situations involving a single human and a single AI system, whereas AI existential safety requires navigating systems involving multiple humans and multiple AI systems. Just as AI alignment researchers worry that work on AI capabilities for useful systems doesn’t engage enough with the difficulty of alignment, the author worries that work on alignment doesn’t engage enough with the difficulty of multiagent systems.
The author also defines _AI ethics_ as the principles that AI developers and systems should follow, and _AI governance_ as identifying _and enforcing_ norms for AI developers and systems to follow. While ethics research may focus on resolving disagreements, governance will be more focused on finding agreeable principles and putting them into practice.
Let’s now turn to how to achieve AI existential safety. The main mechanism the author sees is to _anticipate, legitimize, and fulfill governance demands_ for AI technology. Roughly, governance demands are those properties which there are social and political pressures for, such as “AI systems should be fair” or “AI systems should not lead to human extinction”. If we can _anticipate_ these demands in advance, then we can do technical work on how to _fulfill_ or meet these demands, which in turn _legitimizes_ them, that is, it makes it clearer that the demand can be fulfilled and so makes it easier to create common knowledge that it is likely to become a legal or professional standard.
We then turn to various different fields of research, which the author ranks on three axes: helpfulness to AI existential safety (including potential negative effects), educational value, and neglectedness. Note that for educational value, the author is estimating the benefits of conducting research on the topic _to the researcher_, and not to (say) the rest of the field. I’ll only focus on helpfulness to AI existential safety below, since that’s what I’m most interested in (it’s where the most disagreement is, and so where new arguments are most useful), but I do think all three axes are important.
The author ranks both preference learning and out of distribution robustness lowest on helpfulness to existential safety (1/10), primarily because companies already have a strong incentive to have robust AI systems that understand preferences.
Multiagent reinforcement learning (MARL) comes only slightly higher (2/10), because since it doesn’t involve humans its main purpose seems to be to deploy fleets of agents that may pose risks to humanity. It is possible that MARL research could help by producing &lt;@cooperative agents@&gt;(@Cooperative AI Workshop@), but even this carries its own risks.
Agent foundations is especially dual-use in this framing, because it can help us understand the big multiagent system of interactions, and there isn’t a restriction on how that understanding could be used. It consequently gets a low score (3/10), that is a combination of “targeted applications could be very useful” and “it could lead to powerful harmful forces”.
Minimizing side effects starts to address the challenges the author sees as important (4/10): in particular, it can allow us both to prevent accidents, where an AI system “messes up”, and it can help us prevent externalities (harms to people other than the primary stakeholders), which are one of the most challenging issues in regulating multiagent systems.
Fairness is valuable for the obvious reason: it is a particular governance demand that we have anticipated, and research on it now will help fulfill and legitimize that demand. In addition, research on fairness helps get people to think at a societal scale, and to think about the context in which AI systems are deployed. It may also help prevent centralization of power from deployment of AI systems, since that would be an unfair outcome.
The author would love it if AI/ML pivoted to frequently think about real-life humans and their desires, values and vulnerabilities. Human-robot interaction (HRI) is a great way to cause more of that to happen, and that alone is valuable enough that the author assigns it 6/10, tying it with fairness.
As we deploy more and more powerful AI systems, things will eventually happen too quickly for humans to monitor. As a result, we will need to also automate the process of governance itself. The area of computational social choice is well-posed to make this happen (7/10), though certainly current proposals are insufficient and more research is needed.
Accountability in ML is good (8/10) primarily because as we make ML systems accountable, we will likely also start to make tech companies accountable, which seems important for governance. In addition, in a &lt;@CAIS@&gt;(@Reframing Superintelligence: Comprehensive AI Services as General Intelligence@) scenario, better accountability mechanisms seem likely to help in ensuring that the various AI systems remain accountable, and thus safer, to human society.
Finally, interpretability is useful (8/10) for the obvious reasons: it allows developers to more accurately judge the properties of systems they build, and helps in holding developers and systems accountable. But the most important reason may be that interpretable systems can make it significantly easier for competing institutions and nations to establish cooperation around AI-heavy operations.</v>
      </c>
      <c r="K1869" t="str">
        <f>IFERROR(__xludf.DUMMYFUNCTION("""COMPUTED_VALUE"""),"I liked this post: it’s a good exploration of what you might do if your goal was to work on technical approaches to future governance challenges; that seems valuable and I broadly agree with it (though I did have some nitpicks in [this comment](https://ww"&amp;"w.alignmentforum.org/posts/hvGoYXi2kgnS3vxqb/some-ai-research-areas-and-their-relevance-to-existential-1?commentId=LjvvW3xddPTXaequB)).
There is then an additional question of whether the best thing to do to improve AI existential safety is to work on te"&amp;"chnical approaches to governance challenges. There’s some pushback on this claim in the comments that I agree with; I recommend reading through it. It seems like the core disagreement is on the relative importance of risks: in particular, it sounds like t"&amp;"he author thinks that existing incentives for preference learning and out-of-distribution robustness are strong enough that we mostly don’t have to worry about it, whereas governance will be much more challenging; I disagree with at least that relative ra"&amp;"nking.
It’s possible that we agree on the strength of existing incentives -- I’ve &lt;@claimed@&gt;(@Conversation with Rohin Shah@) a risk of 10% for existentially bad failures of intent alignment if there is no longtermist intervention, primarily because of e"&amp;"xisting strong incentives. That could be consistent with this post, in which case we’d disagree primarily on whether the “default” governance solutions are sufficient for handling AI risk, where I’m a lot more optimistic than the author.")</f>
        <v>I liked this post: it’s a good exploration of what you might do if your goal was to work on technical approaches to future governance challenges; that seems valuable and I broadly agree with it (though I did have some nitpicks in [this comment](https://www.alignmentforum.org/posts/hvGoYXi2kgnS3vxqb/some-ai-research-areas-and-their-relevance-to-existential-1?commentId=LjvvW3xddPTXaequB)).
There is then an additional question of whether the best thing to do to improve AI existential safety is to work on technical approaches to governance challenges. There’s some pushback on this claim in the comments that I agree with; I recommend reading through it. It seems like the core disagreement is on the relative importance of risks: in particular, it sounds like the author thinks that existing incentives for preference learning and out-of-distribution robustness are strong enough that we mostly don’t have to worry about it, whereas governance will be much more challenging; I disagree with at least that relative ranking.
It’s possible that we agree on the strength of existing incentives -- I’ve &lt;@claimed@&gt;(@Conversation with Rohin Shah@) a risk of 10% for existentially bad failures of intent alignment if there is no longtermist intervention, primarily because of existing strong incentives. That could be consistent with this post, in which case we’d disagree primarily on whether the “default” governance solutions are sufficient for handling AI risk, where I’m a lot more optimistic than the author.</v>
      </c>
    </row>
    <row r="1870">
      <c r="A1870" t="str">
        <f>IFERROR(__xludf.DUMMYFUNCTION("""COMPUTED_VALUE"""),"Technical agendas and prioritization")</f>
        <v>Technical agendas and prioritization</v>
      </c>
      <c r="B1870" t="str">
        <f>IFERROR(__xludf.DUMMYFUNCTION("""COMPUTED_VALUE"""),"Highlight")</f>
        <v>Highlight</v>
      </c>
      <c r="C1870" s="3" t="str">
        <f>IFERROR(__xludf.DUMMYFUNCTION("""COMPUTED_VALUE"""),"Andrew Critch on AI Research Considerations for Human Existential Safety")</f>
        <v>Andrew Critch on AI Research Considerations for Human Existential Safety</v>
      </c>
      <c r="D1870" t="str">
        <f>IFERROR(__xludf.DUMMYFUNCTION("""COMPUTED_VALUE"""),"Lucas Perry and Andrew Critch")</f>
        <v>Lucas Perry and Andrew Critch</v>
      </c>
      <c r="E1870" t="str">
        <f>IFERROR(__xludf.DUMMYFUNCTION("""COMPUTED_VALUE"""),"FLI Website")</f>
        <v>FLI Website</v>
      </c>
      <c r="F1870">
        <f>IFERROR(__xludf.DUMMYFUNCTION("""COMPUTED_VALUE"""),2020.0)</f>
        <v>2020</v>
      </c>
      <c r="H1870" s="3" t="str">
        <f>IFERROR(__xludf.DUMMYFUNCTION("""COMPUTED_VALUE"""),"AN #118")</f>
        <v>AN #118</v>
      </c>
      <c r="I1870" t="str">
        <f>IFERROR(__xludf.DUMMYFUNCTION("""COMPUTED_VALUE"""),"Rohin")</f>
        <v>Rohin</v>
      </c>
      <c r="J1870" t="str">
        <f>IFERROR(__xludf.DUMMYFUNCTION("""COMPUTED_VALUE"""),"This podcast discusses the recent &lt;@ARCHES@&gt;(@AI Research Considerations for Human Existential Safety@) document, and several thoughts surrounding it. There’s a lot in here that I won’t summarize, including a bunch of stuff that was in the summary of ARCH"&amp;"ES. I’m going to focus primarily on the (substantial) discussion of how to prioritize within the realm of possible risks related in some way to AI systems.
Firstly, let’s be clear about the goal: ensuring existential safety, that is, making sure human ex"&amp;"tinction never happens. Note the author means literal extinction, as opposed to something like “the loss of humanity’s long-term potential”, because the former is clearer. While it is not always clear whether something counts as “extinction” (what if we a"&amp;"ll become uploads?), it is a lot clearer than whether a scenario counts as a loss of potential.
Typical alignment work focuses on the “single-single” case, where a single AI system must be aligned with a single human, as in e.g. &lt;@intent alignment@&gt;(@Cla"&amp;"rifying ""AI Alignment""@). However, this isn’t ultimately what we care about: we care about multi-multi existential safety, that is, ensuring that when multiple AI systems act in a world with multiple humans, extinction does not happen. There are pretty "&amp;"significant differences between these: in particular, it’s not clear whether multi-multi “alignment” even has meaning, since it is unclear whether it makes sense to view humanity as an agent to which an AI system could be “aligned”.
Nonetheless, single-s"&amp;"ingle alignment seems like an important subproblem of multi-multi existential safety: we will be delegating to AI systems in the future; it seems important that we know how to do so. How do we prioritize between single-single alignment, and the other subp"&amp;"roblems of multi-multi existential safety? A crucial point is that single-single work will not be neglected, because companies have strong incentives to solve single-single alignment (both in the sense of optimizing for the right thing, and for being robu"&amp;"st to distributional shift). In contrast, in multi-multi systems, it is often the case that there is a complex set of interacting effects that lead to some negative outcome, and there is no one actor to blame for the negative outcome, and as a result it d"&amp;"oesn’t become anybody’s job to prevent that negative outcome.
For example, if you get a huge medical bill because the necessary authorization forms hadn’t been filled out, whose fault is it? Often in such cases there are many people to blame: you could b"&amp;"lame yourself for not checking the authorization, or you could blame the doctor’s office for not sending the right forms or for not informing you that the authorization hadn’t been obtained, etc. Since it’s nobody’s job to fix such problems, they are and "&amp;"will remain neglected, and so work on them is more impactful.
Something like transparency is in a middle ground: it isn’t profitable yet, but probably will be soon. So, if someone were indifferent between a bunch of areas of research, the author would ad"&amp;"vise for e.g. multi-stakeholder delegation over transparency over robustness. However, the author emphasizes that it’s far more important that people work in some area of research that they find intellectually enriching and relevant to existential safety."&amp;"
The podcast has lots of other points, here is an incomplete quick selection of them:
- In a multi-multi world, without good coordination you move the world in a “random” direction. There are a lot of variables which have to be set just right for humans"&amp;" to survive (temperature, atmospheric composition, etc) that are not as important for machines. So sufficiently powerful systems moving the world in a “random” direction will lead to human extinction.
- One response to the multi-multi challenge is to have"&amp;" a single group make a powerful AI system and “take over the world”. This approach is problematic since many people will oppose such a huge concentration of power. In addition, it is probably not desirable even if possible, since it reduces robustness by "&amp;"creating a single point of failure.
- Another suggestion is to create a powerful AI system that protects humanity (but is still uncontrollable in that humanity cannot stop its operation). The author does not like the solution much, because if we get it wr"&amp;"ong and deploy a misaligned uncontrollable AI system, then we definitely die. The author prefers that we instead always have control over the AI systems we deploy.")</f>
        <v>This podcast discusses the recent &lt;@ARCHES@&gt;(@AI Research Considerations for Human Existential Safety@) document, and several thoughts surrounding it. There’s a lot in here that I won’t summarize, including a bunch of stuff that was in the summary of ARCHES. I’m going to focus primarily on the (substantial) discussion of how to prioritize within the realm of possible risks related in some way to AI systems.
Firstly, let’s be clear about the goal: ensuring existential safety, that is, making sure human extinction never happens. Note the author means literal extinction, as opposed to something like “the loss of humanity’s long-term potential”, because the former is clearer. While it is not always clear whether something counts as “extinction” (what if we all become uploads?), it is a lot clearer than whether a scenario counts as a loss of potential.
Typical alignment work focuses on the “single-single” case, where a single AI system must be aligned with a single human, as in e.g. &lt;@intent alignment@&gt;(@Clarifying "AI Alignment"@). However, this isn’t ultimately what we care about: we care about multi-multi existential safety, that is, ensuring that when multiple AI systems act in a world with multiple humans, extinction does not happen. There are pretty significant differences between these: in particular, it’s not clear whether multi-multi “alignment” even has meaning, since it is unclear whether it makes sense to view humanity as an agent to which an AI system could be “aligned”.
Nonetheless, single-single alignment seems like an important subproblem of multi-multi existential safety: we will be delegating to AI systems in the future; it seems important that we know how to do so. How do we prioritize between single-single alignment, and the other subproblems of multi-multi existential safety? A crucial point is that single-single work will not be neglected, because companies have strong incentives to solve single-single alignment (both in the sense of optimizing for the right thing, and for being robust to distributional shift). In contrast, in multi-multi systems, it is often the case that there is a complex set of interacting effects that lead to some negative outcome, and there is no one actor to blame for the negative outcome, and as a result it doesn’t become anybody’s job to prevent that negative outcome.
For example, if you get a huge medical bill because the necessary authorization forms hadn’t been filled out, whose fault is it? Often in such cases there are many people to blame: you could blame yourself for not checking the authorization, or you could blame the doctor’s office for not sending the right forms or for not informing you that the authorization hadn’t been obtained, etc. Since it’s nobody’s job to fix such problems, they are and will remain neglected, and so work on them is more impactful.
Something like transparency is in a middle ground: it isn’t profitable yet, but probably will be soon. So, if someone were indifferent between a bunch of areas of research, the author would advise for e.g. multi-stakeholder delegation over transparency over robustness. However, the author emphasizes that it’s far more important that people work in some area of research that they find intellectually enriching and relevant to existential safety.
The podcast has lots of other points, here is an incomplete quick selection of them:
- In a multi-multi world, without good coordination you move the world in a “random” direction. There are a lot of variables which have to be set just right for humans to survive (temperature, atmospheric composition, etc) that are not as important for machines. So sufficiently powerful systems moving the world in a “random” direction will lead to human extinction.
- One response to the multi-multi challenge is to have a single group make a powerful AI system and “take over the world”. This approach is problematic since many people will oppose such a huge concentration of power. In addition, it is probably not desirable even if possible, since it reduces robustness by creating a single point of failure.
- Another suggestion is to create a powerful AI system that protects humanity (but is still uncontrollable in that humanity cannot stop its operation). The author does not like the solution much, because if we get it wrong and deploy a misaligned uncontrollable AI system, then we definitely die. The author prefers that we instead always have control over the AI systems we deploy.</v>
      </c>
      <c r="K1870" t="str">
        <f>IFERROR(__xludf.DUMMYFUNCTION("""COMPUTED_VALUE"""),"Both this and the previous summary illustrate an increasingly common perspective:
1. The world is not going to look like “today’s world plus a single AGI agent”: instead, we will likely have a proliferation of many different AI systems specialized for di"&amp;"fferent purposes.
2. In such a world, there are a lot of different challenges that aren’t standard intent alignment.
3. We should focus on these other challenges because [a variety of reasons].
**If you have technical CS skills**, how should you prioriti"&amp;"ze between this perspective and the more classical intent alignment perspective?
**Importance.** I’ve &lt;@estimated@&gt;(@Conversation with Rohin Shah@) a 10% chance of existential catastrophe via a failure of intent alignment, absent intervention from longte"&amp;"rmists to address intent alignment. Estimates vary quite a lot, even among people who have thought about the problem a lot; I’ve heard as low as &lt; 1% and as high as 80% (though these usually don’t assume “no intervention from longtermists”).
It’s harder "&amp;"to estimate the importance of structural risks and extinction risks highlighted in the two summaries above, but the arguments in the previous two posts seem reasonably compelling and I think I’d be inclined to assign a similar importance to it (i.e. simil"&amp;"ar probability of causing an existential catastrophe).
Note that this means I’m disagreeing with Critch: he believes that we are far more likely to go extinct through effects unique to multi-multi dynamics; in contrast I find the argument less persuasive"&amp;" because we do have governance, regulations, national security etc. that would already be trying to mitigate issues that arise in multi-multi contexts, especially things that could plausibly cause extinction.
**Neglectedness.** I’ve already taken into ac"&amp;"count neglectedness outside of EA in estimating the probabilities for importance. Within EA there is already a huge amount of effort going into intent alignment, and much less in governance and multi-multi scenarios -- perhaps a difference of 1-2 orders o"&amp;"f magnitude; the difference is even higher if we only consider people with technical CS skills.
**Tractability.** I buy the argument in Dafoe’s article that for AI governance due to our vast uncertainty we need a “metropolis” model where field-building i"&amp;"s quite important; I think that implies that solving the full problem (at today's level of knowledge) would require a lot of work and building of expertise. In contrast, with intent alignment, we have a single technical problem with significantly less unc"&amp;"ertainty. As a result, I expect that currently in expectation a single unit of work goes further to solving intent alignment than to solving structural risks / multi-multi problems, and so intent alignment is more tractable.
I also expect technical ideas"&amp;" to be a bigger portion of ""the full solution"" in the case of intent alignment -- as Dafoe argues, I expect that for structural risks the solution looks more like ""we build expertise and this causes various societal decisions to go better"" as opposed "&amp;"to ""we figure out how to write this piece of code differently so that it does better things"". This doesn't have an obvious impact on tractability -- if anything, I'd guess it argues in favor of the tractability of work on structural risks, because it se"&amp;"ems easier to me to create prestigious experts in particular areas than to make progress on a challenging technical problem whose contours are still uncertain since it arises primarily in the future.
I suspect that I disagree with Critch here: I think he"&amp;" is more optimistic about technical solutions to multi-multi issues themselves being useful. In the past I think humanity has resolved such issues via governance and regulations and it doesn’t seem to have relied very much on technical research; I’d expec"&amp;"t that trend to continue.
**Personal fit.** This is obviously important, but there isn’t much in general for me to say about it.
Once again, I should note that this is all under the assumption that you have technical CS skills. I think overall I end up "&amp;"pretty uncertain which of the two areas I’d advise going in (assuming personal fit was equal in both areas). However, if you are more of a generalist, I feel much more inclined to recommend choosing some subfield of AI governance, again subject to persona"&amp;"l fit, and Critch agrees with this.")</f>
        <v>Both this and the previous summary illustrate an increasingly common perspective:
1. The world is not going to look like “today’s world plus a single AGI agent”: instead, we will likely have a proliferation of many different AI systems specialized for different purposes.
2. In such a world, there are a lot of different challenges that aren’t standard intent alignment.
3. We should focus on these other challenges because [a variety of reasons].
**If you have technical CS skills**, how should you prioritize between this perspective and the more classical intent alignment perspective?
**Importance.** I’ve &lt;@estimated@&gt;(@Conversation with Rohin Shah@) a 10% chance of existential catastrophe via a failure of intent alignment, absent intervention from longtermists to address intent alignment. Estimates vary quite a lot, even among people who have thought about the problem a lot; I’ve heard as low as &lt; 1% and as high as 80% (though these usually don’t assume “no intervention from longtermists”).
It’s harder to estimate the importance of structural risks and extinction risks highlighted in the two summaries above, but the arguments in the previous two posts seem reasonably compelling and I think I’d be inclined to assign a similar importance to it (i.e. similar probability of causing an existential catastrophe).
Note that this means I’m disagreeing with Critch: he believes that we are far more likely to go extinct through effects unique to multi-multi dynamics; in contrast I find the argument less persuasive because we do have governance, regulations, national security etc. that would already be trying to mitigate issues that arise in multi-multi contexts, especially things that could plausibly cause extinction.
**Neglectedness.** I’ve already taken into account neglectedness outside of EA in estimating the probabilities for importance. Within EA there is already a huge amount of effort going into intent alignment, and much less in governance and multi-multi scenarios -- perhaps a difference of 1-2 orders of magnitude; the difference is even higher if we only consider people with technical CS skills.
**Tractability.** I buy the argument in Dafoe’s article that for AI governance due to our vast uncertainty we need a “metropolis” model where field-building is quite important; I think that implies that solving the full problem (at today's level of knowledge) would require a lot of work and building of expertise. In contrast, with intent alignment, we have a single technical problem with significantly less uncertainty. As a result, I expect that currently in expectation a single unit of work goes further to solving intent alignment than to solving structural risks / multi-multi problems, and so intent alignment is more tractable.
I also expect technical ideas to be a bigger portion of "the full solution" in the case of intent alignment -- as Dafoe argues, I expect that for structural risks the solution looks more like "we build expertise and this causes various societal decisions to go better" as opposed to "we figure out how to write this piece of code differently so that it does better things". This doesn't have an obvious impact on tractability -- if anything, I'd guess it argues in favor of the tractability of work on structural risks, because it seems easier to me to create prestigious experts in particular areas than to make progress on a challenging technical problem whose contours are still uncertain since it arises primarily in the future.
I suspect that I disagree with Critch here: I think he is more optimistic about technical solutions to multi-multi issues themselves being useful. In the past I think humanity has resolved such issues via governance and regulations and it doesn’t seem to have relied very much on technical research; I’d expect that trend to continue.
**Personal fit.** This is obviously important, but there isn’t much in general for me to say about it.
Once again, I should note that this is all under the assumption that you have technical CS skills. I think overall I end up pretty uncertain which of the two areas I’d advise going in (assuming personal fit was equal in both areas). However, if you are more of a generalist, I feel much more inclined to recommend choosing some subfield of AI governance, again subject to personal fit, and Critch agrees with this.</v>
      </c>
    </row>
    <row r="1871">
      <c r="A1871" t="str">
        <f>IFERROR(__xludf.DUMMYFUNCTION("""COMPUTED_VALUE"""),"Technical agendas and prioritization")</f>
        <v>Technical agendas and prioritization</v>
      </c>
      <c r="B1871" t="str">
        <f>IFERROR(__xludf.DUMMYFUNCTION("""COMPUTED_VALUE"""),"Highlight")</f>
        <v>Highlight</v>
      </c>
      <c r="C1871" s="3" t="str">
        <f>IFERROR(__xludf.DUMMYFUNCTION("""COMPUTED_VALUE"""),"The Alignment Problem for Bayesian History-Based Reinforcement Learners")</f>
        <v>The Alignment Problem for Bayesian History-Based Reinforcement Learners</v>
      </c>
      <c r="D1871" t="str">
        <f>IFERROR(__xludf.DUMMYFUNCTION("""COMPUTED_VALUE"""),"Tom Everitt, Marcus Hutter")</f>
        <v>Tom Everitt, Marcus Hutter</v>
      </c>
      <c r="F1871">
        <f>IFERROR(__xludf.DUMMYFUNCTION("""COMPUTED_VALUE"""),2018.0)</f>
        <v>2018</v>
      </c>
      <c r="H1871" t="str">
        <f>IFERROR(__xludf.DUMMYFUNCTION("""COMPUTED_VALUE"""),"AN #114")</f>
        <v>AN #114</v>
      </c>
      <c r="I1871" t="str">
        <f>IFERROR(__xludf.DUMMYFUNCTION("""COMPUTED_VALUE"""),"Rohin")</f>
        <v>Rohin</v>
      </c>
      <c r="J1871" t="str">
        <f>IFERROR(__xludf.DUMMYFUNCTION("""COMPUTED_VALUE"""),"After forgetting its existence for quite a while, I've finally read through this technical report (which won first place in &lt;@round 2 of the AI alignment prize@&gt;(@Announcement: AI alignment prize round 2 winners and next round@)). It analyzes the alignmen"&amp;"t problem from an AIXI-like perspective, that is, by theoretical analysis of powerful Bayesian RL agents in an online POMDP setting.
In this setup, we have a POMDP environment, in which the environment has some underlying state, but the agent only gets o"&amp;"bservations of the state and must take actions in order to maximize rewards. The authors consider three main setups: 1) rewards are computed by a preprogrammed reward function, 2) rewards are provided by a human in the loop, and 3) rewards are provided by"&amp;" a _reward predictor_ which is trained interactively from human-generated data.
For each setup, they consider the various objects present in the formalism, and ask how these objects could be corrupted, misspecified, or misleading. This methodology allows"&amp;" them to identify several potential issues, which I won't get into as I expect most readers are familiar with them. (Examples include wireheading and threatening to harm the human unless they provide maximal reward.)
They also propose several tools that "&amp;"can be used to help solve misalignment. In order to prevent reward function corruption, we can have the agent _simulate_ the future trajectory, and _evaluate_ this future trajectory with the current reward, removing the incentive to corrupt the reward fun"&amp;"ction. (This was later developed into &lt;@current-RF optimization@&gt;(@Designing agent incentives to avoid reward tampering@).)
Self-corruption awareness refers to whether or not the agent is aware that its policy can be modified. A self-corruption _unaware_"&amp;" agent is one that behaves as though it's current policy function will never be changed, effectively ignoring the possibility of corruption. It is not clear which is more desirable: while a self-corruption unaware agent will be more corrigible (in the [MI"&amp;"RI sense](https://intelligence.org/files/Corrigibility.pdf)), it also will not preserve its utility function, as it believes that even if the utility function changes the policy will not change.
Action-observation grounding ensures that the agent only op"&amp;"timizes over policies that work on histories of observations and actions, preventing agents from constructing entirely new observation channels (""delusion boxes"") which mislead the reward function into thinking everything is perfect.
The interactive se"&amp;"tting in which a reward predictor is trained based on human feedback offers a new challenge: that the human data can be corrupted or manipulated. One technique to address this is to get _decoupled_ data: if your corruption is determined by the current sta"&amp;"te s, but you get feedback about some different state s', as long as s and s' aren't too correlated it is possible to mitigate potential corruptions.
Another leverage point is how we decide to use the reward predictor. We could consider the _stationary_ "&amp;"reward function, which evaluates simulated trajectories with the _current_ reward predictor, i.e. assuming that the reward predictor will never be updated again. If we combine this with self-corruption unawareness (so that the policy also never expects th"&amp;"e policy to change), then the incentive to corrupt the reward predictor's data is removed. However, the resulting agent is _time-inconsistent_: it acts as though its reward never changes even though it in practice does, and so it can make a plan and start"&amp;" executing it, only to switch over to a new plan once the reward changes, over and over again.
The _dynamic_ reward function avoids this pitfall by evaluating the kth timestep of a simulated trajectory by also taking an expectation over future data that "&amp;"the reward predictor will get. This agent is no longer time-inconsistent, but it now incentivizes the agent to manipulate the data. This can be fixed by building a single integrated Bayesian agent, which maintains a single environment model that predicts "&amp;"both the reward function and the environment model. The resulting agent is time-consistent, utility-preserving, and has no direct incentive to manipulate the data. (This is akin to the setup in &lt;@assistance games / CIRL@&gt;(@Cooperative Inverse Reinforcemen"&amp;"t Learning@).)
One final approach is to use a _counterfactual_ reward function, in which the data is simulated in a counterfactual world where the agent executed some known safe default policy. This no longer depends on the current time, and is not subje"&amp;"ct to data corruption since the data comes from a hypothetical that is independent of the agent's actual policy. However, it requires a good default policy that does the necessary information-gathering actions, and requires the agent to have the ability t"&amp;"o simulate human feedback in a counterfactual world.")</f>
        <v>After forgetting its existence for quite a while, I've finally read through this technical report (which won first place in &lt;@round 2 of the AI alignment prize@&gt;(@Announcement: AI alignment prize round 2 winners and next round@)). It analyzes the alignment problem from an AIXI-like perspective, that is, by theoretical analysis of powerful Bayesian RL agents in an online POMDP setting.
In this setup, we have a POMDP environment, in which the environment has some underlying state, but the agent only gets observations of the state and must take actions in order to maximize rewards. The authors consider three main setups: 1) rewards are computed by a preprogrammed reward function, 2) rewards are provided by a human in the loop, and 3) rewards are provided by a _reward predictor_ which is trained interactively from human-generated data.
For each setup, they consider the various objects present in the formalism, and ask how these objects could be corrupted, misspecified, or misleading. This methodology allows them to identify several potential issues, which I won't get into as I expect most readers are familiar with them. (Examples include wireheading and threatening to harm the human unless they provide maximal reward.)
They also propose several tools that can be used to help solve misalignment. In order to prevent reward function corruption, we can have the agent _simulate_ the future trajectory, and _evaluate_ this future trajectory with the current reward, removing the incentive to corrupt the reward function. (This was later developed into &lt;@current-RF optimization@&gt;(@Designing agent incentives to avoid reward tampering@).)
Self-corruption awareness refers to whether or not the agent is aware that its policy can be modified. A self-corruption _unaware_ agent is one that behaves as though it's current policy function will never be changed, effectively ignoring the possibility of corruption. It is not clear which is more desirable: while a self-corruption unaware agent will be more corrigible (in the [MIRI sense](https://intelligence.org/files/Corrigibility.pdf)), it also will not preserve its utility function, as it believes that even if the utility function changes the policy will not change.
Action-observation grounding ensures that the agent only optimizes over policies that work on histories of observations and actions, preventing agents from constructing entirely new observation channels ("delusion boxes") which mislead the reward function into thinking everything is perfect.
The interactive setting in which a reward predictor is trained based on human feedback offers a new challenge: that the human data can be corrupted or manipulated. One technique to address this is to get _decoupled_ data: if your corruption is determined by the current state s, but you get feedback about some different state s', as long as s and s' aren't too correlated it is possible to mitigate potential corruptions.
Another leverage point is how we decide to use the reward predictor. We could consider the _stationary_ reward function, which evaluates simulated trajectories with the _current_ reward predictor, i.e. assuming that the reward predictor will never be updated again. If we combine this with self-corruption unawareness (so that the policy also never expects the policy to change), then the incentive to corrupt the reward predictor's data is removed. However, the resulting agent is _time-inconsistent_: it acts as though its reward never changes even though it in practice does, and so it can make a plan and start executing it, only to switch over to a new plan once the reward changes, over and over again.
The _dynamic_ reward function avoids this pitfall by evaluating the kth timestep of a simulated trajectory by also taking an expectation over future data that the reward predictor will get. This agent is no longer time-inconsistent, but it now incentivizes the agent to manipulate the data. This can be fixed by building a single integrated Bayesian agent, which maintains a single environment model that predicts both the reward function and the environment model. The resulting agent is time-consistent, utility-preserving, and has no direct incentive to manipulate the data. (This is akin to the setup in &lt;@assistance games / CIRL@&gt;(@Cooperative Inverse Reinforcement Learning@).)
One final approach is to use a _counterfactual_ reward function, in which the data is simulated in a counterfactual world where the agent executed some known safe default policy. This no longer depends on the current time, and is not subject to data corruption since the data comes from a hypothetical that is independent of the agent's actual policy. However, it requires a good default policy that does the necessary information-gathering actions, and requires the agent to have the ability to simulate human feedback in a counterfactual world.</v>
      </c>
      <c r="K1871" t="str">
        <f>IFERROR(__xludf.DUMMYFUNCTION("""COMPUTED_VALUE"""),"This paper is a great organization and explanation of several older papers (that haven't been summarized in this newsletter because they were published before 2018 and I read them before starting this newsletter), and I wish I had read it sooner. It seems"&amp;" to me that the integrated Bayesian agent is the clear winner -- the only downside is the computational cost, which would be a bottleneck for any of the models considered here.
One worry I have with this sort of analysis is that the guarantees you get ou"&amp;"t of it depends quite a lot on how you model the situation. For example, let's suppose that after I sleep I wake up refreshed and more capable of intellectual work. Should I model this as ""policy corruption"", or as a fixed policy that takes as an input "&amp;"some information about how rested I am?")</f>
        <v>This paper is a great organization and explanation of several older papers (that haven't been summarized in this newsletter because they were published before 2018 and I read them before starting this newsletter), and I wish I had read it sooner. It seems to me that the integrated Bayesian agent is the clear winner -- the only downside is the computational cost, which would be a bottleneck for any of the models considered here.
One worry I have with this sort of analysis is that the guarantees you get out of it depends quite a lot on how you model the situation. For example, let's suppose that after I sleep I wake up refreshed and more capable of intellectual work. Should I model this as "policy corruption", or as a fixed policy that takes as an input some information about how rested I am?</v>
      </c>
      <c r="M1871" s="3" t="str">
        <f>IFERROR(__xludf.DUMMYFUNCTION("""COMPUTED_VALUE"""),"Tom Everitt's PhD thesis")</f>
        <v>Tom Everitt's PhD thesis</v>
      </c>
    </row>
    <row r="1872">
      <c r="A1872" t="str">
        <f>IFERROR(__xludf.DUMMYFUNCTION("""COMPUTED_VALUE"""),"Technical agendas and prioritization")</f>
        <v>Technical agendas and prioritization</v>
      </c>
      <c r="B1872" t="str">
        <f>IFERROR(__xludf.DUMMYFUNCTION("""COMPUTED_VALUE"""),"Highlight")</f>
        <v>Highlight</v>
      </c>
      <c r="C1872" s="3" t="str">
        <f>IFERROR(__xludf.DUMMYFUNCTION("""COMPUTED_VALUE"""),"AI Research Considerations for Human Existential Safety")</f>
        <v>AI Research Considerations for Human Existential Safety</v>
      </c>
      <c r="D1872" t="str">
        <f>IFERROR(__xludf.DUMMYFUNCTION("""COMPUTED_VALUE"""),"Andrew Critch, David Krueger")</f>
        <v>Andrew Critch, David Krueger</v>
      </c>
      <c r="E1872" t="str">
        <f>IFERROR(__xludf.DUMMYFUNCTION("""COMPUTED_VALUE"""),"Author's Website")</f>
        <v>Author's Website</v>
      </c>
      <c r="F1872">
        <f>IFERROR(__xludf.DUMMYFUNCTION("""COMPUTED_VALUE"""),2020.0)</f>
        <v>2020</v>
      </c>
      <c r="H1872" s="3" t="str">
        <f>IFERROR(__xludf.DUMMYFUNCTION("""COMPUTED_VALUE"""),"AN #103")</f>
        <v>AN #103</v>
      </c>
      <c r="I1872" t="str">
        <f>IFERROR(__xludf.DUMMYFUNCTION("""COMPUTED_VALUE"""),"Rohin")</f>
        <v>Rohin</v>
      </c>
      <c r="J1872" t="str">
        <f>IFERROR(__xludf.DUMMYFUNCTION("""COMPUTED_VALUE"""),"This research agenda out of CHAI directly attacks the problem longtermists care about: **how to prevent AI-related existential catastrophe**. This is distinctly different from the notion of being ""provably beneficial"": a key challenge for provable benef"&amp;"icence is defining what we even mean by ""beneficial"". In contrast, there are avenues for preventing AI-caused human extinction that do not require an understanding of ""beneficial"": most trivially, we could coordinate to never build AI systems that cou"&amp;"ld cause human extinction.
Since the focus is on the _impact_ of the AI system, the authors need a new phrase for this kind of AI system. They define a **prepotent AI system** to be one that cannot be controlled by humanity **and** has the potential to t"&amp;"ransform the world in a way that is at least as impactful as humanity as a whole. Such an AI system need not be superintelligent, or even an AGI; it may have powerful capabilities in a narrow domain such as technological autonomy, replication speed, or so"&amp;"cial acumen that enable prepotence.
By definition, a prepotent AI system is capable of transforming the world drastically. However, there are a lot of conditions that are necessary for continued human existence, and most transformations of the world will"&amp;" not preserve these conditions. (For example, consider the temperature of the Earth or the composition of the atmosphere.) As a result, human extinction is the _default_ outcome from deploying a prepotent AI system, and can only be prevented if the system"&amp;" is designed to preserve human existence with very high precision relative to the significance of its actions. They define a misaligned prepotent AI system (MPAI) as one whose deployment leads to human extinction, and so the main objective is to avert the"&amp;" deployment of MPAI.
The authors break down the risk of deployment of MPAI into five subcategories, depending on the beliefs, actions and goals of the developers. The AI developers could fail to predict prepotence, fail to predict misalignment, fail to c"&amp;"oordinate with other teams on deployment of systems that aggregate to form an MPAI, accidentally (unilaterally) deploy MPAI, or intentionally (unilaterally) deploy MPAI. There are also hazardous social conditions that could increase the likelihood of risk"&amp;"s, such as unsafe development races, economic displacement of humans, human enfeeblement, and avoidance of talking about x-risk at all.
Moving from risks to solutions, the authors categorize their research directions along three axes based on the setting"&amp;" they are considering. First, is there one or multiple humans; second, is there one or multiple AI systems; and third, is it helping the human(s) comprehend, instruct, or control the AI system(s). So, multi/single instruction would involve multiple humans"&amp;" instructing a single AI system. While we will eventually need multi/multi, the preceding cases are easier problems from which we could gain insights that help solve the general multi/multi case. Similarly, comprehension can help with instruction, and bot"&amp;"h can help with control.
The authors then go on to list 29 different research directions, which I'm not going to summarize here.")</f>
        <v>This research agenda out of CHAI directly attacks the problem longtermists care about: **how to prevent AI-related existential catastrophe**. This is distinctly different from the notion of being "provably beneficial": a key challenge for provable beneficence is defining what we even mean by "beneficial". In contrast, there are avenues for preventing AI-caused human extinction that do not require an understanding of "beneficial": most trivially, we could coordinate to never build AI systems that could cause human extinction.
Since the focus is on the _impact_ of the AI system, the authors need a new phrase for this kind of AI system. They define a **prepotent AI system** to be one that cannot be controlled by humanity **and** has the potential to transform the world in a way that is at least as impactful as humanity as a whole. Such an AI system need not be superintelligent, or even an AGI; it may have powerful capabilities in a narrow domain such as technological autonomy, replication speed, or social acumen that enable prepotence.
By definition, a prepotent AI system is capable of transforming the world drastically. However, there are a lot of conditions that are necessary for continued human existence, and most transformations of the world will not preserve these conditions. (For example, consider the temperature of the Earth or the composition of the atmosphere.) As a result, human extinction is the _default_ outcome from deploying a prepotent AI system, and can only be prevented if the system is designed to preserve human existence with very high precision relative to the significance of its actions. They define a misaligned prepotent AI system (MPAI) as one whose deployment leads to human extinction, and so the main objective is to avert the deployment of MPAI.
The authors break down the risk of deployment of MPAI into five subcategories, depending on the beliefs, actions and goals of the developers. The AI developers could fail to predict prepotence, fail to predict misalignment, fail to coordinate with other teams on deployment of systems that aggregate to form an MPAI, accidentally (unilaterally) deploy MPAI, or intentionally (unilaterally) deploy MPAI. There are also hazardous social conditions that could increase the likelihood of risks, such as unsafe development races, economic displacement of humans, human enfeeblement, and avoidance of talking about x-risk at all.
Moving from risks to solutions, the authors categorize their research directions along three axes based on the setting they are considering. First, is there one or multiple humans; second, is there one or multiple AI systems; and third, is it helping the human(s) comprehend, instruct, or control the AI system(s). So, multi/single instruction would involve multiple humans instructing a single AI system. While we will eventually need multi/multi, the preceding cases are easier problems from which we could gain insights that help solve the general multi/multi case. Similarly, comprehension can help with instruction, and both can help with control.
The authors then go on to list 29 different research directions, which I'm not going to summarize here.</v>
      </c>
      <c r="K1872" t="str">
        <f>IFERROR(__xludf.DUMMYFUNCTION("""COMPUTED_VALUE"""),"I love the abstract and introduction, because of their directness at actually stating what we want and care about. I am also a big fan of the distinction between provably beneficial and reducing x-risk, and the single/multi analysis.
The human fragility "&amp;"argument, as applied to generally intelligent agents, is a bit tricky. One interpretation is that the ""hardness"" stems from the fact that you need a bunch of ""bits"" of knowledge / control in order to keep humans around. However, it seems like a genera"&amp;"lly intelligent AI should easily be able to keep humans around ""if it wants"", and so the bits already exist in the AI. (As an analogy: we make big changes to the environment, but we could easily preserve deer habitats if we wanted to.) Thus, it is reall"&amp;"y a question of what ""distribution"" you expect the AI system is sampled from: if you think we'll build AI systems that try to do what humanity wants, then we're probably fine, but if you think that there will be multiple AI systems that each do what the"&amp;"ir users want, but the users have conflicts, the overall system seems more ""random"" in its goals, and so more likely to fall into the ""default"" outcome of human extinction. 
The research directions are very detailed, and while there are some suggesti"&amp;"ons that don't seem particularly useful to me, overall I am happy with the list. (And as the paper itself notes, what is and isn't useful depends on your models of AI development.)")</f>
        <v>I love the abstract and introduction, because of their directness at actually stating what we want and care about. I am also a big fan of the distinction between provably beneficial and reducing x-risk, and the single/multi analysis.
The human fragility argument, as applied to generally intelligent agents, is a bit tricky. One interpretation is that the "hardness" stems from the fact that you need a bunch of "bits" of knowledge / control in order to keep humans around. However, it seems like a generally intelligent AI should easily be able to keep humans around "if it wants", and so the bits already exist in the AI. (As an analogy: we make big changes to the environment, but we could easily preserve deer habitats if we wanted to.) Thus, it is really a question of what "distribution" you expect the AI system is sampled from: if you think we'll build AI systems that try to do what humanity wants, then we're probably fine, but if you think that there will be multiple AI systems that each do what their users want, but the users have conflicts, the overall system seems more "random" in its goals, and so more likely to fall into the "default" outcome of human extinction. 
The research directions are very detailed, and while there are some suggestions that don't seem particularly useful to me, overall I am happy with the list. (And as the paper itself notes, what is and isn't useful depends on your models of AI development.)</v>
      </c>
    </row>
    <row r="1873">
      <c r="A1873" t="str">
        <f>IFERROR(__xludf.DUMMYFUNCTION("""COMPUTED_VALUE"""),"Technical agendas and prioritization")</f>
        <v>Technical agendas and prioritization</v>
      </c>
      <c r="B1873" t="str">
        <f>IFERROR(__xludf.DUMMYFUNCTION("""COMPUTED_VALUE"""),"Highlight")</f>
        <v>Highlight</v>
      </c>
      <c r="C1873" s="3" t="str">
        <f>IFERROR(__xludf.DUMMYFUNCTION("""COMPUTED_VALUE"""),"My take on agent foundations: formalizing metaphilosophical competence")</f>
        <v>My take on agent foundations: formalizing metaphilosophical competence</v>
      </c>
      <c r="D1873" t="str">
        <f>IFERROR(__xludf.DUMMYFUNCTION("""COMPUTED_VALUE"""),"zhukeepa")</f>
        <v>zhukeepa</v>
      </c>
      <c r="E1873" t="str">
        <f>IFERROR(__xludf.DUMMYFUNCTION("""COMPUTED_VALUE"""),"LessWrong")</f>
        <v>LessWrong</v>
      </c>
      <c r="F1873">
        <f>IFERROR(__xludf.DUMMYFUNCTION("""COMPUTED_VALUE"""),2018.0)</f>
        <v>2018</v>
      </c>
      <c r="H1873" s="3" t="str">
        <f>IFERROR(__xludf.DUMMYFUNCTION("""COMPUTED_VALUE"""),"AN #1")</f>
        <v>AN #1</v>
      </c>
      <c r="I1873" t="str">
        <f>IFERROR(__xludf.DUMMYFUNCTION("""COMPUTED_VALUE"""),"Rohin")</f>
        <v>Rohin</v>
      </c>
      <c r="J1873" t="str">
        <f>IFERROR(__xludf.DUMMYFUNCTION("""COMPUTED_VALUE"""),"Argues that the point of Agent Foundations is to create conceptual clarity for fuzzy concepts that we can't formalize yet (such as logical uncertainty). We can then verify whether our ML algorithms have these desirable properties. It is decidedly _not_ a "&amp;"goal to build a friendly AI using modules that Agent Foundations develop.")</f>
        <v>Argues that the point of Agent Foundations is to create conceptual clarity for fuzzy concepts that we can't formalize yet (such as logical uncertainty). We can then verify whether our ML algorithms have these desirable properties. It is decidedly _not_ a goal to build a friendly AI using modules that Agent Foundations develop.</v>
      </c>
      <c r="K1873" t="str">
        <f>IFERROR(__xludf.DUMMYFUNCTION("""COMPUTED_VALUE"""),"I don't know much about MIRI and Agent Foundations, but this made sense to me and felt like it clarified things for me.")</f>
        <v>I don't know much about MIRI and Agent Foundations, but this made sense to me and felt like it clarified things for me.</v>
      </c>
    </row>
    <row r="1874">
      <c r="A1874" t="str">
        <f>IFERROR(__xludf.DUMMYFUNCTION("""COMPUTED_VALUE"""),"Technical agendas and prioritization")</f>
        <v>Technical agendas and prioritization</v>
      </c>
      <c r="B1874" t="str">
        <f>IFERROR(__xludf.DUMMYFUNCTION("""COMPUTED_VALUE"""),"")</f>
        <v/>
      </c>
      <c r="C1874" s="3" t="str">
        <f>IFERROR(__xludf.DUMMYFUNCTION("""COMPUTED_VALUE"""),"An Analytic Perspective on AI Alignment")</f>
        <v>An Analytic Perspective on AI Alignment</v>
      </c>
      <c r="D1874" t="str">
        <f>IFERROR(__xludf.DUMMYFUNCTION("""COMPUTED_VALUE"""),"Daniel Filan")</f>
        <v>Daniel Filan</v>
      </c>
      <c r="E1874" t="str">
        <f>IFERROR(__xludf.DUMMYFUNCTION("""COMPUTED_VALUE"""),"Alignment Forum")</f>
        <v>Alignment Forum</v>
      </c>
      <c r="F1874">
        <f>IFERROR(__xludf.DUMMYFUNCTION("""COMPUTED_VALUE"""),2020.0)</f>
        <v>2020</v>
      </c>
      <c r="H1874" s="3" t="str">
        <f>IFERROR(__xludf.DUMMYFUNCTION("""COMPUTED_VALUE"""),"AN #92")</f>
        <v>AN #92</v>
      </c>
      <c r="I1874" t="str">
        <f>IFERROR(__xludf.DUMMYFUNCTION("""COMPUTED_VALUE"""),"Asya/Rohin")</f>
        <v>Asya/Rohin</v>
      </c>
      <c r="J1874" t="str">
        <f>IFERROR(__xludf.DUMMYFUNCTION("""COMPUTED_VALUE"""),"In this post, Daniel Filan presents an analytic perspective on how to do useful AI alignment research. His take is that in a world with powerful AGI systems similar to neural networks, it may be sufficient to be able to detect whether a system would cause"&amp;" bad outcomes before you deploy it on real-world systems with unknown distributions. To this end, he advocates for work on transparency that gives &lt;@mechanistic understandings@&gt;(@Mechanistic Transparency for Machine Learning@) of the systems in question, "&amp;"combined with foundational research that allows us to reason about the safety of the produced understandings.")</f>
        <v>In this post, Daniel Filan presents an analytic perspective on how to do useful AI alignment research. His take is that in a world with powerful AGI systems similar to neural networks, it may be sufficient to be able to detect whether a system would cause bad outcomes before you deploy it on real-world systems with unknown distributions. To this end, he advocates for work on transparency that gives &lt;@mechanistic understandings@&gt;(@Mechanistic Transparency for Machine Learning@) of the systems in question, combined with foundational research that allows us to reason about the safety of the produced understandings.</v>
      </c>
      <c r="K1874" t="str">
        <f>IFERROR(__xludf.DUMMYFUNCTION("""COMPUTED_VALUE"""),"My broad take is that I agree that analyzing neural nets is useful and more work should go into it, but I broadly disagree that this leads to reduced x-risk by increasing the likelihood that developers can look at their trained model, determine whether it"&amp;" is dangerous by understanding it mechanistically, and decide whether to deploy it, in a ""zero-shot"" way. The key difficulty here is the mechanistic transparency, which seems like far too strong a property for us to aim: I would expect the cost of makin"&amp;"g a neural network mechanistically transparent to far exceed the cost of training that neural network in the first place, and so it would be hard to get developers to mechanistically understand trained models to detect danger.
Right now for e.g. image cl"&amp;"assifiers, some people on OpenAI's Clarity team have spent multiple years understanding a single image classifier, which is orders of magnitude more expensive than training the classifier. My guess is that this will become superlinearly harder as models g"&amp;"et bigger (and especially as models become superhuman), and so it seems quite unlikely that we could have mechanistic transparency for very complex AGI systems built out of neural nets. More details in [this comment](https://www.alignmentforum.org/posts/8"&amp;"GdPargak863xaebm/an-analytic-perspective-on-ai-alignment?commentId=c8vogpyjgoXEspX8z). Note that Daniel agrees that it is an open question whether this sort of mechanistic transparency is possible, and thinks that we don't have much evidence yet that it i"&amp;"sn't.")</f>
        <v>My broad take is that I agree that analyzing neural nets is useful and more work should go into it, but I broadly disagree that this leads to reduced x-risk by increasing the likelihood that developers can look at their trained model, determine whether it is dangerous by understanding it mechanistically, and decide whether to deploy it, in a "zero-shot" way. The key difficulty here is the mechanistic transparency, which seems like far too strong a property for us to aim: I would expect the cost of making a neural network mechanistically transparent to far exceed the cost of training that neural network in the first place, and so it would be hard to get developers to mechanistically understand trained models to detect danger.
Right now for e.g. image classifiers, some people on OpenAI's Clarity team have spent multiple years understanding a single image classifier, which is orders of magnitude more expensive than training the classifier. My guess is that this will become superlinearly harder as models get bigger (and especially as models become superhuman), and so it seems quite unlikely that we could have mechanistic transparency for very complex AGI systems built out of neural nets. More details in [this comment](https://www.alignmentforum.org/posts/8GdPargak863xaebm/an-analytic-perspective-on-ai-alignment?commentId=c8vogpyjgoXEspX8z). Note that Daniel agrees that it is an open question whether this sort of mechanistic transparency is possible, and thinks that we don't have much evidence yet that it isn't.</v>
      </c>
    </row>
    <row r="1875">
      <c r="A1875" t="str">
        <f>IFERROR(__xludf.DUMMYFUNCTION("""COMPUTED_VALUE"""),"Technical agendas and prioritization")</f>
        <v>Technical agendas and prioritization</v>
      </c>
      <c r="B1875" t="str">
        <f>IFERROR(__xludf.DUMMYFUNCTION("""COMPUTED_VALUE"""),"")</f>
        <v/>
      </c>
      <c r="C1875" s="3" t="str">
        <f>IFERROR(__xludf.DUMMYFUNCTION("""COMPUTED_VALUE"""),"A dilemma for prosaic AI alignment")</f>
        <v>A dilemma for prosaic AI alignment</v>
      </c>
      <c r="D1875" t="str">
        <f>IFERROR(__xludf.DUMMYFUNCTION("""COMPUTED_VALUE"""),"Daniel Kokotajlo")</f>
        <v>Daniel Kokotajlo</v>
      </c>
      <c r="E1875" t="str">
        <f>IFERROR(__xludf.DUMMYFUNCTION("""COMPUTED_VALUE"""),"Alignment Forum")</f>
        <v>Alignment Forum</v>
      </c>
      <c r="F1875">
        <f>IFERROR(__xludf.DUMMYFUNCTION("""COMPUTED_VALUE"""),2019.0)</f>
        <v>2019</v>
      </c>
      <c r="H1875" s="3" t="str">
        <f>IFERROR(__xludf.DUMMYFUNCTION("""COMPUTED_VALUE"""),"AN #78")</f>
        <v>AN #78</v>
      </c>
      <c r="I1875" t="str">
        <f>IFERROR(__xludf.DUMMYFUNCTION("""COMPUTED_VALUE"""),"Rohin")</f>
        <v>Rohin</v>
      </c>
      <c r="J1875" t="str">
        <f>IFERROR(__xludf.DUMMYFUNCTION("""COMPUTED_VALUE"""),"This post points out a potential problem for &lt;@Prosaic AI alignment@&gt;, in which we try to align AI systems built using current techniques. Consider some prosaic alignment scheme, such as &lt;@iterated amplification@&gt;(@Learning Complex Goals with Iterated Amp"&amp;"lification@) or &lt;@debate@&gt;(@AI safety via debate@). If we try to train an AI system directly using such a scheme, it will likely be uncompetitive, since it seems likely that the most powerful AI systems will probably require cutting-edge algorithms, archi"&amp;"tectures, objectives, and environments, at least some of which will be replaced by new versions from the safety scheme. Alternatively, we could first train a general AI system, and then use our alignment scheme to finetune it into an aligned AI system. Ho"&amp;"wever, this runs the risk that the initial training could create a misaligned mesa optimizer, that then deliberately sabotages our finetuning efforts.")</f>
        <v>This post points out a potential problem for &lt;@Prosaic AI alignment@&gt;, in which we try to align AI systems built using current techniques. Consider some prosaic alignment scheme, such as &lt;@iterated amplification@&gt;(@Learning Complex Goals with Iterated Amplification@) or &lt;@debate@&gt;(@AI safety via debate@). If we try to train an AI system directly using such a scheme, it will likely be uncompetitive, since it seems likely that the most powerful AI systems will probably require cutting-edge algorithms, architectures, objectives, and environments, at least some of which will be replaced by new versions from the safety scheme. Alternatively, we could first train a general AI system, and then use our alignment scheme to finetune it into an aligned AI system. However, this runs the risk that the initial training could create a misaligned mesa optimizer, that then deliberately sabotages our finetuning efforts.</v>
      </c>
      <c r="K1875" t="str">
        <f>IFERROR(__xludf.DUMMYFUNCTION("""COMPUTED_VALUE"""),"The comments reveal a [third possibility](https://www.alignmentforum.org/posts/jYdAxH8BarPT4fqnb/a-dilemma-for-prosaic-ai-alignment#K8fRPa9NWZXdARLYN): the alignment scheme could be trained jointly alongside the cutting edge AI training. For example, we m"&amp;"ight hope that we can train a question answerer that can answer questions about anything ""the model already knows"", and this question answering system is trained simultaneously with the training of the model itself. I think this takes the ""oomph"" out "&amp;"of the dilemma as posed here -- it seems reasonably likely that it only takes fractionally more resources to train a question answering system on top of the model, if it only has to use knowledge ""already in"" the model, which would let it be competitive"&amp;", while still preventing mesa optimizers from arising (if the alignment scheme does its job). Of course, it may turn out that it takes a huge amount of resources to train the question answering system, making the system uncompetitive, but that seems hard "&amp;"to predict given our current knowledge.")</f>
        <v>The comments reveal a [third possibility](https://www.alignmentforum.org/posts/jYdAxH8BarPT4fqnb/a-dilemma-for-prosaic-ai-alignment#K8fRPa9NWZXdARLYN): the alignment scheme could be trained jointly alongside the cutting edge AI training. For example, we might hope that we can train a question answerer that can answer questions about anything "the model already knows", and this question answering system is trained simultaneously with the training of the model itself. I think this takes the "oomph" out of the dilemma as posed here -- it seems reasonably likely that it only takes fractionally more resources to train a question answering system on top of the model, if it only has to use knowledge "already in" the model, which would let it be competitive, while still preventing mesa optimizers from arising (if the alignment scheme does its job). Of course, it may turn out that it takes a huge amount of resources to train the question answering system, making the system uncompetitive, but that seems hard to predict given our current knowledge.</v>
      </c>
    </row>
    <row r="1876">
      <c r="A1876" t="str">
        <f>IFERROR(__xludf.DUMMYFUNCTION("""COMPUTED_VALUE"""),"Technical agendas and prioritization")</f>
        <v>Technical agendas and prioritization</v>
      </c>
      <c r="B1876" t="str">
        <f>IFERROR(__xludf.DUMMYFUNCTION("""COMPUTED_VALUE"""),"")</f>
        <v/>
      </c>
      <c r="C1876" s="3" t="str">
        <f>IFERROR(__xludf.DUMMYFUNCTION("""COMPUTED_VALUE"""),"Useful Does Not Mean Secure")</f>
        <v>Useful Does Not Mean Secure</v>
      </c>
      <c r="D1876" t="str">
        <f>IFERROR(__xludf.DUMMYFUNCTION("""COMPUTED_VALUE"""),"Ben Pace")</f>
        <v>Ben Pace</v>
      </c>
      <c r="E1876" t="str">
        <f>IFERROR(__xludf.DUMMYFUNCTION("""COMPUTED_VALUE"""),"Alignment Forum")</f>
        <v>Alignment Forum</v>
      </c>
      <c r="F1876">
        <f>IFERROR(__xludf.DUMMYFUNCTION("""COMPUTED_VALUE"""),2019.0)</f>
        <v>2019</v>
      </c>
      <c r="H1876" s="3" t="str">
        <f>IFERROR(__xludf.DUMMYFUNCTION("""COMPUTED_VALUE"""),"AN #76")</f>
        <v>AN #76</v>
      </c>
      <c r="I1876" t="str">
        <f>IFERROR(__xludf.DUMMYFUNCTION("""COMPUTED_VALUE"""),"Rohin")</f>
        <v>Rohin</v>
      </c>
      <c r="J1876" t="str">
        <f>IFERROR(__xludf.DUMMYFUNCTION("""COMPUTED_VALUE"""),"Recently, I [suggested](https://www.alignmentforum.org/posts/X2i9dQQK3gETCyqh2/chris-olah-s-views-on-agi-safety#QyeCpFTcXsQuxpz7B) the following broad model: _The way you build things that are useful and do what you want is to understand how things work a"&amp;"nd put them together in a deliberate way. If you put things together randomly, they either won't work, or will have unintended side effects._ Under this model, relative to doing nothing, it is net positive to improve our understanding of AI systems, e.g. "&amp;"via transparency tools, even if it means we build powerful AI systems sooner (which reduces the time we have to solve alignment).
This post presents a counterargument: while understanding helps us make _useful_ systems, it need not help us build _secure_"&amp;" systems. We need security because that is the only way to get useful systems in the presence of powerful external optimization, and the whole point of AGI is to build systems that are more powerful optimizers than we are. If you take an already-useful AI"&amp;" system, and you ""make it more powerful"", this increases the intelligence of both the useful parts and the adversarial parts. At this point, the main point of failure is if the adversarial parts ""win"": you now have to be robust against adversaries, wh"&amp;"ich is a security property, not a usefulness property.
Under this model, transparency work need not be helpful: if the transparency tools allow you to detect some kinds of bad cognition but not others, an adversary simply makes sure that all of its adver"&amp;"sarial cognition is the kind you can't detect. _Rohin's note: Or, if you use your transparency tools during training, you are selecting for models whose adversarial cognition is the kind you can't detect._ Then, transparency tools could increase understan"&amp;"ding and shorten the time to powerful AI systems, _without_ improving security.")</f>
        <v>Recently, I [suggested](https://www.alignmentforum.org/posts/X2i9dQQK3gETCyqh2/chris-olah-s-views-on-agi-safety#QyeCpFTcXsQuxpz7B) the following broad model: _The way you build things that are useful and do what you want is to understand how things work and put them together in a deliberate way. If you put things together randomly, they either won't work, or will have unintended side effects._ Under this model, relative to doing nothing, it is net positive to improve our understanding of AI systems, e.g. via transparency tools, even if it means we build powerful AI systems sooner (which reduces the time we have to solve alignment).
This post presents a counterargument: while understanding helps us make _useful_ systems, it need not help us build _secure_ systems. We need security because that is the only way to get useful systems in the presence of powerful external optimization, and the whole point of AGI is to build systems that are more powerful optimizers than we are. If you take an already-useful AI system, and you "make it more powerful", this increases the intelligence of both the useful parts and the adversarial parts. At this point, the main point of failure is if the adversarial parts "win": you now have to be robust against adversaries, which is a security property, not a usefulness property.
Under this model, transparency work need not be helpful: if the transparency tools allow you to detect some kinds of bad cognition but not others, an adversary simply makes sure that all of its adversarial cognition is the kind you can't detect. _Rohin's note: Or, if you use your transparency tools during training, you are selecting for models whose adversarial cognition is the kind you can't detect._ Then, transparency tools could increase understanding and shorten the time to powerful AI systems, _without_ improving security.</v>
      </c>
      <c r="K1876" t="str">
        <f>IFERROR(__xludf.DUMMYFUNCTION("""COMPUTED_VALUE"""),"I certainly agree that in the presence of powerful adversarial optimizers, you need security to get your system to do what you want. However, we can just _not build powerful adversarial optimizers_. My preferred solution is to make sure our AI systems are"&amp;" [trying to do what we want](https://www.alignmentforum.org/s/EmDuGeRw749sD3GKd/p/ZeE7EKHTFMBs8eMxn#3ECKoYzFNW2ZqS6km), so that they never become adversarial in the first place. But if for some reason we can't do that, then we could make sure AI systems d"&amp;"on't become too powerful, or not build them at all. It seems very weird to instead say ""well, the AI system is going to be adversarial and way more powerful, let's figure out how to make it secure"" -- that should be the last approach, if none of the oth"&amp;"er approaches work out. (More details in [this comment](https://www.alignmentforum.org/posts/mdau2DBSMi5bWXPGA/useful-does-not-mean-secure#xccsZeboCNcNJeGas).) Note that MIRI doesn't aim for security because they expect powerful adversarial optimization -"&amp;"- they aim for security because _any_ optimization &lt;@leads to extreme outcomes@&gt;(@Optimization Amplifies@). (More details in [this comment](https://www.lesswrong.com/posts/mdau2DBSMi5bWXPGA/useful-does-not-mean-secure#a8mzXZeMLCbAY5S2J).)")</f>
        <v>I certainly agree that in the presence of powerful adversarial optimizers, you need security to get your system to do what you want. However, we can just _not build powerful adversarial optimizers_. My preferred solution is to make sure our AI systems are [trying to do what we want](https://www.alignmentforum.org/s/EmDuGeRw749sD3GKd/p/ZeE7EKHTFMBs8eMxn#3ECKoYzFNW2ZqS6km), so that they never become adversarial in the first place. But if for some reason we can't do that, then we could make sure AI systems don't become too powerful, or not build them at all. It seems very weird to instead say "well, the AI system is going to be adversarial and way more powerful, let's figure out how to make it secure" -- that should be the last approach, if none of the other approaches work out. (More details in [this comment](https://www.alignmentforum.org/posts/mdau2DBSMi5bWXPGA/useful-does-not-mean-secure#xccsZeboCNcNJeGas).) Note that MIRI doesn't aim for security because they expect powerful adversarial optimization -- they aim for security because _any_ optimization &lt;@leads to extreme outcomes@&gt;(@Optimization Amplifies@). (More details in [this comment](https://www.lesswrong.com/posts/mdau2DBSMi5bWXPGA/useful-does-not-mean-secure#a8mzXZeMLCbAY5S2J).)</v>
      </c>
    </row>
    <row r="1877">
      <c r="A1877" t="str">
        <f>IFERROR(__xludf.DUMMYFUNCTION("""COMPUTED_VALUE"""),"Technical agendas and prioritization")</f>
        <v>Technical agendas and prioritization</v>
      </c>
      <c r="B1877" t="str">
        <f>IFERROR(__xludf.DUMMYFUNCTION("""COMPUTED_VALUE"""),"")</f>
        <v/>
      </c>
      <c r="C1877" s="3" t="str">
        <f>IFERROR(__xludf.DUMMYFUNCTION("""COMPUTED_VALUE"""),"Overview of AGI Safety Research Agendas")</f>
        <v>Overview of AGI Safety Research Agendas</v>
      </c>
      <c r="D1877" t="str">
        <f>IFERROR(__xludf.DUMMYFUNCTION("""COMPUTED_VALUE"""),"Rohin Shah")</f>
        <v>Rohin Shah</v>
      </c>
      <c r="E1877" t="str">
        <f>IFERROR(__xludf.DUMMYFUNCTION("""COMPUTED_VALUE"""),"BAGI 2019")</f>
        <v>BAGI 2019</v>
      </c>
      <c r="F1877">
        <f>IFERROR(__xludf.DUMMYFUNCTION("""COMPUTED_VALUE"""),2019.0)</f>
        <v>2019</v>
      </c>
      <c r="H1877" s="3" t="str">
        <f>IFERROR(__xludf.DUMMYFUNCTION("""COMPUTED_VALUE"""),"AN #55")</f>
        <v>AN #55</v>
      </c>
      <c r="I1877" t="str">
        <f>IFERROR(__xludf.DUMMYFUNCTION("""COMPUTED_VALUE"""),"Rohin")</f>
        <v>Rohin</v>
      </c>
      <c r="J1877" t="str">
        <f>IFERROR(__xludf.DUMMYFUNCTION("""COMPUTED_VALUE"""),"The video from my talk at the Beneficial AGI conference has just been released. In this talk, I cover five broad safety-related areas that people are investigating: understanding the future of AI (&lt;@embedded agency@&gt;(@Embedded Agents@), &lt;@CAIS@&gt;(@Reframin"&amp;"g Superintelligence: Comprehensive AI Services as General Intelligence@)), limiting the influence of an AI system (&lt;@boxing@&gt;(@Asymptotically Benign AGI@), &lt;@impact regularization methods@&gt;(@Designing agent incentives to avoid side effects@)), robustness "&amp;"(&lt;@verification@&gt;(@Certified Defenses against Adversarial Examples@), [red teaming](https://ai-alignment.com/red-teams-b5b6de33dc76)), helpful AI systems (&lt;@ambitious value learning@&gt;(@What is ambitious value learning?@), [preference learning](https://ope"&amp;"nai.com/blog/deep-reinforcement-learning-from-human-preferences/), [Cooperative IRL](https://bair.berkeley.edu/blog/2017/08/17/cooperatively-learning-human-values/), &lt;@corrigibility@&gt;, &lt;@factored cognition@&gt;, [iterated amplification](https://www.alignment"&amp;"forum.org/s/EmDuGeRw749sD3GKd), &lt;@debate@&gt;(@AI safety via debate@)) and &lt;@interpretability@&gt;(@Exploring Neural Networks with Activation Atlases@). My [podcast](https://futureoflife.org/2019/04/11/an-overview-of-technical-ai-alignment-with-rohin-shah-part-"&amp;"1/) ([AN #54](https://mailchi.mp/3e2f43012b07/an-54-boxing-a-finite-horizon-ai-system-to-keep-it-unambitious)) covers almost all of this and more, so you may want to listen to that instead.
[FLI's YouTube channel](https://www.youtube.com/channel/UC-rCCy3"&amp;"FQ-GItDimSR9lhzw)")</f>
        <v>The video from my talk at the Beneficial AGI conference has just been released. In this talk, I cover five broad safety-related areas that people are investigating: understanding the future of AI (&lt;@embedded agency@&gt;(@Embedded Agents@), &lt;@CAIS@&gt;(@Reframing Superintelligence: Comprehensive AI Services as General Intelligence@)), limiting the influence of an AI system (&lt;@boxing@&gt;(@Asymptotically Benign AGI@), &lt;@impact regularization methods@&gt;(@Designing agent incentives to avoid side effects@)), robustness (&lt;@verification@&gt;(@Certified Defenses against Adversarial Examples@), [red teaming](https://ai-alignment.com/red-teams-b5b6de33dc76)), helpful AI systems (&lt;@ambitious value learning@&gt;(@What is ambitious value learning?@), [preference learning](https://openai.com/blog/deep-reinforcement-learning-from-human-preferences/), [Cooperative IRL](https://bair.berkeley.edu/blog/2017/08/17/cooperatively-learning-human-values/), &lt;@corrigibility@&gt;, &lt;@factored cognition@&gt;, [iterated amplification](https://www.alignmentforum.org/s/EmDuGeRw749sD3GKd), &lt;@debate@&gt;(@AI safety via debate@)) and &lt;@interpretability@&gt;(@Exploring Neural Networks with Activation Atlases@). My [podcast](https://futureoflife.org/2019/04/11/an-overview-of-technical-ai-alignment-with-rohin-shah-part-1/) ([AN #54](https://mailchi.mp/3e2f43012b07/an-54-boxing-a-finite-horizon-ai-system-to-keep-it-unambitious)) covers almost all of this and more, so you may want to listen to that instead.
[FLI's YouTube channel](https://www.youtube.com/channel/UC-rCCy3FQ-GItDimSR9lhzw)</v>
      </c>
    </row>
    <row r="1878">
      <c r="A1878" t="str">
        <f>IFERROR(__xludf.DUMMYFUNCTION("""COMPUTED_VALUE"""),"Technical agendas and prioritization")</f>
        <v>Technical agendas and prioritization</v>
      </c>
      <c r="B1878" t="str">
        <f>IFERROR(__xludf.DUMMYFUNCTION("""COMPUTED_VALUE"""),"")</f>
        <v/>
      </c>
      <c r="C1878" t="str">
        <f>IFERROR(__xludf.DUMMYFUNCTION("""COMPUTED_VALUE"""),"AI Alignment Podcast: An Overview of Technical AI Alignment: [Part 1](https://futureoflife.org/2019/04/11/an-overview-of-technical-ai-alignment-with-rohin-shah-part-1/) and [Part 2](https://futureoflife.org/2019/04/25/an-overview-of-technical-ai-alignment"&amp;"-with-rohin-shah-part-2/)")</f>
        <v>AI Alignment Podcast: An Overview of Technical AI Alignment: [Part 1](https://futureoflife.org/2019/04/11/an-overview-of-technical-ai-alignment-with-rohin-shah-part-1/) and [Part 2](https://futureoflife.org/2019/04/25/an-overview-of-technical-ai-alignment-with-rohin-shah-part-2/)</v>
      </c>
      <c r="D1878" t="str">
        <f>IFERROR(__xludf.DUMMYFUNCTION("""COMPUTED_VALUE"""),"Lucas Perry and Rohin Shah")</f>
        <v>Lucas Perry and Rohin Shah</v>
      </c>
      <c r="E1878" t="str">
        <f>IFERROR(__xludf.DUMMYFUNCTION("""COMPUTED_VALUE"""),"FLI Website")</f>
        <v>FLI Website</v>
      </c>
      <c r="F1878">
        <f>IFERROR(__xludf.DUMMYFUNCTION("""COMPUTED_VALUE"""),2019.0)</f>
        <v>2019</v>
      </c>
      <c r="H1878" s="3" t="str">
        <f>IFERROR(__xludf.DUMMYFUNCTION("""COMPUTED_VALUE"""),"AN #54")</f>
        <v>AN #54</v>
      </c>
      <c r="I1878" t="str">
        <f>IFERROR(__xludf.DUMMYFUNCTION("""COMPUTED_VALUE"""),"Rohin")</f>
        <v>Rohin</v>
      </c>
      <c r="J1878" t="str">
        <f>IFERROR(__xludf.DUMMYFUNCTION("""COMPUTED_VALUE"""),"In this podcast, I go through a large swath of research agendas around technical AI alignment. The first part is more of a description of what research agendas exist, who works on them, and what they are trying to do, while the second part delves more int"&amp;"o the details of each approach. I'd strongly recommend listening to them if you're trying to orient yourself in the technical AI safety landscape.
Topics covered include [embedded agency](https://www.alignmentforum.org/s/Rm6oQRJJmhGCcLvxh), [value learni"&amp;"ng](https://www.alignmentforum.org/s/4dHMdK5TLN6xcqtyc), &lt;@impact regularization methods@&gt;(@Designing agent incentives to avoid side effects@), [iterated amplification](https://www.alignmentforum.org/s/EmDuGeRw749sD3GKd), &lt;@debate@&gt;(@AI safety via debate@"&amp;"), &lt;@factored cognition@&gt;(@Factored Cognition@), &lt;@robustness@&gt;(@Techniques for optimizing worst-case performance@), interpretability (no canonical link, but &lt;@activation atlases@&gt;(@Exploring Neural Networks with Activation Atlases@) is an example), &lt;@com"&amp;"prehensive AI services@&gt;(@Reframing Superintelligence: Comprehensive AI Services as General Intelligence@), &lt;@norm following@&gt;(@Incomplete Contracting and AI Alignment@), and [boxing](https://www.alignmentforum.org/posts/pZhDWxDmwzuSwLjou/asymptotically-b"&amp;"enign-agi) (this newsletter).")</f>
        <v>In this podcast, I go through a large swath of research agendas around technical AI alignment. The first part is more of a description of what research agendas exist, who works on them, and what they are trying to do, while the second part delves more into the details of each approach. I'd strongly recommend listening to them if you're trying to orient yourself in the technical AI safety landscape.
Topics covered include [embedded agency](https://www.alignmentforum.org/s/Rm6oQRJJmhGCcLvxh), [value learning](https://www.alignmentforum.org/s/4dHMdK5TLN6xcqtyc), &lt;@impact regularization methods@&gt;(@Designing agent incentives to avoid side effects@), [iterated amplification](https://www.alignmentforum.org/s/EmDuGeRw749sD3GKd), &lt;@debate@&gt;(@AI safety via debate@), &lt;@factored cognition@&gt;(@Factored Cognition@), &lt;@robustness@&gt;(@Techniques for optimizing worst-case performance@), interpretability (no canonical link, but &lt;@activation atlases@&gt;(@Exploring Neural Networks with Activation Atlases@) is an example), &lt;@comprehensive AI services@&gt;(@Reframing Superintelligence: Comprehensive AI Services as General Intelligence@), &lt;@norm following@&gt;(@Incomplete Contracting and AI Alignment@), and [boxing](https://www.alignmentforum.org/posts/pZhDWxDmwzuSwLjou/asymptotically-benign-agi) (this newsletter).</v>
      </c>
    </row>
    <row r="1879">
      <c r="A1879" t="str">
        <f>IFERROR(__xludf.DUMMYFUNCTION("""COMPUTED_VALUE"""),"Technical agendas and prioritization")</f>
        <v>Technical agendas and prioritization</v>
      </c>
      <c r="B1879" t="str">
        <f>IFERROR(__xludf.DUMMYFUNCTION("""COMPUTED_VALUE"""),"")</f>
        <v/>
      </c>
      <c r="C1879" s="3" t="str">
        <f>IFERROR(__xludf.DUMMYFUNCTION("""COMPUTED_VALUE"""),"Summary of the Technical Safety Workshop")</f>
        <v>Summary of the Technical Safety Workshop</v>
      </c>
      <c r="D1879" t="str">
        <f>IFERROR(__xludf.DUMMYFUNCTION("""COMPUTED_VALUE"""),"David Krueger")</f>
        <v>David Krueger</v>
      </c>
      <c r="E1879" t="str">
        <f>IFERROR(__xludf.DUMMYFUNCTION("""COMPUTED_VALUE"""),"BAGI 2019")</f>
        <v>BAGI 2019</v>
      </c>
      <c r="F1879">
        <f>IFERROR(__xludf.DUMMYFUNCTION("""COMPUTED_VALUE"""),2019.0)</f>
        <v>2019</v>
      </c>
      <c r="H1879" s="3" t="str">
        <f>IFERROR(__xludf.DUMMYFUNCTION("""COMPUTED_VALUE"""),"AN #53")</f>
        <v>AN #53</v>
      </c>
      <c r="I1879" t="str">
        <f>IFERROR(__xludf.DUMMYFUNCTION("""COMPUTED_VALUE"""),"Richard")</f>
        <v>Richard</v>
      </c>
      <c r="J1879" t="str">
        <f>IFERROR(__xludf.DUMMYFUNCTION("""COMPUTED_VALUE"""),"David identifies two broad types of AI safety work: human in the loop approaches, and theory approaches. A notable subset of the former category is methods which improve our ability to give advanced systems meaningful feedback - this includes debate, IDA,"&amp;" and recursive reward modeling. CIRL and CAIS are also human-in-the-loop. Meanwhile the theory category includes MIRI's work on agent foundations; side effect metrics; and verified boxing.")</f>
        <v>David identifies two broad types of AI safety work: human in the loop approaches, and theory approaches. A notable subset of the former category is methods which improve our ability to give advanced systems meaningful feedback - this includes debate, IDA, and recursive reward modeling. CIRL and CAIS are also human-in-the-loop. Meanwhile the theory category includes MIRI's work on agent foundations; side effect metrics; and verified boxing.</v>
      </c>
    </row>
    <row r="1880">
      <c r="A1880" t="str">
        <f>IFERROR(__xludf.DUMMYFUNCTION("""COMPUTED_VALUE"""),"Technical agendas and prioritization")</f>
        <v>Technical agendas and prioritization</v>
      </c>
      <c r="B1880" t="str">
        <f>IFERROR(__xludf.DUMMYFUNCTION("""COMPUTED_VALUE"""),"")</f>
        <v/>
      </c>
      <c r="C1880" s="3" t="str">
        <f>IFERROR(__xludf.DUMMYFUNCTION("""COMPUTED_VALUE"""),"Comments on CAIS")</f>
        <v>Comments on CAIS</v>
      </c>
      <c r="D1880" t="str">
        <f>IFERROR(__xludf.DUMMYFUNCTION("""COMPUTED_VALUE"""),"Richard Ngo")</f>
        <v>Richard Ngo</v>
      </c>
      <c r="E1880" t="str">
        <f>IFERROR(__xludf.DUMMYFUNCTION("""COMPUTED_VALUE"""),"Alignment Forum")</f>
        <v>Alignment Forum</v>
      </c>
      <c r="F1880">
        <f>IFERROR(__xludf.DUMMYFUNCTION("""COMPUTED_VALUE"""),2019.0)</f>
        <v>2019</v>
      </c>
      <c r="H1880" s="3" t="str">
        <f>IFERROR(__xludf.DUMMYFUNCTION("""COMPUTED_VALUE"""),"AN #41")</f>
        <v>AN #41</v>
      </c>
      <c r="I1880" t="str">
        <f>IFERROR(__xludf.DUMMYFUNCTION("""COMPUTED_VALUE"""),"Rohin")</f>
        <v>Rohin</v>
      </c>
      <c r="J1880" t="str">
        <f>IFERROR(__xludf.DUMMYFUNCTION("""COMPUTED_VALUE"""),"This post is another summary of and response to [Comprehensive AI Services](https://www.fhi.ox.ac.uk/wp-content/uploads/Reframing_Superintelligence_FHI-TR-2019-1.1-1.pdf), after [mine](https://www.alignmentforum.org/posts/x3fNwSe5aWZb5yXEG/reframing-super"&amp;"intelligence-comprehensive-ai-services-as) last week ([AN #40](https://mailchi.mp/b649f32b07da/alignment-newsletter-40)). I recommend it to get a different take on an important set of ideas. It delves much more into the arguments between the CAIS perspect"&amp;"ive and the single-AGI-agent perspective than my summary did.")</f>
        <v>This post is another summary of and response to [Comprehensive AI Services](https://www.fhi.ox.ac.uk/wp-content/uploads/Reframing_Superintelligence_FHI-TR-2019-1.1-1.pdf), after [mine](https://www.alignmentforum.org/posts/x3fNwSe5aWZb5yXEG/reframing-superintelligence-comprehensive-ai-services-as) last week ([AN #40](https://mailchi.mp/b649f32b07da/alignment-newsletter-40)). I recommend it to get a different take on an important set of ideas. It delves much more into the arguments between the CAIS perspective and the single-AGI-agent perspective than my summary did.</v>
      </c>
    </row>
    <row r="1881">
      <c r="A1881" t="str">
        <f>IFERROR(__xludf.DUMMYFUNCTION("""COMPUTED_VALUE"""),"Technical agendas and prioritization")</f>
        <v>Technical agendas and prioritization</v>
      </c>
      <c r="B1881" t="str">
        <f>IFERROR(__xludf.DUMMYFUNCTION("""COMPUTED_VALUE"""),"")</f>
        <v/>
      </c>
      <c r="C1881" s="3" t="str">
        <f>IFERROR(__xludf.DUMMYFUNCTION("""COMPUTED_VALUE"""),"Selection Theorems: A Program For Understanding Agents")</f>
        <v>Selection Theorems: A Program For Understanding Agents</v>
      </c>
      <c r="D1881" t="str">
        <f>IFERROR(__xludf.DUMMYFUNCTION("""COMPUTED_VALUE"""),"John Wentworth")</f>
        <v>John Wentworth</v>
      </c>
      <c r="E1881" t="str">
        <f>IFERROR(__xludf.DUMMYFUNCTION("""COMPUTED_VALUE"""),"Alignment Forum")</f>
        <v>Alignment Forum</v>
      </c>
      <c r="F1881">
        <f>IFERROR(__xludf.DUMMYFUNCTION("""COMPUTED_VALUE"""),2021.0)</f>
        <v>2021</v>
      </c>
      <c r="H1881" s="3" t="str">
        <f>IFERROR(__xludf.DUMMYFUNCTION("""COMPUTED_VALUE"""),"AN #167")</f>
        <v>AN #167</v>
      </c>
      <c r="I1881" t="str">
        <f>IFERROR(__xludf.DUMMYFUNCTION("""COMPUTED_VALUE"""),"Rohin")</f>
        <v>Rohin</v>
      </c>
      <c r="J1881" t="str">
        <f>IFERROR(__xludf.DUMMYFUNCTION("""COMPUTED_VALUE"""),"This post proposes a research area for understanding agents: **selection theorems**. A selection theorem is a theorem that tells us something about agents that will be selected for in a broad class of environments. Selection theorems are helpful because ("&amp;"1) they can provide additional assumptions that can help with learning human values, and (2) they can tell us likely properties of the agents we build by accident (think inner alignment concerns).
As an example, [coherence arguments](https://www.alignmen"&amp;"tforum.org/posts/RQpNHSiWaXTvDxt6R/coherent-decisions-imply-consistent-utilities) demonstrate that when an environment presents an agent with “bets” or “lotteries”, where the agent cares only about the outcomes of the bets, then any “good” agent can be re"&amp;"presented as maximizing expected utility. (What does it mean to be “good”? This can vary, but one example would be that the agent is not subject to Dutch books, i.e. situations in which it is guaranteed to lose resources.) This can then be turned into a s"&amp;"election argument by combining it with something that selects for “good” agents. For example, evolution will select for agents that don’t lose resources for no gain, so humans are likely to be represented as maximizing expected utility. Unfortunately, man"&amp;"y coherence arguments implicitly assume that the agent has no internal state, which is not true for humans, so this argument does not clearly work. As another example, our ML training procedures will likely also select for agents that don’t waste resource"&amp;"s, which could allow us to conclude that the resulting agents can be represented as maximizing expected utility, if the agents don't have internal states.
Coherence arguments aren’t the only kind of selection theorem. The &lt;@good(er) regulator theorem@&gt;(@"&amp;"Fixing The Good Regulator Theorem@) provides a set of scenarios under which agents learn an internal “world model”. The [Kelly criterion](http://www.eecs.harvard.edu/cs286r/courses/fall10/papers/Chapter6.pdf) tells us about scenarios in which the best (mo"&amp;"st selected) agents will make bets as though they are maximizing expected log money. These and other examples are described in [this followup post](https://www.alignmentforum.org/posts/N2NebPD78ioyWHhNm/some-existing-selection-theorems).
The rest of this"&amp;" post elaborates on the various parts of a selection theorem and provides advice on how to make original research contributions in the area of selection theorems. Another [followup post](https://www.alignmentforum.org/posts/RuDD3aQWLDSb4eTXP/what-selectio"&amp;"n-theorems-do-we-expect-want) describes some useful properties for which the author expects there are useful selections theorems to prove.")</f>
        <v>This post proposes a research area for understanding agents: **selection theorems**. A selection theorem is a theorem that tells us something about agents that will be selected for in a broad class of environments. Selection theorems are helpful because (1) they can provide additional assumptions that can help with learning human values, and (2) they can tell us likely properties of the agents we build by accident (think inner alignment concerns).
As an example, [coherence arguments](https://www.alignmentforum.org/posts/RQpNHSiWaXTvDxt6R/coherent-decisions-imply-consistent-utilities) demonstrate that when an environment presents an agent with “bets” or “lotteries”, where the agent cares only about the outcomes of the bets, then any “good” agent can be represented as maximizing expected utility. (What does it mean to be “good”? This can vary, but one example would be that the agent is not subject to Dutch books, i.e. situations in which it is guaranteed to lose resources.) This can then be turned into a selection argument by combining it with something that selects for “good” agents. For example, evolution will select for agents that don’t lose resources for no gain, so humans are likely to be represented as maximizing expected utility. Unfortunately, many coherence arguments implicitly assume that the agent has no internal state, which is not true for humans, so this argument does not clearly work. As another example, our ML training procedures will likely also select for agents that don’t waste resources, which could allow us to conclude that the resulting agents can be represented as maximizing expected utility, if the agents don't have internal states.
Coherence arguments aren’t the only kind of selection theorem. The &lt;@good(er) regulator theorem@&gt;(@Fixing The Good Regulator Theorem@) provides a set of scenarios under which agents learn an internal “world model”. The [Kelly criterion](http://www.eecs.harvard.edu/cs286r/courses/fall10/papers/Chapter6.pdf) tells us about scenarios in which the best (most selected) agents will make bets as though they are maximizing expected log money. These and other examples are described in [this followup post](https://www.alignmentforum.org/posts/N2NebPD78ioyWHhNm/some-existing-selection-theorems).
The rest of this post elaborates on the various parts of a selection theorem and provides advice on how to make original research contributions in the area of selection theorems. Another [followup post](https://www.alignmentforum.org/posts/RuDD3aQWLDSb4eTXP/what-selection-theorems-do-we-expect-want) describes some useful properties for which the author expects there are useful selections theorems to prove.</v>
      </c>
      <c r="K1881" t="str">
        <f>IFERROR(__xludf.DUMMYFUNCTION("""COMPUTED_VALUE"""),"People sometimes expect me to be against this sort of work, because I wrote &lt;@Coherence arguments do not imply goal-directed behavior@&gt;. This is not true. My point in that post is that coherence arguments _alone_ are not enough, you need to combine them w"&amp;"ith some other assumption (for example, that there exists some “resource” over which the agent has no terminal preferences). I do think it is plausible that this research agenda gives us a better picture of agency that tells us something about how AI syst"&amp;"ems will behave, or something about how to better infer human values. While I am personally more excited about studying particular development paths to AGI rather than more abstract agent models, I do think this research would be more useful than other ty"&amp;"pes of alignment research I have seen proposed.")</f>
        <v>People sometimes expect me to be against this sort of work, because I wrote &lt;@Coherence arguments do not imply goal-directed behavior@&gt;. This is not true. My point in that post is that coherence arguments _alone_ are not enough, you need to combine them with some other assumption (for example, that there exists some “resource” over which the agent has no terminal preferences). I do think it is plausible that this research agenda gives us a better picture of agency that tells us something about how AI systems will behave, or something about how to better infer human values. While I am personally more excited about studying particular development paths to AGI rather than more abstract agent models, I do think this research would be more useful than other types of alignment research I have seen proposed.</v>
      </c>
    </row>
    <row r="1882">
      <c r="A1882" t="str">
        <f>IFERROR(__xludf.DUMMYFUNCTION("""COMPUTED_VALUE"""),"Technical agendas and prioritization")</f>
        <v>Technical agendas and prioritization</v>
      </c>
      <c r="B1882" t="str">
        <f>IFERROR(__xludf.DUMMYFUNCTION("""COMPUTED_VALUE"""),"")</f>
        <v/>
      </c>
      <c r="C1882" s="3" t="str">
        <f>IFERROR(__xludf.DUMMYFUNCTION("""COMPUTED_VALUE"""),"Measurement, Optimization, and Take-off Speed")</f>
        <v>Measurement, Optimization, and Take-off Speed</v>
      </c>
      <c r="D1882" t="str">
        <f>IFERROR(__xludf.DUMMYFUNCTION("""COMPUTED_VALUE"""),"Jacob Steinhardt")</f>
        <v>Jacob Steinhardt</v>
      </c>
      <c r="E1882" t="str">
        <f>IFERROR(__xludf.DUMMYFUNCTION("""COMPUTED_VALUE"""),"Author's Website")</f>
        <v>Author's Website</v>
      </c>
      <c r="F1882">
        <f>IFERROR(__xludf.DUMMYFUNCTION("""COMPUTED_VALUE"""),2021.0)</f>
        <v>2021</v>
      </c>
      <c r="H1882" s="3" t="str">
        <f>IFERROR(__xludf.DUMMYFUNCTION("""COMPUTED_VALUE"""),"AN #157")</f>
        <v>AN #157</v>
      </c>
      <c r="I1882" t="str">
        <f>IFERROR(__xludf.DUMMYFUNCTION("""COMPUTED_VALUE"""),"Sudhanshu")</f>
        <v>Sudhanshu</v>
      </c>
      <c r="J1882" t="str">
        <f>IFERROR(__xludf.DUMMYFUNCTION("""COMPUTED_VALUE"""),"In this blogpost, the author argues that ""trying to measure pretty much anything you can think of is a good mental move that is heavily underutilized in machine learning"". He motivates the value of measurement and additional metrics by (i) citing eviden"&amp;"ce from the history of science, policy-making, and engineering (e.g. x-ray crystallography contributed to rapid progress in molecular biology), (ii) describing how, conceptually, ""measurement has several valuable properties"" (one of which is to act as i"&amp;"nterlocking constraints that help to error-check theories), and (iii) providing anecdotes from his own research endeavours where such approaches have been productive and useful (see, e.g. &lt;@Rethinking Bias-Variance Trade-off@&gt;(@Rethinking Bias-Variance Tr"&amp;"ade-off for Generalization of Neural Networks@)). 
He demonstrates his proposal by applying it to the notion of _optimization power_ -- an important idea that has not been measured or even framed in terms of metrics. Two metrics are offered: (a) the chan"&amp;"ge (typically deterioration) of performance when trained with a perturbed objective function with respect to the original objective function, named _Outer Optimization_, and (b) the change in performance of agents during their own lifetime (but without an"&amp;"y further parameter updates), such as the log-loss on the next sentence for a language model after it sees X number of sequences at test time, or _Inner Adaptation_. Inspired by these, the article includes research questions and possible challenges.
He c"&amp;"oncludes with the insight that take-off would depend on these two continuous processes, Outer Optimization and Inner Adaptation, that work on very different time-scales, with the former being, at this time, much quicker than the latter. However, drawing a"&amp;"n analogy from evolution, where it took billions of years of optimization to generate creatures like humans that were exceptional at rapid adaptation, we might yet see a fast take-off were Inner Adaptation turns out to be an exponential process that domin"&amp;"ates capabilities progress. He advocates for early, sensitive measurement of this quantity as it might be an early warning sign of imminent risks.")</f>
        <v>In this blogpost, the author argues that "trying to measure pretty much anything you can think of is a good mental move that is heavily underutilized in machine learning". He motivates the value of measurement and additional metrics by (i) citing evidence from the history of science, policy-making, and engineering (e.g. x-ray crystallography contributed to rapid progress in molecular biology), (ii) describing how, conceptually, "measurement has several valuable properties" (one of which is to act as interlocking constraints that help to error-check theories), and (iii) providing anecdotes from his own research endeavours where such approaches have been productive and useful (see, e.g. &lt;@Rethinking Bias-Variance Trade-off@&gt;(@Rethinking Bias-Variance Trade-off for Generalization of Neural Networks@)). 
He demonstrates his proposal by applying it to the notion of _optimization power_ -- an important idea that has not been measured or even framed in terms of metrics. Two metrics are offered: (a) the change (typically deterioration) of performance when trained with a perturbed objective function with respect to the original objective function, named _Outer Optimization_, and (b) the change in performance of agents during their own lifetime (but without any further parameter updates), such as the log-loss on the next sentence for a language model after it sees X number of sequences at test time, or _Inner Adaptation_. Inspired by these, the article includes research questions and possible challenges.
He concludes with the insight that take-off would depend on these two continuous processes, Outer Optimization and Inner Adaptation, that work on very different time-scales, with the former being, at this time, much quicker than the latter. However, drawing an analogy from evolution, where it took billions of years of optimization to generate creatures like humans that were exceptional at rapid adaptation, we might yet see a fast take-off were Inner Adaptation turns out to be an exponential process that dominates capabilities progress. He advocates for early, sensitive measurement of this quantity as it might be an early warning sign of imminent risks.</v>
      </c>
      <c r="K1882" t="str">
        <f>IFERROR(__xludf.DUMMYFUNCTION("""COMPUTED_VALUE"""),"Early on, this post reminded me of [Twenty Billion Questions](https://arxiv.org/pdf/1705.10720.pdf); even though they are concretely different, these two pieces share a conceptual thread. They both consider the measurement of multiple quantities essential"&amp;" for solving their problems: 20BQ for encouraging AIs to be low-impact, and this post for productive framings of ill-defined concepts and as a heads-up about potential catastrophes.
Measurement is important, and this article poignantly argues why and ill"&amp;"ustrates how. It volunteers potential ideas that can be worked on today by mainstream ML researchers, and offers up a powerful toolkit to improve one's own quality of analysis. It would be great to see more examples of this technique applied to other cont"&amp;"entious, fuzzy concepts in ML and beyond. I'll quickly note that while there seems to be minimal interest in this from academia, measurement of optimization power has been discussed earlier in several ways, e.g. [Measuring Optimization Power](https://www."&amp;"lesswrong.com/posts/Q4hLMDrFd8fbteeZ8/measuring-optimization-power), or &lt;@the ground of optimization@&gt;(@The ground of optimization@).
**Rohin's opinion:** I broadly agree with the perspective in this post. I feel especially optimistic about the prospects"&amp;" of measurement for (a) checking whether our theoretical arguments hold in practice and (b) convincing others of our positions (assuming that the arguments do hold in practice).")</f>
        <v>Early on, this post reminded me of [Twenty Billion Questions](https://arxiv.org/pdf/1705.10720.pdf); even though they are concretely different, these two pieces share a conceptual thread. They both consider the measurement of multiple quantities essential for solving their problems: 20BQ for encouraging AIs to be low-impact, and this post for productive framings of ill-defined concepts and as a heads-up about potential catastrophes.
Measurement is important, and this article poignantly argues why and illustrates how. It volunteers potential ideas that can be worked on today by mainstream ML researchers, and offers up a powerful toolkit to improve one's own quality of analysis. It would be great to see more examples of this technique applied to other contentious, fuzzy concepts in ML and beyond. I'll quickly note that while there seems to be minimal interest in this from academia, measurement of optimization power has been discussed earlier in several ways, e.g. [Measuring Optimization Power](https://www.lesswrong.com/posts/Q4hLMDrFd8fbteeZ8/measuring-optimization-power), or &lt;@the ground of optimization@&gt;(@The ground of optimization@).
**Rohin's opinion:** I broadly agree with the perspective in this post. I feel especially optimistic about the prospects of measurement for (a) checking whether our theoretical arguments hold in practice and (b) convincing others of our positions (assuming that the arguments do hold in practice).</v>
      </c>
    </row>
    <row r="1883">
      <c r="A1883" t="str">
        <f>IFERROR(__xludf.DUMMYFUNCTION("""COMPUTED_VALUE"""),"Technical agendas and prioritization")</f>
        <v>Technical agendas and prioritization</v>
      </c>
      <c r="B1883" t="str">
        <f>IFERROR(__xludf.DUMMYFUNCTION("""COMPUTED_VALUE"""),"")</f>
        <v/>
      </c>
      <c r="C1883" s="3" t="str">
        <f>IFERROR(__xludf.DUMMYFUNCTION("""COMPUTED_VALUE"""),"Transparency and AGI safety")</f>
        <v>Transparency and AGI safety</v>
      </c>
      <c r="D1883" t="str">
        <f>IFERROR(__xludf.DUMMYFUNCTION("""COMPUTED_VALUE"""),"Jennifer Lin")</f>
        <v>Jennifer Lin</v>
      </c>
      <c r="E1883" t="str">
        <f>IFERROR(__xludf.DUMMYFUNCTION("""COMPUTED_VALUE"""),"Alignment Forum")</f>
        <v>Alignment Forum</v>
      </c>
      <c r="F1883">
        <f>IFERROR(__xludf.DUMMYFUNCTION("""COMPUTED_VALUE"""),2021.0)</f>
        <v>2021</v>
      </c>
      <c r="H1883" s="3" t="str">
        <f>IFERROR(__xludf.DUMMYFUNCTION("""COMPUTED_VALUE"""),"AN #133")</f>
        <v>AN #133</v>
      </c>
      <c r="I1883" t="str">
        <f>IFERROR(__xludf.DUMMYFUNCTION("""COMPUTED_VALUE"""),"Rohin")</f>
        <v>Rohin</v>
      </c>
      <c r="J1883" t="str">
        <f>IFERROR(__xludf.DUMMYFUNCTION("""COMPUTED_VALUE"""),"This post identifies four different motivations for working on transparency:
1. By learning more about how current neural networks work, we can improve our forecasts for AI timelines.
2. It seems _necessary_ for inner alignment. In particular, whatever A"&amp;"I development model you take, it seems likely that there will be some possibility of emergent misbehavior, and there doesn’t yet seem to be a way to rule that out except via transparency.
3. A good solution to transparency would be _sufficient_ for safety"&amp;", since we could at least notice when AI systems were misaligned, and then choose not to deploy them.
4. Even if AI will “go well by default”, there are still instrumental reasons for transparency, such as improving cause prioritization in EA (via point 1"&amp;"), and for making systems more capable and robust.
After reviewing work on &lt;@circuits@&gt;(@Thread: Circuits@), the post suggests a few directions for future research:
1. Investigating how modular neural networks tend to be,
2. Figuring out how to make tra"&amp;"nsparency outputs more precise and less subjective,
3. Looking for circuits in other networks (i.e. not image classifiers), see e.g. &lt;@RL vision@&gt;(@Understanding RL Vision@),
4. Figuring out how transparency fits into an end-to-end story for AI safety.")</f>
        <v>This post identifies four different motivations for working on transparency:
1. By learning more about how current neural networks work, we can improve our forecasts for AI timelines.
2. It seems _necessary_ for inner alignment. In particular, whatever AI development model you take, it seems likely that there will be some possibility of emergent misbehavior, and there doesn’t yet seem to be a way to rule that out except via transparency.
3. A good solution to transparency would be _sufficient_ for safety, since we could at least notice when AI systems were misaligned, and then choose not to deploy them.
4. Even if AI will “go well by default”, there are still instrumental reasons for transparency, such as improving cause prioritization in EA (via point 1), and for making systems more capable and robust.
After reviewing work on &lt;@circuits@&gt;(@Thread: Circuits@), the post suggests a few directions for future research:
1. Investigating how modular neural networks tend to be,
2. Figuring out how to make transparency outputs more precise and less subjective,
3. Looking for circuits in other networks (i.e. not image classifiers), see e.g. &lt;@RL vision@&gt;(@Understanding RL Vision@),
4. Figuring out how transparency fits into an end-to-end story for AI safety.</v>
      </c>
    </row>
    <row r="1884">
      <c r="A1884" t="str">
        <f>IFERROR(__xludf.DUMMYFUNCTION("""COMPUTED_VALUE"""),"Technical agendas and prioritization")</f>
        <v>Technical agendas and prioritization</v>
      </c>
      <c r="B1884" t="str">
        <f>IFERROR(__xludf.DUMMYFUNCTION("""COMPUTED_VALUE"""),"")</f>
        <v/>
      </c>
      <c r="C1884" s="3" t="str">
        <f>IFERROR(__xludf.DUMMYFUNCTION("""COMPUTED_VALUE"""),"AI Alignment, Philosophical Pluralism, and the Relevance of Non-Western Philosophy")</f>
        <v>AI Alignment, Philosophical Pluralism, and the Relevance of Non-Western Philosophy</v>
      </c>
      <c r="D1884" t="str">
        <f>IFERROR(__xludf.DUMMYFUNCTION("""COMPUTED_VALUE"""),"Tan Zhi Xuan")</f>
        <v>Tan Zhi Xuan</v>
      </c>
      <c r="E1884" t="str">
        <f>IFERROR(__xludf.DUMMYFUNCTION("""COMPUTED_VALUE"""),"Alignment Forum")</f>
        <v>Alignment Forum</v>
      </c>
      <c r="F1884">
        <f>IFERROR(__xludf.DUMMYFUNCTION("""COMPUTED_VALUE"""),2020.0)</f>
        <v>2020</v>
      </c>
      <c r="H1884" s="3" t="str">
        <f>IFERROR(__xludf.DUMMYFUNCTION("""COMPUTED_VALUE"""),"AN #132")</f>
        <v>AN #132</v>
      </c>
      <c r="I1884" t="str">
        <f>IFERROR(__xludf.DUMMYFUNCTION("""COMPUTED_VALUE"""),"Rohin")</f>
        <v>Rohin</v>
      </c>
      <c r="J1884" t="str">
        <f>IFERROR(__xludf.DUMMYFUNCTION("""COMPUTED_VALUE"""),"This post argues that AI alignment has specific philosophical tendencies: 1) connectionism, where knowledge is encoded in neural net weights rather than through symbols, 2) behaviorism, where we learn from data rather than using reasoning or planning, 3) "&amp;"Humean motivations for humans (i.e. modeling humans as reward maximizers), 4) viewing rationality as decision theoretic, that is, about maximizing expected utility, rather than also considering e.g. logic, argumentation, and dialectic, and 5) consequentia"&amp;"lism. This could be a “philosophical bubble” caused by founder effects from the EA and rationality communities, as well as from the recent success and popularity of deep learning.
Instead, we should be aiming for philosophical plurality, where we explore"&amp;" other philosophical traditions as well. This would be useful because 1) we would likely find insights not available in Western philosophy, 2) we would be more robust to moral uncertainty, 3) it helps us get buy in from more actors, and 4) it is the “righ"&amp;"t” thing to do, to allow others to choose the values and ethical frameworks that matter to them.
For example, certain interpretations of Confucian philosophy hold that norms have intrinsic value, as opposed to the dominant approach in Western philosophy "&amp;"in which individual preferences have intrinsic value, while norms only have instrumental value. This may be very relevant for learning what an AI system should optimize. Similarly, Buddhist thought often talks about problems of ontological shifts.")</f>
        <v>This post argues that AI alignment has specific philosophical tendencies: 1) connectionism, where knowledge is encoded in neural net weights rather than through symbols, 2) behaviorism, where we learn from data rather than using reasoning or planning, 3) Humean motivations for humans (i.e. modeling humans as reward maximizers), 4) viewing rationality as decision theoretic, that is, about maximizing expected utility, rather than also considering e.g. logic, argumentation, and dialectic, and 5) consequentialism. This could be a “philosophical bubble” caused by founder effects from the EA and rationality communities, as well as from the recent success and popularity of deep learning.
Instead, we should be aiming for philosophical plurality, where we explore other philosophical traditions as well. This would be useful because 1) we would likely find insights not available in Western philosophy, 2) we would be more robust to moral uncertainty, 3) it helps us get buy in from more actors, and 4) it is the “right” thing to do, to allow others to choose the values and ethical frameworks that matter to them.
For example, certain interpretations of Confucian philosophy hold that norms have intrinsic value, as opposed to the dominant approach in Western philosophy in which individual preferences have intrinsic value, while norms only have instrumental value. This may be very relevant for learning what an AI system should optimize. Similarly, Buddhist thought often talks about problems of ontological shifts.</v>
      </c>
      <c r="K1884" t="str">
        <f>IFERROR(__xludf.DUMMYFUNCTION("""COMPUTED_VALUE"""),"Certainly to the extent that AI alignment requires us to “lock in” philosophical approaches, I think it is important that we consider a plurality of views for this purpose (see also &lt;@The Argument from Philosophical Difficulty@&gt;). I especially think this "&amp;"is true if our approach to alignment is to figure out “human values” and then tell an AI to maximize them. However, I’m more optimistic about other approaches to alignment; and I think they require fewer philosophical commitments, so it becomes less of an"&amp;" issue that the alignment community has a specific philosophical bubble. See [this comment](https://www.alignmentforum.org/posts/jS2iiDPqMvZ2tnik2/ai-alignment-philosophical-pluralism-and-the-relevance-of?commentId=zaAYniACRc29CM6sJ) for more details.")</f>
        <v>Certainly to the extent that AI alignment requires us to “lock in” philosophical approaches, I think it is important that we consider a plurality of views for this purpose (see also &lt;@The Argument from Philosophical Difficulty@&gt;). I especially think this is true if our approach to alignment is to figure out “human values” and then tell an AI to maximize them. However, I’m more optimistic about other approaches to alignment; and I think they require fewer philosophical commitments, so it becomes less of an issue that the alignment community has a specific philosophical bubble. See [this comment](https://www.alignmentforum.org/posts/jS2iiDPqMvZ2tnik2/ai-alignment-philosophical-pluralism-and-the-relevance-of?commentId=zaAYniACRc29CM6sJ) for more details.</v>
      </c>
    </row>
    <row r="1885">
      <c r="A1885" t="str">
        <f>IFERROR(__xludf.DUMMYFUNCTION("""COMPUTED_VALUE"""),"Technical agendas and prioritization")</f>
        <v>Technical agendas and prioritization</v>
      </c>
      <c r="B1885" t="str">
        <f>IFERROR(__xludf.DUMMYFUNCTION("""COMPUTED_VALUE"""),"")</f>
        <v/>
      </c>
      <c r="C1885" s="3" t="str">
        <f>IFERROR(__xludf.DUMMYFUNCTION("""COMPUTED_VALUE"""),"The Learning-Theoretic AI Alignment Research Agenda")</f>
        <v>The Learning-Theoretic AI Alignment Research Agenda</v>
      </c>
      <c r="D1885" t="str">
        <f>IFERROR(__xludf.DUMMYFUNCTION("""COMPUTED_VALUE"""),"Vadim Kosoy")</f>
        <v>Vadim Kosoy</v>
      </c>
      <c r="E1885" t="str">
        <f>IFERROR(__xludf.DUMMYFUNCTION("""COMPUTED_VALUE"""),"Agent Foundations")</f>
        <v>Agent Foundations</v>
      </c>
      <c r="F1885">
        <f>IFERROR(__xludf.DUMMYFUNCTION("""COMPUTED_VALUE"""),2018.0)</f>
        <v>2018</v>
      </c>
      <c r="H1885" s="3" t="str">
        <f>IFERROR(__xludf.DUMMYFUNCTION("""COMPUTED_VALUE"""),"AN #13")</f>
        <v>AN #13</v>
      </c>
      <c r="I1885" t="str">
        <f>IFERROR(__xludf.DUMMYFUNCTION("""COMPUTED_VALUE"""),"Rohin")</f>
        <v>Rohin</v>
      </c>
      <c r="J1885" t="str">
        <f>IFERROR(__xludf.DUMMYFUNCTION("""COMPUTED_VALUE"""),"This agenda aims to create a general abstract theory of intelligence (in a manner similar to [AIXI](https://en.wikipedia.org/wiki/AIXI), but with some deficiencies removed). In particular, once we use the framework of reinforcement learning, regret bounds"&amp;" are a particular way of provably quantifying an agent's intelligence (though there may be other ways as well). Once we have this theory, we can ground all other AI alignment problems within it. Specifically, alignment would be formalized as a value learn"&amp;"ing protocol that achieves some regret bound. With this formalization, we can solve hard metaphilosophy problems such as ""What is imperfect rationality?"" through the intuitions gained from looking at the problem through the lens of value learning protoc"&amp;"ols and universal reinforcement learning.")</f>
        <v>This agenda aims to create a general abstract theory of intelligence (in a manner similar to [AIXI](https://en.wikipedia.org/wiki/AIXI), but with some deficiencies removed). In particular, once we use the framework of reinforcement learning, regret bounds are a particular way of provably quantifying an agent's intelligence (though there may be other ways as well). Once we have this theory, we can ground all other AI alignment problems within it. Specifically, alignment would be formalized as a value learning protocol that achieves some regret bound. With this formalization, we can solve hard metaphilosophy problems such as "What is imperfect rationality?" through the intuitions gained from looking at the problem through the lens of value learning protocols and universal reinforcement learning.</v>
      </c>
      <c r="K1885" t="str">
        <f>IFERROR(__xludf.DUMMYFUNCTION("""COMPUTED_VALUE"""),"This agenda, like others, is motivated by the scenario where we need to get alignment right the first time, without empirical feedback loops, both because we might be facing one-shot success or failure, and because the stakes are so high that we should ai"&amp;"m for high reliability subject to time constraints. I put low probability on the first reason (alignment being one-shot), and it seems much less tractable, so I mostly ignore those scenarios. I agree with the second reason, but aiming for this level of ri"&amp;"gor seems like it will take much longer than the time we actually have. Given this high level disagreement, it's hard for me to evaluate the research agenda itself.")</f>
        <v>This agenda, like others, is motivated by the scenario where we need to get alignment right the first time, without empirical feedback loops, both because we might be facing one-shot success or failure, and because the stakes are so high that we should aim for high reliability subject to time constraints. I put low probability on the first reason (alignment being one-shot), and it seems much less tractable, so I mostly ignore those scenarios. I agree with the second reason, but aiming for this level of rigor seems like it will take much longer than the time we actually have. Given this high level disagreement, it's hard for me to evaluate the research agenda itself.</v>
      </c>
    </row>
    <row r="1886">
      <c r="A1886" t="str">
        <f>IFERROR(__xludf.DUMMYFUNCTION("""COMPUTED_VALUE"""),"Technical agendas and prioritization")</f>
        <v>Technical agendas and prioritization</v>
      </c>
      <c r="B1886" t="str">
        <f>IFERROR(__xludf.DUMMYFUNCTION("""COMPUTED_VALUE"""),"")</f>
        <v/>
      </c>
      <c r="C1886" s="3" t="str">
        <f>IFERROR(__xludf.DUMMYFUNCTION("""COMPUTED_VALUE"""),"Conceptual issues in AI safety: the paradigmatic gap")</f>
        <v>Conceptual issues in AI safety: the paradigmatic gap</v>
      </c>
      <c r="D1886" t="str">
        <f>IFERROR(__xludf.DUMMYFUNCTION("""COMPUTED_VALUE"""),"Jon Gauthier")</f>
        <v>Jon Gauthier</v>
      </c>
      <c r="E1886" t="str">
        <f>IFERROR(__xludf.DUMMYFUNCTION("""COMPUTED_VALUE"""),"Foldl")</f>
        <v>Foldl</v>
      </c>
      <c r="F1886">
        <f>IFERROR(__xludf.DUMMYFUNCTION("""COMPUTED_VALUE"""),2018.0)</f>
        <v>2018</v>
      </c>
      <c r="H1886" s="3" t="str">
        <f>IFERROR(__xludf.DUMMYFUNCTION("""COMPUTED_VALUE"""),"AN #13")</f>
        <v>AN #13</v>
      </c>
      <c r="I1886" t="str">
        <f>IFERROR(__xludf.DUMMYFUNCTION("""COMPUTED_VALUE"""),"Rohin")</f>
        <v>Rohin</v>
      </c>
      <c r="J1886" t="str">
        <f>IFERROR(__xludf.DUMMYFUNCTION("""COMPUTED_VALUE"""),"Lots of current work on AI safety focuses on what we can call ""mid-term safety"" -- the safety of AI systems that are more powerful and more broadly deployed than the ones we have today, but work using relatively similar techniques as the ones we use tod"&amp;"ay. However, it seems plausible that there will be a paradigm shift in how we build AI systems, and if so it's likely that we will have a new, completely different set of mid-term concerns, rendering the previous mid-term work useless. For example, at the"&amp;" end of the 19th century, horse excrement was a huge public health hazard, and ""mid-term safety"" would likely have been about how to remove the excrement. Instead, the automobile was developed and started replacing horses, leading to new set of mid-term"&amp;" concerns (eg. pollution, traffic accidents), and any previous work on removing horse excrement became near-useless.")</f>
        <v>Lots of current work on AI safety focuses on what we can call "mid-term safety" -- the safety of AI systems that are more powerful and more broadly deployed than the ones we have today, but work using relatively similar techniques as the ones we use today. However, it seems plausible that there will be a paradigm shift in how we build AI systems, and if so it's likely that we will have a new, completely different set of mid-term concerns, rendering the previous mid-term work useless. For example, at the end of the 19th century, horse excrement was a huge public health hazard, and "mid-term safety" would likely have been about how to remove the excrement. Instead, the automobile was developed and started replacing horses, leading to new set of mid-term concerns (eg. pollution, traffic accidents), and any previous work on removing horse excrement became near-useless.</v>
      </c>
      <c r="K1886" t="str">
        <f>IFERROR(__xludf.DUMMYFUNCTION("""COMPUTED_VALUE"""),"I focus almost exclusively on mid-term safety (while thinking about long-term safety), not because I disagree with this argument, but in spite of it. I think there is a good chance that any work I do will be useless for aligning superintelligent AI becaus"&amp;"e of a paradigm shift, but I do it anyway because it seems very important on short timelines, which are easier to affect; and I don't know of other approaches to take that would have a significantly higher probability of being useful for aligning superint"&amp;"elligent AI.")</f>
        <v>I focus almost exclusively on mid-term safety (while thinking about long-term safety), not because I disagree with this argument, but in spite of it. I think there is a good chance that any work I do will be useless for aligning superintelligent AI because of a paradigm shift, but I do it anyway because it seems very important on short timelines, which are easier to affect; and I don't know of other approaches to take that would have a significantly higher probability of being useful for aligning superintelligent AI.</v>
      </c>
      <c r="M1886" s="3" t="str">
        <f>IFERROR(__xludf.DUMMYFUNCTION("""COMPUTED_VALUE"""),"A possible stance for AI control research")</f>
        <v>A possible stance for AI control research</v>
      </c>
    </row>
    <row r="1887">
      <c r="A1887" t="str">
        <f>IFERROR(__xludf.DUMMYFUNCTION("""COMPUTED_VALUE"""),"Technical agendas and prioritization")</f>
        <v>Technical agendas and prioritization</v>
      </c>
      <c r="B1887" t="str">
        <f>IFERROR(__xludf.DUMMYFUNCTION("""COMPUTED_VALUE"""),"")</f>
        <v/>
      </c>
      <c r="C1887" s="3" t="str">
        <f>IFERROR(__xludf.DUMMYFUNCTION("""COMPUTED_VALUE"""),"Plausible cases for HRAD work, and locating the crux in the ""realism about rationality"" debate")</f>
        <v>Plausible cases for HRAD work, and locating the crux in the "realism about rationality" debate</v>
      </c>
      <c r="D1887" t="str">
        <f>IFERROR(__xludf.DUMMYFUNCTION("""COMPUTED_VALUE"""),"Issa Rice")</f>
        <v>Issa Rice</v>
      </c>
      <c r="E1887" t="str">
        <f>IFERROR(__xludf.DUMMYFUNCTION("""COMPUTED_VALUE"""),"Alignment Forum")</f>
        <v>Alignment Forum</v>
      </c>
      <c r="F1887">
        <f>IFERROR(__xludf.DUMMYFUNCTION("""COMPUTED_VALUE"""),2020.0)</f>
        <v>2020</v>
      </c>
      <c r="H1887" s="3" t="str">
        <f>IFERROR(__xludf.DUMMYFUNCTION("""COMPUTED_VALUE"""),"AN #106")</f>
        <v>AN #106</v>
      </c>
      <c r="I1887" t="str">
        <f>IFERROR(__xludf.DUMMYFUNCTION("""COMPUTED_VALUE"""),"Rohin")</f>
        <v>Rohin</v>
      </c>
      <c r="J1887" t="str">
        <f>IFERROR(__xludf.DUMMYFUNCTION("""COMPUTED_VALUE"""),"This post tries to identify the possible cases for highly reliable agent design (HRAD) work to be the main priority of AI alignment. HRAD is a category of work at MIRI that aims to build a theory of intelligence and agency that can explain things like log"&amp;"ical uncertainty and counterfactual reasoning.
The first case for HRAD work is that by becoming less confused about these phenomena, we will be able to help AGI builders predict, explain, avoid, detect, and fix safety issues and help to conceptually clar"&amp;"ify the AI alignment problem. For this purpose, we just need _conceptual_ deconfusion -- it isn’t necessary that there must be precise equations defining what an AI system does.
The second case is that if we get a precise, mathematical theory, we can use"&amp;" it to build an agent that we understand “from the ground up”, rather than throwing the black box of deep learning at the problem.
The last case is that understanding how intelligence works will give us a theory that allows us to predict how _arbitrary_ "&amp;"agents will behave, which will be useful for AI alignment in all the ways described in the first case and &lt;@more@&gt;(@Theory of Ideal Agents, or of Existing Agents?@).
Looking through past discussions on the topic, the author believes that people at MIRI p"&amp;"rimarily believe in the first two cases. Meanwhile, critics (particularly me) say that it seems pretty unlikely that we can build a precise, mathematical theory, and a more conceptual but imprecise theory may help us understand reasoning better but is les"&amp;"s likely to generalize sufficiently well to say important and non-trivial things about AI alignment for the systems we are actually building.")</f>
        <v>This post tries to identify the possible cases for highly reliable agent design (HRAD) work to be the main priority of AI alignment. HRAD is a category of work at MIRI that aims to build a theory of intelligence and agency that can explain things like logical uncertainty and counterfactual reasoning.
The first case for HRAD work is that by becoming less confused about these phenomena, we will be able to help AGI builders predict, explain, avoid, detect, and fix safety issues and help to conceptually clarify the AI alignment problem. For this purpose, we just need _conceptual_ deconfusion -- it isn’t necessary that there must be precise equations defining what an AI system does.
The second case is that if we get a precise, mathematical theory, we can use it to build an agent that we understand “from the ground up”, rather than throwing the black box of deep learning at the problem.
The last case is that understanding how intelligence works will give us a theory that allows us to predict how _arbitrary_ agents will behave, which will be useful for AI alignment in all the ways described in the first case and &lt;@more@&gt;(@Theory of Ideal Agents, or of Existing Agents?@).
Looking through past discussions on the topic, the author believes that people at MIRI primarily believe in the first two cases. Meanwhile, critics (particularly me) say that it seems pretty unlikely that we can build a precise, mathematical theory, and a more conceptual but imprecise theory may help us understand reasoning better but is less likely to generalize sufficiently well to say important and non-trivial things about AI alignment for the systems we are actually building.</v>
      </c>
      <c r="K1887" t="str">
        <f>IFERROR(__xludf.DUMMYFUNCTION("""COMPUTED_VALUE"""),"I like this post -- it seems like an accessible summary of the state of the debate so far. My opinions are already in the post, so I don’t have much to add.")</f>
        <v>I like this post -- it seems like an accessible summary of the state of the debate so far. My opinions are already in the post, so I don’t have much to add.</v>
      </c>
    </row>
    <row r="1888">
      <c r="A1888" t="str">
        <f>IFERROR(__xludf.DUMMYFUNCTION("""COMPUTED_VALUE"""),"Technical agendas and prioritization")</f>
        <v>Technical agendas and prioritization</v>
      </c>
      <c r="B1888" t="str">
        <f>IFERROR(__xludf.DUMMYFUNCTION("""COMPUTED_VALUE"""),"")</f>
        <v/>
      </c>
      <c r="C1888" s="3" t="str">
        <f>IFERROR(__xludf.DUMMYFUNCTION("""COMPUTED_VALUE"""),"The flaws that make today’s AI architecture unsafe and a new approach that could fix it")</f>
        <v>The flaws that make today’s AI architecture unsafe and a new approach that could fix it</v>
      </c>
      <c r="D1888" t="str">
        <f>IFERROR(__xludf.DUMMYFUNCTION("""COMPUTED_VALUE"""),"Rob Wiblin and Stuart Russell")</f>
        <v>Rob Wiblin and Stuart Russell</v>
      </c>
      <c r="E1888" t="str">
        <f>IFERROR(__xludf.DUMMYFUNCTION("""COMPUTED_VALUE"""),"80,000 Hours Website")</f>
        <v>80,000 Hours Website</v>
      </c>
      <c r="F1888">
        <f>IFERROR(__xludf.DUMMYFUNCTION("""COMPUTED_VALUE"""),2020.0)</f>
        <v>2020</v>
      </c>
      <c r="H1888" s="3" t="str">
        <f>IFERROR(__xludf.DUMMYFUNCTION("""COMPUTED_VALUE"""),"AN #106")</f>
        <v>AN #106</v>
      </c>
      <c r="I1888" t="str">
        <f>IFERROR(__xludf.DUMMYFUNCTION("""COMPUTED_VALUE"""),"Rohin")</f>
        <v>Rohin</v>
      </c>
      <c r="J1888" t="str">
        <f>IFERROR(__xludf.DUMMYFUNCTION("""COMPUTED_VALUE"""),"This podcast delves into many of the ideas in Stuart’s book &lt;@Human Compatible@&gt;(@Human Compatible: Artificial Intelligence and the Problem of Control@). Rob especially pushes on some aspects that are less talked about in the AI safety community, like the"&amp;" enfeeblement problem and whether we’d be locking in suboptimal values. They also discuss Stuart’s response to some counterarguments.")</f>
        <v>This podcast delves into many of the ideas in Stuart’s book &lt;@Human Compatible@&gt;(@Human Compatible: Artificial Intelligence and the Problem of Control@). Rob especially pushes on some aspects that are less talked about in the AI safety community, like the enfeeblement problem and whether we’d be locking in suboptimal values. They also discuss Stuart’s response to some counterarguments.</v>
      </c>
      <c r="K1888" t="str">
        <f>IFERROR(__xludf.DUMMYFUNCTION("""COMPUTED_VALUE"""),"One of the counterarguments the podcast talks about is &lt;@my position@&gt;(@Conversation with Rohin Shah@) that we’ll probably learn from smaller catastrophes in order to avoid actual extinction. I just want to note that while it might sound like I disagree w"&amp;"ith Stuart on this point, I don’t think we actually do. I was arguing against the position that extinction is the default outcome (&gt; 50% probability) while Stuart is arguing against the position that extinction is near-impossible (~0% probability). I ende"&amp;"d up around 10%; I’d guess that if Stuart were forced to, he’d give a number similar to mine, for similar reasons as me.")</f>
        <v>One of the counterarguments the podcast talks about is &lt;@my position@&gt;(@Conversation with Rohin Shah@) that we’ll probably learn from smaller catastrophes in order to avoid actual extinction. I just want to note that while it might sound like I disagree with Stuart on this point, I don’t think we actually do. I was arguing against the position that extinction is the default outcome (&gt; 50% probability) while Stuart is arguing against the position that extinction is near-impossible (~0% probability). I ended up around 10%; I’d guess that if Stuart were forced to, he’d give a number similar to mine, for similar reasons as me.</v>
      </c>
    </row>
    <row r="1889">
      <c r="A1889" t="str">
        <f>IFERROR(__xludf.DUMMYFUNCTION("""COMPUTED_VALUE"""),"Technical agendas and prioritization")</f>
        <v>Technical agendas and prioritization</v>
      </c>
      <c r="B1889" t="str">
        <f>IFERROR(__xludf.DUMMYFUNCTION("""COMPUTED_VALUE"""),"")</f>
        <v/>
      </c>
      <c r="C1889" s="3" t="str">
        <f>IFERROR(__xludf.DUMMYFUNCTION("""COMPUTED_VALUE"""),"Cooperation, Conflict, and Transformative Artificial Intelligence: A Research Agenda")</f>
        <v>Cooperation, Conflict, and Transformative Artificial Intelligence: A Research Agenda</v>
      </c>
      <c r="D1889" t="str">
        <f>IFERROR(__xludf.DUMMYFUNCTION("""COMPUTED_VALUE"""),"Jesse Clifton")</f>
        <v>Jesse Clifton</v>
      </c>
      <c r="E1889" t="str">
        <f>IFERROR(__xludf.DUMMYFUNCTION("""COMPUTED_VALUE"""),"LessWrong")</f>
        <v>LessWrong</v>
      </c>
      <c r="F1889">
        <f>IFERROR(__xludf.DUMMYFUNCTION("""COMPUTED_VALUE"""),2019.0)</f>
        <v>2019</v>
      </c>
      <c r="H1889" s="3" t="str">
        <f>IFERROR(__xludf.DUMMYFUNCTION("""COMPUTED_VALUE"""),"AN #86")</f>
        <v>AN #86</v>
      </c>
      <c r="I1889" t="str">
        <f>IFERROR(__xludf.DUMMYFUNCTION("""COMPUTED_VALUE"""),"Flo")</f>
        <v>Flo</v>
      </c>
      <c r="J1889" t="str">
        <f>IFERROR(__xludf.DUMMYFUNCTION("""COMPUTED_VALUE"""),"This agenda by the [Effective Altruism Foundation](https://ea-foundation.org/) focuses on risks of astronomical suffering (s-risks) posed by &lt;@Transformative AI@&gt;(@Defining and Unpacking Transformative AI@) (TAI) and especially those related to conflicts "&amp;"between powerful AI agents. This is because there is a very clear path from extortion and executed threats against altruistic values to s-risks.  While especially important in the context of s-risks, cooperation between AI systems is also relevant from a "&amp;"range of different viewpoints. The agenda covers four clusters of topics: strategy, credibility and bargaining, current AI frameworks, as well as decision theory.
The extent of cooperation failures is likely influenced by how power is distributed after t"&amp;"he transition to TAI. At first glance, it seems like widely distributed scenarios (as &lt;@CAIS@&gt;(@Reframing Superintelligence: Comprehensive AI Services as General Intelligence@)) are more problematic, but related literature from international relations pai"&amp;"nts a more complicated picture. The agenda seeks a better understanding of how the distribution of power affects catastrophic risk, as well as potential levers to influence this distribution. Other topics in the strategy/governance cluster include the ide"&amp;"ntification and analysis of realistic scenarios for misalignment, as well as case studies on cooperation failures in humans and how they can be affected by policy.
TAI might enable unprecedented credibility, for example by being very transparent, which i"&amp;"s crucial for both contracts and threats. The agenda aims at better models of the effects of credibility on cooperation failures. One approach to this is open-source game theory, where agents can see other agents' source codes. Promising approaches to pre"&amp;"vent catastrophic cooperation failures include the identification of peaceful bargaining mechanisms, as well as surrogate goals. The idea of surrogate goals is for an agent to commit to act as if it had a different goal, whenever it is threatened, in orde"&amp;"r to protect its actual goal from threats. 
As some aspects of contemporary AI architectures might still be present in TAI, it can be useful to study cooperation failure in current systems. One concrete approach to enabling cooperation in social dilemmas"&amp;" that could be tested with contemporary systems is based on bargaining over policies combined with punishments for deviations.  Relatedly, it is worth investigating whether or not multi-agent training leads to human-like bargaining by default. This has im"&amp;"plications on the suitability of behavioural vs classical game theory to study TAI. The behavioural game theory of human-machine interactions might also be important, especially in human-in-the-loop scenarios of TAI.
The last cluster discusses the implic"&amp;"ations of bounded computation on decision theory as well as the decision theories (implicitly) used by current agent architectures. Another focus lies on acausal reasoning and in particular the possibility of [acausal trade](https://wiki.lesswrong.com/wik"&amp;"i/Acausal_trade), where different correlated AI systems cooperate without any causal links between them.")</f>
        <v>This agenda by the [Effective Altruism Foundation](https://ea-foundation.org/) focuses on risks of astronomical suffering (s-risks) posed by &lt;@Transformative AI@&gt;(@Defining and Unpacking Transformative AI@) (TAI) and especially those related to conflicts between powerful AI agents. This is because there is a very clear path from extortion and executed threats against altruistic values to s-risks.  While especially important in the context of s-risks, cooperation between AI systems is also relevant from a range of different viewpoints. The agenda covers four clusters of topics: strategy, credibility and bargaining, current AI frameworks, as well as decision theory.
The extent of cooperation failures is likely influenced by how power is distributed after the transition to TAI. At first glance, it seems like widely distributed scenarios (as &lt;@CAIS@&gt;(@Reframing Superintelligence: Comprehensive AI Services as General Intelligence@)) are more problematic, but related literature from international relations paints a more complicated picture. The agenda seeks a better understanding of how the distribution of power affects catastrophic risk, as well as potential levers to influence this distribution. Other topics in the strategy/governance cluster include the identification and analysis of realistic scenarios for misalignment, as well as case studies on cooperation failures in humans and how they can be affected by policy.
TAI might enable unprecedented credibility, for example by being very transparent, which is crucial for both contracts and threats. The agenda aims at better models of the effects of credibility on cooperation failures. One approach to this is open-source game theory, where agents can see other agents' source codes. Promising approaches to prevent catastrophic cooperation failures include the identification of peaceful bargaining mechanisms, as well as surrogate goals. The idea of surrogate goals is for an agent to commit to act as if it had a different goal, whenever it is threatened, in order to protect its actual goal from threats. 
As some aspects of contemporary AI architectures might still be present in TAI, it can be useful to study cooperation failure in current systems. One concrete approach to enabling cooperation in social dilemmas that could be tested with contemporary systems is based on bargaining over policies combined with punishments for deviations.  Relatedly, it is worth investigating whether or not multi-agent training leads to human-like bargaining by default. This has implications on the suitability of behavioural vs classical game theory to study TAI. The behavioural game theory of human-machine interactions might also be important, especially in human-in-the-loop scenarios of TAI.
The last cluster discusses the implications of bounded computation on decision theory as well as the decision theories (implicitly) used by current agent architectures. Another focus lies on acausal reasoning and in particular the possibility of [acausal trade](https://wiki.lesswrong.com/wiki/Acausal_trade), where different correlated AI systems cooperate without any causal links between them.</v>
      </c>
      <c r="K1889" t="str">
        <f>IFERROR(__xludf.DUMMYFUNCTION("""COMPUTED_VALUE"""),"I am broadly sympathetic to the focus on preventing the worst outcomes and it seems plausible that extortion could play an important role in these, even though I worry more about distributional shift plus incorrigibility. Still, I am excited about the foc"&amp;"us on cooperation, as this seems robustly useful for a wide range of scenarios and most value systems.
**Rohin's opinion:** Under a suffering-focused ethics under which s-risks far overwhelm x-risks, I think it makes sense to focus on this agenda. There "&amp;"don't seem to be many plausible paths to s-risks: by default, we shouldn't expect them, because it would be quite surprising for an amoral AI system to think it was particularly useful or good for humans to _suffer_, as opposed to not exist at all, and th"&amp;"ere doesn't seem to be much reason to expect an immoral AI system. Conflict and the possibility of carrying out threats are the most plausible ways by which I could see this happening, and the agenda here focuses on neglected problems in this space.
Howe"&amp;"ver, under other ethical systems (under which s-risks are worse than x-risks, but do not completely dwarf x-risks), I expect other technical safety research to be more impactful, because other approaches can more directly target the failure mode of an amo"&amp;"ral AI system that doesn't care about you, which seems both more likely and more amenable to technical safety approaches (to me at least). I could imagine work on this agenda being quite important for _strategy_ research, though I am far from an expert he"&amp;"re.")</f>
        <v>I am broadly sympathetic to the focus on preventing the worst outcomes and it seems plausible that extortion could play an important role in these, even though I worry more about distributional shift plus incorrigibility. Still, I am excited about the focus on cooperation, as this seems robustly useful for a wide range of scenarios and most value systems.
**Rohin's opinion:** Under a suffering-focused ethics under which s-risks far overwhelm x-risks, I think it makes sense to focus on this agenda. There don't seem to be many plausible paths to s-risks: by default, we shouldn't expect them, because it would be quite surprising for an amoral AI system to think it was particularly useful or good for humans to _suffer_, as opposed to not exist at all, and there doesn't seem to be much reason to expect an immoral AI system. Conflict and the possibility of carrying out threats are the most plausible ways by which I could see this happening, and the agenda here focuses on neglected problems in this space.
However, under other ethical systems (under which s-risks are worse than x-risks, but do not completely dwarf x-risks), I expect other technical safety research to be more impactful, because other approaches can more directly target the failure mode of an amoral AI system that doesn't care about you, which seems both more likely and more amenable to technical safety approaches (to me at least). I could imagine work on this agenda being quite important for _strategy_ research, though I am far from an expert here.</v>
      </c>
    </row>
    <row r="1890">
      <c r="A1890" t="str">
        <f>IFERROR(__xludf.DUMMYFUNCTION("""COMPUTED_VALUE"""),"Technical agendas and prioritization")</f>
        <v>Technical agendas and prioritization</v>
      </c>
      <c r="B1890" t="str">
        <f>IFERROR(__xludf.DUMMYFUNCTION("""COMPUTED_VALUE"""),"")</f>
        <v/>
      </c>
      <c r="C1890" s="3" t="str">
        <f>IFERROR(__xludf.DUMMYFUNCTION("""COMPUTED_VALUE"""),"Just Imitate Humans?")</f>
        <v>Just Imitate Humans?</v>
      </c>
      <c r="D1890" t="str">
        <f>IFERROR(__xludf.DUMMYFUNCTION("""COMPUTED_VALUE"""),"Michael Cohen")</f>
        <v>Michael Cohen</v>
      </c>
      <c r="E1890" t="str">
        <f>IFERROR(__xludf.DUMMYFUNCTION("""COMPUTED_VALUE"""),"Alignment Forum")</f>
        <v>Alignment Forum</v>
      </c>
      <c r="F1890">
        <f>IFERROR(__xludf.DUMMYFUNCTION("""COMPUTED_VALUE"""),2019.0)</f>
        <v>2019</v>
      </c>
      <c r="H1890" s="3" t="str">
        <f>IFERROR(__xludf.DUMMYFUNCTION("""COMPUTED_VALUE"""),"AN #82")</f>
        <v>AN #82</v>
      </c>
      <c r="I1890" t="str">
        <f>IFERROR(__xludf.DUMMYFUNCTION("""COMPUTED_VALUE"""),"Rohin")</f>
        <v>Rohin</v>
      </c>
      <c r="J1890" t="str">
        <f>IFERROR(__xludf.DUMMYFUNCTION("""COMPUTED_VALUE"""),"This post asks whether it is safe to build AI systems that just imitate humans. The comments have a lot of interesting debate.")</f>
        <v>This post asks whether it is safe to build AI systems that just imitate humans. The comments have a lot of interesting debate.</v>
      </c>
    </row>
    <row r="1891">
      <c r="A1891" t="str">
        <f>IFERROR(__xludf.DUMMYFUNCTION("""COMPUTED_VALUE"""),"Technical agendas and prioritization")</f>
        <v>Technical agendas and prioritization</v>
      </c>
      <c r="B1891" t="str">
        <f>IFERROR(__xludf.DUMMYFUNCTION("""COMPUTED_VALUE"""),"")</f>
        <v/>
      </c>
      <c r="C1891" s="3" t="str">
        <f>IFERROR(__xludf.DUMMYFUNCTION("""COMPUTED_VALUE"""),"Technical AGI safety research outside AI")</f>
        <v>Technical AGI safety research outside AI</v>
      </c>
      <c r="D1891" t="str">
        <f>IFERROR(__xludf.DUMMYFUNCTION("""COMPUTED_VALUE"""),"Richard Ngo")</f>
        <v>Richard Ngo</v>
      </c>
      <c r="E1891" t="str">
        <f>IFERROR(__xludf.DUMMYFUNCTION("""COMPUTED_VALUE"""),"Alignment Forum")</f>
        <v>Alignment Forum</v>
      </c>
      <c r="F1891">
        <f>IFERROR(__xludf.DUMMYFUNCTION("""COMPUTED_VALUE"""),2019.0)</f>
        <v>2019</v>
      </c>
      <c r="H1891" s="3" t="str">
        <f>IFERROR(__xludf.DUMMYFUNCTION("""COMPUTED_VALUE"""),"AN #78")</f>
        <v>AN #78</v>
      </c>
      <c r="I1891" t="str">
        <f>IFERROR(__xludf.DUMMYFUNCTION("""COMPUTED_VALUE"""),"Rohin")</f>
        <v>Rohin</v>
      </c>
      <c r="J1891" t="str">
        <f>IFERROR(__xludf.DUMMYFUNCTION("""COMPUTED_VALUE"""),"This post lists 30 questions relevant to technical AI safety that could benefit from expertise outside of AI, divided into four categories: studying and understanding safety problems, solving safety problems, forecasting AI, and meta.")</f>
        <v>This post lists 30 questions relevant to technical AI safety that could benefit from expertise outside of AI, divided into four categories: studying and understanding safety problems, solving safety problems, forecasting AI, and meta.</v>
      </c>
    </row>
    <row r="1892">
      <c r="A1892" t="str">
        <f>IFERROR(__xludf.DUMMYFUNCTION("""COMPUTED_VALUE"""),"Technical agendas and prioritization")</f>
        <v>Technical agendas and prioritization</v>
      </c>
      <c r="B1892" t="str">
        <f>IFERROR(__xludf.DUMMYFUNCTION("""COMPUTED_VALUE"""),"")</f>
        <v/>
      </c>
      <c r="C1892" s="3" t="str">
        <f>IFERROR(__xludf.DUMMYFUNCTION("""COMPUTED_VALUE"""),"AI Safety ""Success Stories""")</f>
        <v>AI Safety "Success Stories"</v>
      </c>
      <c r="D1892" t="str">
        <f>IFERROR(__xludf.DUMMYFUNCTION("""COMPUTED_VALUE"""),"Wei Dai")</f>
        <v>Wei Dai</v>
      </c>
      <c r="E1892" t="str">
        <f>IFERROR(__xludf.DUMMYFUNCTION("""COMPUTED_VALUE"""),"Alignment Forum")</f>
        <v>Alignment Forum</v>
      </c>
      <c r="F1892">
        <f>IFERROR(__xludf.DUMMYFUNCTION("""COMPUTED_VALUE"""),2019.0)</f>
        <v>2019</v>
      </c>
      <c r="H1892" s="3" t="str">
        <f>IFERROR(__xludf.DUMMYFUNCTION("""COMPUTED_VALUE"""),"AN #68")</f>
        <v>AN #68</v>
      </c>
      <c r="I1892" t="str">
        <f>IFERROR(__xludf.DUMMYFUNCTION("""COMPUTED_VALUE"""),"Matthew")</f>
        <v>Matthew</v>
      </c>
      <c r="J1892" t="str">
        <f>IFERROR(__xludf.DUMMYFUNCTION("""COMPUTED_VALUE"""),"It is difficult to measure the usefulness of various alignment approaches without clearly understanding what type of future they end up being useful for. This post collects ""Success Stories"" for AI -- disjunctive scenarios in which alignment approaches "&amp;"are leveraged to ensure a positive future. Whether these scenarios come to pass will depend critically on background assumptions, such as whether we can achieve global coordination, or solve the most ambitious safety issues. Mapping these success stories "&amp;"can help us prioritize research. ")</f>
        <v>It is difficult to measure the usefulness of various alignment approaches without clearly understanding what type of future they end up being useful for. This post collects "Success Stories" for AI -- disjunctive scenarios in which alignment approaches are leveraged to ensure a positive future. Whether these scenarios come to pass will depend critically on background assumptions, such as whether we can achieve global coordination, or solve the most ambitious safety issues. Mapping these success stories can help us prioritize research. </v>
      </c>
      <c r="K1892" t="str">
        <f>IFERROR(__xludf.DUMMYFUNCTION("""COMPUTED_VALUE"""),"This post does not exhaust the possible success stories, but it gets us a lot closer to being able to look at a particular approach and ask, ""Where exactly does this help us?"" My guess is that most research ends up being only minimally helpful for the l"&amp;"ong run, and so I consider inquiry like this to be very useful for cause prioritization.")</f>
        <v>This post does not exhaust the possible success stories, but it gets us a lot closer to being able to look at a particular approach and ask, "Where exactly does this help us?" My guess is that most research ends up being only minimally helpful for the long run, and so I consider inquiry like this to be very useful for cause prioritization.</v>
      </c>
    </row>
    <row r="1893">
      <c r="A1893" t="str">
        <f>IFERROR(__xludf.DUMMYFUNCTION("""COMPUTED_VALUE"""),"Technical agendas and prioritization")</f>
        <v>Technical agendas and prioritization</v>
      </c>
      <c r="B1893" t="str">
        <f>IFERROR(__xludf.DUMMYFUNCTION("""COMPUTED_VALUE"""),"")</f>
        <v/>
      </c>
      <c r="C1893" s="3" t="str">
        <f>IFERROR(__xludf.DUMMYFUNCTION("""COMPUTED_VALUE"""),"Four Ways An Impact Measure Could Help Alignment")</f>
        <v>Four Ways An Impact Measure Could Help Alignment</v>
      </c>
      <c r="D1893" t="str">
        <f>IFERROR(__xludf.DUMMYFUNCTION("""COMPUTED_VALUE"""),"Matthew Barnett")</f>
        <v>Matthew Barnett</v>
      </c>
      <c r="E1893" t="str">
        <f>IFERROR(__xludf.DUMMYFUNCTION("""COMPUTED_VALUE"""),"Alignment Forum")</f>
        <v>Alignment Forum</v>
      </c>
      <c r="F1893">
        <f>IFERROR(__xludf.DUMMYFUNCTION("""COMPUTED_VALUE"""),2019.0)</f>
        <v>2019</v>
      </c>
      <c r="H1893" s="3" t="str">
        <f>IFERROR(__xludf.DUMMYFUNCTION("""COMPUTED_VALUE"""),"AN #64")</f>
        <v>AN #64</v>
      </c>
      <c r="I1893" t="str">
        <f>IFERROR(__xludf.DUMMYFUNCTION("""COMPUTED_VALUE"""),"Asya Bergal")</f>
        <v>Asya Bergal</v>
      </c>
      <c r="J1893" t="str">
        <f>IFERROR(__xludf.DUMMYFUNCTION("""COMPUTED_VALUE"""),"Much &lt;@recent@&gt;(@Towards a New Impact Measure@) &lt;@work@&gt;(@Designing agent incentives to avoid side effects@) has focused on quantifying the effect an AI has on the world, aka measuring impact, though some are [skeptical](https://www.alignmentforum.org/pos"&amp;"ts/kCY9dYGLoThC3aG7w/best-reasons-for-pessimism-about-impact-of-impact-measures). This post presents four potential ways impact measures could help with AI alignment. _First_, impact could act as a **regularizer**: an untrained AI attempting to do value l"&amp;"earning could have an impact penalty that prevents it from taking dangerous actions before it is confident it has learned the right utility function. _Second_, impact could act as a **safety protocol**: if our training process is dangerous, e.g. due to &lt;@"&amp;"mesa optimization@&gt;(@Risks from Learned Optimization in Advanced Machine Learning Systems@), we can penalize impact during training to safely test models that may be misaligned. _Third_, impact could act as an **influence-limiter**: impact measures could "&amp;"help us construct AIs with intentionally limited scope that won’t heavily optimize the world as a side effect. _Fourth_, impact could help us with **deconfusion**: even if impact measures themselves aren't used, conceptual clarity about impact could help "&amp;"us gain conceptual clarity about other important concepts such as corrigibility, mild optimization, etc.")</f>
        <v>Much &lt;@recent@&gt;(@Towards a New Impact Measure@) &lt;@work@&gt;(@Designing agent incentives to avoid side effects@) has focused on quantifying the effect an AI has on the world, aka measuring impact, though some are [skeptical](https://www.alignmentforum.org/posts/kCY9dYGLoThC3aG7w/best-reasons-for-pessimism-about-impact-of-impact-measures). This post presents four potential ways impact measures could help with AI alignment. _First_, impact could act as a **regularizer**: an untrained AI attempting to do value learning could have an impact penalty that prevents it from taking dangerous actions before it is confident it has learned the right utility function. _Second_, impact could act as a **safety protocol**: if our training process is dangerous, e.g. due to &lt;@mesa optimization@&gt;(@Risks from Learned Optimization in Advanced Machine Learning Systems@), we can penalize impact during training to safely test models that may be misaligned. _Third_, impact could act as an **influence-limiter**: impact measures could help us construct AIs with intentionally limited scope that won’t heavily optimize the world as a side effect. _Fourth_, impact could help us with **deconfusion**: even if impact measures themselves aren't used, conceptual clarity about impact could help us gain conceptual clarity about other important concepts such as corrigibility, mild optimization, etc.</v>
      </c>
      <c r="K1893" t="str">
        <f>IFERROR(__xludf.DUMMYFUNCTION("""COMPUTED_VALUE"""),"I am most excited about impact as a **regularizer** and impact as a **safety protocol**. I feel like AIs that are impact-limited at runtime (the **influence-limiter** case) are unlikely to be competitive with other AIs that have no impact penalty (this is"&amp;" discussed in the post). I found the argument that impact could be particularly useful for **deconfusion** uncompelling.
**Rohin's opinion**: It seems to me like the safety protocol argument is for limited actions at training time, while the influence li"&amp;"miter argument is for limited actions at test time. I don't really get how the regularizer is supposed to be different from these two cases -- perhaps the idea is that it is a regularizer specifically on the distribution over utility functions that the AI"&amp;" is optimizing? This is still confusing, I would have expected the influence limiter case to also be a change to the utility function. Like Asya, I am worried about competitiveness: see the post about [reversible changes](https://www.alignmentforum.org/po"&amp;"sts/zrunBA8B5bmm2XZ59/reversible-changes-consider-a-bucket-of-water) below.")</f>
        <v>I am most excited about impact as a **regularizer** and impact as a **safety protocol**. I feel like AIs that are impact-limited at runtime (the **influence-limiter** case) are unlikely to be competitive with other AIs that have no impact penalty (this is discussed in the post). I found the argument that impact could be particularly useful for **deconfusion** uncompelling.
**Rohin's opinion**: It seems to me like the safety protocol argument is for limited actions at training time, while the influence limiter argument is for limited actions at test time. I don't really get how the regularizer is supposed to be different from these two cases -- perhaps the idea is that it is a regularizer specifically on the distribution over utility functions that the AI is optimizing? This is still confusing, I would have expected the influence limiter case to also be a change to the utility function. Like Asya, I am worried about competitiveness: see the post about [reversible changes](https://www.alignmentforum.org/posts/zrunBA8B5bmm2XZ59/reversible-changes-consider-a-bucket-of-water) below.</v>
      </c>
    </row>
    <row r="1894">
      <c r="A1894" t="str">
        <f>IFERROR(__xludf.DUMMYFUNCTION("""COMPUTED_VALUE"""),"Technical agendas and prioritization")</f>
        <v>Technical agendas and prioritization</v>
      </c>
      <c r="B1894" t="str">
        <f>IFERROR(__xludf.DUMMYFUNCTION("""COMPUTED_VALUE"""),"")</f>
        <v/>
      </c>
      <c r="C1894" s="3" t="str">
        <f>IFERROR(__xludf.DUMMYFUNCTION("""COMPUTED_VALUE"""),"On the purposes of decision theory research")</f>
        <v>On the purposes of decision theory research</v>
      </c>
      <c r="D1894" t="str">
        <f>IFERROR(__xludf.DUMMYFUNCTION("""COMPUTED_VALUE"""),"Wei Dai")</f>
        <v>Wei Dai</v>
      </c>
      <c r="E1894" t="str">
        <f>IFERROR(__xludf.DUMMYFUNCTION("""COMPUTED_VALUE"""),"Alignment Forum")</f>
        <v>Alignment Forum</v>
      </c>
      <c r="F1894">
        <f>IFERROR(__xludf.DUMMYFUNCTION("""COMPUTED_VALUE"""),2019.0)</f>
        <v>2019</v>
      </c>
      <c r="H1894" s="3" t="str">
        <f>IFERROR(__xludf.DUMMYFUNCTION("""COMPUTED_VALUE"""),"AN #61")</f>
        <v>AN #61</v>
      </c>
      <c r="I1894" t="str">
        <f>IFERROR(__xludf.DUMMYFUNCTION("""COMPUTED_VALUE"""),"Rohin")</f>
        <v>Rohin</v>
      </c>
      <c r="J1894" t="str">
        <f>IFERROR(__xludf.DUMMYFUNCTION("""COMPUTED_VALUE"""),"In this post, Wei Dai clarifies that he thinks decision theory research is important because it can help us learn about the nature of rationality, philosophy, and metaphilosophy; it allows us to understand potential AI failure modes; we can better underst"&amp;"and puzzles about intelligence such as free will, logical uncertainty, counterfactuals and more; and it could improve human rationality. It is _not_ meant to find the ""correct"" decision theory to program into an AI, nor to create safety arguments that s"&amp;"how that an AI system is free of ""decision-theoretic"" flaws.")</f>
        <v>In this post, Wei Dai clarifies that he thinks decision theory research is important because it can help us learn about the nature of rationality, philosophy, and metaphilosophy; it allows us to understand potential AI failure modes; we can better understand puzzles about intelligence such as free will, logical uncertainty, counterfactuals and more; and it could improve human rationality. It is _not_ meant to find the "correct" decision theory to program into an AI, nor to create safety arguments that show that an AI system is free of "decision-theoretic" flaws.</v>
      </c>
    </row>
    <row r="1895">
      <c r="A1895" t="str">
        <f>IFERROR(__xludf.DUMMYFUNCTION("""COMPUTED_VALUE"""),"Technical agendas and prioritization")</f>
        <v>Technical agendas and prioritization</v>
      </c>
      <c r="B1895" t="str">
        <f>IFERROR(__xludf.DUMMYFUNCTION("""COMPUTED_VALUE"""),"")</f>
        <v/>
      </c>
      <c r="C1895" s="3" t="str">
        <f>IFERROR(__xludf.DUMMYFUNCTION("""COMPUTED_VALUE"""),"Unsolved research problems vs. real-world threat models")</f>
        <v>Unsolved research problems vs. real-world threat models</v>
      </c>
      <c r="D1895" t="str">
        <f>IFERROR(__xludf.DUMMYFUNCTION("""COMPUTED_VALUE"""),"Catherine Olsson")</f>
        <v>Catherine Olsson</v>
      </c>
      <c r="E1895" t="str">
        <f>IFERROR(__xludf.DUMMYFUNCTION("""COMPUTED_VALUE"""),"Medium")</f>
        <v>Medium</v>
      </c>
      <c r="F1895">
        <f>IFERROR(__xludf.DUMMYFUNCTION("""COMPUTED_VALUE"""),2019.0)</f>
        <v>2019</v>
      </c>
      <c r="H1895" s="3" t="str">
        <f>IFERROR(__xludf.DUMMYFUNCTION("""COMPUTED_VALUE"""),"AN #50")</f>
        <v>AN #50</v>
      </c>
      <c r="I1895" t="str">
        <f>IFERROR(__xludf.DUMMYFUNCTION("""COMPUTED_VALUE"""),"Rohin")</f>
        <v>Rohin</v>
      </c>
      <c r="J1895" t="str">
        <f>IFERROR(__xludf.DUMMYFUNCTION("""COMPUTED_VALUE"""),"Papers on adversarial examples often suggest that adversarial examples can lead to real world problems as their motivation. As we've &lt;@seen@&gt;(@Motivating the Rules of the Game for Adversarial Example Research@) &lt;@previously@&gt;(@Introducing the Unrestricted"&amp;" Adversarial Examples Challenge@), many adversarial example settings are not very realistic _threat models_ for any real world problem. For example, adversarial ""stickers"" that cause vision models to fail to recognize stop signs could cause an autonomou"&amp;"s vehicle to crash... but an adversary could also just knock over the stop sign if that was their goal.
There are more compelling reasons that we might care about imperceptible perturbation adversarial examples. First, they are a proof of concept, demons"&amp;"trating that our ML models are not robust and make ""obvious"" mistakes and so cannot be relied on. Second, they form an unsolved research problem, in which progress can be made more easily than in real settings, because it can be formalized straightforwa"&amp;"rdly (unlike realistic settings). As progress is made in this toy domain, it can be used to inform new paradigms that are closer to realistic settings. But it is _not_ meant to mimic real world settings -- in the real world, you need a threat model of wha"&amp;"t problems can arise from the outside world, which will likely suggest much more basic concerns than the ""research problems"", requiring solutions involving sweeping design changes rather than small fixes.")</f>
        <v>Papers on adversarial examples often suggest that adversarial examples can lead to real world problems as their motivation. As we've &lt;@seen@&gt;(@Motivating the Rules of the Game for Adversarial Example Research@) &lt;@previously@&gt;(@Introducing the Unrestricted Adversarial Examples Challenge@), many adversarial example settings are not very realistic _threat models_ for any real world problem. For example, adversarial "stickers" that cause vision models to fail to recognize stop signs could cause an autonomous vehicle to crash... but an adversary could also just knock over the stop sign if that was their goal.
There are more compelling reasons that we might care about imperceptible perturbation adversarial examples. First, they are a proof of concept, demonstrating that our ML models are not robust and make "obvious" mistakes and so cannot be relied on. Second, they form an unsolved research problem, in which progress can be made more easily than in real settings, because it can be formalized straightforwardly (unlike realistic settings). As progress is made in this toy domain, it can be used to inform new paradigms that are closer to realistic settings. But it is _not_ meant to mimic real world settings -- in the real world, you need a threat model of what problems can arise from the outside world, which will likely suggest much more basic concerns than the "research problems", requiring solutions involving sweeping design changes rather than small fixes.</v>
      </c>
      <c r="K1895" t="str">
        <f>IFERROR(__xludf.DUMMYFUNCTION("""COMPUTED_VALUE"""),"I strongly agree with the points made in this post. I don't know to what extent researchers themselves agree with this point -- it seems like there is _a lot_ of adversarial examples research that is looking at the imperceptible perturbation case and many"&amp;" papers that talk about new types of adversarial examples, without really explaining why they are doing this or giving a motivation that is about unsolved research problems rather than real world settings. It's possible that researchers do think of it as "&amp;"a research problem and not a real world problem, but present their papers differently because they think that's necessary in order to be accepted.
The distinction between research problems and real world threat models seem to parallel the distinction bet"&amp;"ween theoretical or conceptual research and engineering in AI safety. The former typically asks questions of the form ""how could we do this in principle, making simplifying assumptions X, Y and Z"", even though X, Y and Z are known not to hold in the rea"&amp;"l world, for the sake of having greater conceptual clarity that can later be leveraged as a solution to a real world problem. Engineering work on the other hand is typically trying to scale an approach to a more complex environment (with the eventual goal"&amp;" of getting to a real world problem).")</f>
        <v>I strongly agree with the points made in this post. I don't know to what extent researchers themselves agree with this point -- it seems like there is _a lot_ of adversarial examples research that is looking at the imperceptible perturbation case and many papers that talk about new types of adversarial examples, without really explaining why they are doing this or giving a motivation that is about unsolved research problems rather than real world settings. It's possible that researchers do think of it as a research problem and not a real world problem, but present their papers differently because they think that's necessary in order to be accepted.
The distinction between research problems and real world threat models seem to parallel the distinction between theoretical or conceptual research and engineering in AI safety. The former typically asks questions of the form "how could we do this in principle, making simplifying assumptions X, Y and Z", even though X, Y and Z are known not to hold in the real world, for the sake of having greater conceptual clarity that can later be leveraged as a solution to a real world problem. Engineering work on the other hand is typically trying to scale an approach to a more complex environment (with the eventual goal of getting to a real world problem).</v>
      </c>
    </row>
    <row r="1896">
      <c r="A1896" t="str">
        <f>IFERROR(__xludf.DUMMYFUNCTION("""COMPUTED_VALUE"""),"Technical agendas and prioritization")</f>
        <v>Technical agendas and prioritization</v>
      </c>
      <c r="B1896" t="str">
        <f>IFERROR(__xludf.DUMMYFUNCTION("""COMPUTED_VALUE"""),"")</f>
        <v/>
      </c>
      <c r="C1896" s="3" t="str">
        <f>IFERROR(__xludf.DUMMYFUNCTION("""COMPUTED_VALUE"""),"FLI Podcast: AI Breakthroughs and Challenges in 2018 with David Krueger and Roman Yampolskiy")</f>
        <v>FLI Podcast: AI Breakthroughs and Challenges in 2018 with David Krueger and Roman Yampolskiy</v>
      </c>
      <c r="D1896" t="str">
        <f>IFERROR(__xludf.DUMMYFUNCTION("""COMPUTED_VALUE"""),"Ariel Conn, David Krueger and Roman Yampolskiy")</f>
        <v>Ariel Conn, David Krueger and Roman Yampolskiy</v>
      </c>
      <c r="E1896" t="str">
        <f>IFERROR(__xludf.DUMMYFUNCTION("""COMPUTED_VALUE"""),"FLI Website")</f>
        <v>FLI Website</v>
      </c>
      <c r="F1896">
        <f>IFERROR(__xludf.DUMMYFUNCTION("""COMPUTED_VALUE"""),2019.0)</f>
        <v>2019</v>
      </c>
      <c r="H1896" s="3" t="str">
        <f>IFERROR(__xludf.DUMMYFUNCTION("""COMPUTED_VALUE"""),"AN #47")</f>
        <v>AN #47</v>
      </c>
      <c r="I1896" t="str">
        <f>IFERROR(__xludf.DUMMYFUNCTION("""COMPUTED_VALUE"""),"Rohin")</f>
        <v>Rohin</v>
      </c>
      <c r="J1896" t="str">
        <f>IFERROR(__xludf.DUMMYFUNCTION("""COMPUTED_VALUE"""),"David and Roman review AI progress in 2018 and speculate about its implications. Roman identified a pattern where we see breakthroughs like [AlphaZero](https://deepmind.com/blog/alphazero-shedding-new-light-grand-games-chess-shogi-and-go/) ([AN #36](https"&amp;"://mailchi.mp/6751e45fbb48/alignment-newsletter-36)), [AlphaStar](https://deepmind.com/blog/alphastar-mastering-real-time-strategy-game-starcraft-ii/) ([AN #43](https://mailchi.mp/768a8130013f/alignment-newsletter-43)) and [AlphaFold](https://deepmind.com"&amp;"/blog/alphafold/) ([AN #36](https://mailchi.mp/6751e45fbb48/alignment-newsletter-36)) so frequently now that it no longer seems as impressive when a new one comes out. David on the other hand sounded less impressed by progress on Dota and StarCraft, since"&amp;" both AI systems were capable of executing actions that humans could never do (fast reaction times for Dota and high actions-per-minute for StarCraft). He also thought that these projects didn't result in any clear general algorithmic insights the way Alp"&amp;"haZero did.
On the deep RL + robotics side, David identified major progress in [Dactyl](https://blog.openai.com/learning-dexterity/) ([AN #18](https://mailchi.mp/51717855ea27/alignment-newsletter-18)) and [QT-Opt](https://ai.googleblog.com/2018/06/scalab"&amp;"le-deep-reinforcement-learning.html) (which I remember reading and liking but apparently I failed to put in the newsletter). He also cited GANs as having improved significantly, and talked about feature-wise transformations in particular. Roman noted the "&amp;"improving performance of evolutionary algorithms.
David also noted how a lot of results were obtained by creating algorithms that could scale, and then using a huge amount of compute for them, quoting [AI and Compute](https://blog.openai.com/ai-and-compu"&amp;"te/) ([AN #7](https://mailchi.mp/3e550712419a/alignment-newsletter-7)), [Interpreting AI Compute Trends](https://aiimpacts.org/interpreting-ai-compute-trends/) ([AN #15](https://mailchi.mp/4920e52dd61b/alignment-newsletter-15)) and [Reinterpreting AI and "&amp;"Compute](https://aiimpacts.org/reinterpreting-ai-and-compute/) ([AN #38](https://mailchi.mp/588354e4b91d/alignment-newsletter-38)).
On the policy side, they talked about deep fakes and the general trend that AI may be progressing to fast for us to keep u"&amp;"p with its security implications. They do find it promising that researchers are beginning to accept that their research does have safety and security implications.
On the safety side, David noted that the main advance seemed to be with approaches using "&amp;"[superhuman feedback](https://www.lesswrong.com/posts/naccwaCQEEBXK7hiJ/my-use-of-the-phrase-super-human-feedback), including [debate](https://blog.openai.com/debate/) ([AN #5](https://mailchi.mp/0ae5d69de63b/alignment-newsletter-5)), [iterated amplificat"&amp;"ion](https://blog.openai.com/amplifying-ai-training/) (discussed frequently in this newsletter, but that paper was in [AN #30](https://mailchi.mp/c1f376f3a12e/alignment-newsletter-30)) and [recursive reward modeling](https://medium.com/@deepmindsafetyrese"&amp;"arch/scalable-agent-alignment-via-reward-modeling-bf4ab06dfd84) ([AN #34](https://mailchi.mp/f1947668b183/alignment-newsletter-34)). He also identified [unrestricted adversarial examples](https://ai.googleblog.com/2018/09/introducing-unrestricted-adversar"&amp;"ial.html) ([AN #24](https://mailchi.mp/d7b5059d64ed/alignment-newsletter-24)) as an area to watch in the future.")</f>
        <v>David and Roman review AI progress in 2018 and speculate about its implications. Roman identified a pattern where we see breakthroughs like [AlphaZero](https://deepmind.com/blog/alphazero-shedding-new-light-grand-games-chess-shogi-and-go/) ([AN #36](https://mailchi.mp/6751e45fbb48/alignment-newsletter-36)), [AlphaStar](https://deepmind.com/blog/alphastar-mastering-real-time-strategy-game-starcraft-ii/) ([AN #43](https://mailchi.mp/768a8130013f/alignment-newsletter-43)) and [AlphaFold](https://deepmind.com/blog/alphafold/) ([AN #36](https://mailchi.mp/6751e45fbb48/alignment-newsletter-36)) so frequently now that it no longer seems as impressive when a new one comes out. David on the other hand sounded less impressed by progress on Dota and StarCraft, since both AI systems were capable of executing actions that humans could never do (fast reaction times for Dota and high actions-per-minute for StarCraft). He also thought that these projects didn't result in any clear general algorithmic insights the way AlphaZero did.
On the deep RL + robotics side, David identified major progress in [Dactyl](https://blog.openai.com/learning-dexterity/) ([AN #18](https://mailchi.mp/51717855ea27/alignment-newsletter-18)) and [QT-Opt](https://ai.googleblog.com/2018/06/scalable-deep-reinforcement-learning.html) (which I remember reading and liking but apparently I failed to put in the newsletter). He also cited GANs as having improved significantly, and talked about feature-wise transformations in particular. Roman noted the improving performance of evolutionary algorithms.
David also noted how a lot of results were obtained by creating algorithms that could scale, and then using a huge amount of compute for them, quoting [AI and Compute](https://blog.openai.com/ai-and-compute/) ([AN #7](https://mailchi.mp/3e550712419a/alignment-newsletter-7)), [Interpreting AI Compute Trends](https://aiimpacts.org/interpreting-ai-compute-trends/) ([AN #15](https://mailchi.mp/4920e52dd61b/alignment-newsletter-15)) and [Reinterpreting AI and Compute](https://aiimpacts.org/reinterpreting-ai-and-compute/) ([AN #38](https://mailchi.mp/588354e4b91d/alignment-newsletter-38)).
On the policy side, they talked about deep fakes and the general trend that AI may be progressing to fast for us to keep up with its security implications. They do find it promising that researchers are beginning to accept that their research does have safety and security implications.
On the safety side, David noted that the main advance seemed to be with approaches using [superhuman feedback](https://www.lesswrong.com/posts/naccwaCQEEBXK7hiJ/my-use-of-the-phrase-super-human-feedback), including [debate](https://blog.openai.com/debate/) ([AN #5](https://mailchi.mp/0ae5d69de63b/alignment-newsletter-5)), [iterated amplification](https://blog.openai.com/amplifying-ai-training/) (discussed frequently in this newsletter, but that paper was in [AN #30](https://mailchi.mp/c1f376f3a12e/alignment-newsletter-30)) and [recursive reward modeling](https://medium.com/@deepmindsafetyresearch/scalable-agent-alignment-via-reward-modeling-bf4ab06dfd84) ([AN #34](https://mailchi.mp/f1947668b183/alignment-newsletter-34)). He also identified [unrestricted adversarial examples](https://ai.googleblog.com/2018/09/introducing-unrestricted-adversarial.html) ([AN #24](https://mailchi.mp/d7b5059d64ed/alignment-newsletter-24)) as an area to watch in the future.</v>
      </c>
      <c r="K1896" t="str">
        <f>IFERROR(__xludf.DUMMYFUNCTION("""COMPUTED_VALUE"""),"I broadly agree with the areas of AI progress identified here, though I would probably also throw in NLP, e.g. [BERT](https://ai.googleblog.com/2018/11/open-sourcing-bert-state-of-art-pre.html). I disagree on the details -- for example, I think that [Open"&amp;"AI Five](https://blog.openai.com/openai-five/) ([AN #13](https://mailchi.mp/8234356e4b7f/alignment-newsletter-13)) was much better than I would have expected at the time and the same would have been true of AlphaStar if I hadn't already seen OpenAI Five, "&amp;"and the fact that they did a few things that humans can't do barely diminishes the achievement at all. (My take is pretty similar to Alex Irpan's take in his [post on AlphaStar](https://www.alexirpan.com/2019/02/22/alphastar.html).)")</f>
        <v>I broadly agree with the areas of AI progress identified here, though I would probably also throw in NLP, e.g. [BERT](https://ai.googleblog.com/2018/11/open-sourcing-bert-state-of-art-pre.html). I disagree on the details -- for example, I think that [OpenAI Five](https://blog.openai.com/openai-five/) ([AN #13](https://mailchi.mp/8234356e4b7f/alignment-newsletter-13)) was much better than I would have expected at the time and the same would have been true of AlphaStar if I hadn't already seen OpenAI Five, and the fact that they did a few things that humans can't do barely diminishes the achievement at all. (My take is pretty similar to Alex Irpan's take in his [post on AlphaStar](https://www.alexirpan.com/2019/02/22/alphastar.html).)</v>
      </c>
    </row>
    <row r="1897">
      <c r="A1897" t="str">
        <f>IFERROR(__xludf.DUMMYFUNCTION("""COMPUTED_VALUE"""),"Technical agendas and prioritization")</f>
        <v>Technical agendas and prioritization</v>
      </c>
      <c r="B1897" t="str">
        <f>IFERROR(__xludf.DUMMYFUNCTION("""COMPUTED_VALUE"""),"")</f>
        <v/>
      </c>
      <c r="C1897" s="3" t="str">
        <f>IFERROR(__xludf.DUMMYFUNCTION("""COMPUTED_VALUE"""),"Treacherous Turn, Simulations and Brain-Computer Interfaces")</f>
        <v>Treacherous Turn, Simulations and Brain-Computer Interfaces</v>
      </c>
      <c r="D1897" t="str">
        <f>IFERROR(__xludf.DUMMYFUNCTION("""COMPUTED_VALUE"""),"Michaël Trazzi")</f>
        <v>Michaël Trazzi</v>
      </c>
      <c r="E1897" t="str">
        <f>IFERROR(__xludf.DUMMYFUNCTION("""COMPUTED_VALUE"""),"LessWrong")</f>
        <v>LessWrong</v>
      </c>
      <c r="F1897">
        <f>IFERROR(__xludf.DUMMYFUNCTION("""COMPUTED_VALUE"""),2019.0)</f>
        <v>2019</v>
      </c>
      <c r="H1897" s="3" t="str">
        <f>IFERROR(__xludf.DUMMYFUNCTION("""COMPUTED_VALUE"""),"AN #47")</f>
        <v>AN #47</v>
      </c>
    </row>
    <row r="1898">
      <c r="A1898" t="str">
        <f>IFERROR(__xludf.DUMMYFUNCTION("""COMPUTED_VALUE"""),"Technical agendas and prioritization")</f>
        <v>Technical agendas and prioritization</v>
      </c>
      <c r="B1898" t="str">
        <f>IFERROR(__xludf.DUMMYFUNCTION("""COMPUTED_VALUE"""),"")</f>
        <v/>
      </c>
      <c r="C1898" s="3" t="str">
        <f>IFERROR(__xludf.DUMMYFUNCTION("""COMPUTED_VALUE"""),"Inverse Reinforcement Learning and Inferring Human Preference with Dylan Hadfield-Menell")</f>
        <v>Inverse Reinforcement Learning and Inferring Human Preference with Dylan Hadfield-Menell</v>
      </c>
      <c r="D1898" t="str">
        <f>IFERROR(__xludf.DUMMYFUNCTION("""COMPUTED_VALUE"""),"Lucas Perry and Dylan Hadfield-Menell")</f>
        <v>Lucas Perry and Dylan Hadfield-Menell</v>
      </c>
      <c r="E1898" t="str">
        <f>IFERROR(__xludf.DUMMYFUNCTION("""COMPUTED_VALUE"""),"FLI")</f>
        <v>FLI</v>
      </c>
      <c r="F1898">
        <f>IFERROR(__xludf.DUMMYFUNCTION("""COMPUTED_VALUE"""),2018.0)</f>
        <v>2018</v>
      </c>
      <c r="H1898" s="3" t="str">
        <f>IFERROR(__xludf.DUMMYFUNCTION("""COMPUTED_VALUE"""),"AN #4")</f>
        <v>AN #4</v>
      </c>
      <c r="I1898" t="str">
        <f>IFERROR(__xludf.DUMMYFUNCTION("""COMPUTED_VALUE"""),"Rohin")</f>
        <v>Rohin</v>
      </c>
      <c r="J1898" t="str">
        <f>IFERROR(__xludf.DUMMYFUNCTION("""COMPUTED_VALUE"""),"A few weeks ago, Lucas Perry interviewed Dylan Hadfield-Menell on the FLI podcast about his research (which includes papers like [Cooperative Inverse Reinforcement Learning](https://arxiv.org/abs/1606.03137),  [The Off-Switch Game](https://arxiv.org/abs/1"&amp;"611.08219), and [Inverse Reward Design](https://arxiv.org/abs/1711.02827)). They discussed a variety of topics including the motivations behind Dylan's research, future directions, thoughts on hard problems such as corrigibility and preference aggregation"&amp;", etc.")</f>
        <v>A few weeks ago, Lucas Perry interviewed Dylan Hadfield-Menell on the FLI podcast about his research (which includes papers like [Cooperative Inverse Reinforcement Learning](https://arxiv.org/abs/1606.03137),  [The Off-Switch Game](https://arxiv.org/abs/1611.08219), and [Inverse Reward Design](https://arxiv.org/abs/1711.02827)). They discussed a variety of topics including the motivations behind Dylan's research, future directions, thoughts on hard problems such as corrigibility and preference aggregation, etc.</v>
      </c>
      <c r="K1898" t="str">
        <f>IFERROR(__xludf.DUMMYFUNCTION("""COMPUTED_VALUE"""),"This is probably most useful for understanding the motivations behind many of Dylan's papers and how they all tie into each other, which can be hard to glean just from reading the papers. There were also a lot of framings of problems that felt useful to m"&amp;"e that I haven't seen elsewhere.")</f>
        <v>This is probably most useful for understanding the motivations behind many of Dylan's papers and how they all tie into each other, which can be hard to glean just from reading the papers. There were also a lot of framings of problems that felt useful to me that I haven't seen elsewhere.</v>
      </c>
    </row>
    <row r="1899">
      <c r="A1899" t="str">
        <f>IFERROR(__xludf.DUMMYFUNCTION("""COMPUTED_VALUE"""),"Technical agendas and prioritization")</f>
        <v>Technical agendas and prioritization</v>
      </c>
      <c r="B1899" t="str">
        <f>IFERROR(__xludf.DUMMYFUNCTION("""COMPUTED_VALUE"""),"")</f>
        <v/>
      </c>
      <c r="C1899" s="3" t="str">
        <f>IFERROR(__xludf.DUMMYFUNCTION("""COMPUTED_VALUE"""),"Why I expect successful alignment")</f>
        <v>Why I expect successful alignment</v>
      </c>
      <c r="D1899" t="str">
        <f>IFERROR(__xludf.DUMMYFUNCTION("""COMPUTED_VALUE"""),"Tobias Baumann")</f>
        <v>Tobias Baumann</v>
      </c>
      <c r="E1899" t="str">
        <f>IFERROR(__xludf.DUMMYFUNCTION("""COMPUTED_VALUE"""),"S-risks website")</f>
        <v>S-risks website</v>
      </c>
      <c r="F1899">
        <f>IFERROR(__xludf.DUMMYFUNCTION("""COMPUTED_VALUE"""),2018.0)</f>
        <v>2018</v>
      </c>
      <c r="H1899" s="3" t="str">
        <f>IFERROR(__xludf.DUMMYFUNCTION("""COMPUTED_VALUE"""),"AN #39")</f>
        <v>AN #39</v>
      </c>
      <c r="I1899" t="str">
        <f>IFERROR(__xludf.DUMMYFUNCTION("""COMPUTED_VALUE"""),"Rohin")</f>
        <v>Rohin</v>
      </c>
      <c r="J1899" t="str">
        <f>IFERROR(__xludf.DUMMYFUNCTION("""COMPUTED_VALUE"""),"This post gives three arguments that we will likely solve the narrow alignment problem of having an AI system do what its operators intend it to do. First, advanced AI systems may be developed in such a way that the alignment problem doesn't even happen, "&amp;"at least as we currently conceive of it. For example, under the comprehensive AI services model, there are many different AI services that are superintelligent at particular tasks that can work together to accomplish complex goals, but there isn't a singl"&amp;"e unified agent to ""align"". Second, if it becomes obvious that alignment will be a serious problem, then we will devote a lot of resources to tackling the problem. We already see reward hacking in current systems, but it isn't sufficiently dangerous yet"&amp;" to merit the application of a lot of resources. Third, we have already come up with some decent approaches that seem like they could work.")</f>
        <v>This post gives three arguments that we will likely solve the narrow alignment problem of having an AI system do what its operators intend it to do. First, advanced AI systems may be developed in such a way that the alignment problem doesn't even happen, at least as we currently conceive of it. For example, under the comprehensive AI services model, there are many different AI services that are superintelligent at particular tasks that can work together to accomplish complex goals, but there isn't a single unified agent to "align". Second, if it becomes obvious that alignment will be a serious problem, then we will devote a lot of resources to tackling the problem. We already see reward hacking in current systems, but it isn't sufficiently dangerous yet to merit the application of a lot of resources. Third, we have already come up with some decent approaches that seem like they could work.</v>
      </c>
      <c r="K1899" t="str">
        <f>IFERROR(__xludf.DUMMYFUNCTION("""COMPUTED_VALUE"""),"I generally agree with these arguments and the general viewpoint that we will probably solve alignment in this narrow sense. The most compelling argument to me is the second one, that we will eventually devote significant resources to the problem. This do"&amp;"es depend on the crux that we see examples of these problems and how they could be dangerous before it is too late.
I also agree that it's much less clear whether we will solve other related problems, such as how to deal with malicious uses of AI, issues"&amp;" that arise when multiple superintelligent AI systems aligned with different humans start to compete, and how to ensure that humans have ""good"" values. I don't know if this implies that _on the margin_ it is more useful to work on the related problems. "&amp;"It could be that these problems are so hard that there is not much that we can do. (I'm neglecting [importance of the problem](https://concepts.effectivealtruism.org/concepts/importance-neglectedness-tractability/) here.)")</f>
        <v>I generally agree with these arguments and the general viewpoint that we will probably solve alignment in this narrow sense. The most compelling argument to me is the second one, that we will eventually devote significant resources to the problem. This does depend on the crux that we see examples of these problems and how they could be dangerous before it is too late.
I also agree that it's much less clear whether we will solve other related problems, such as how to deal with malicious uses of AI, issues that arise when multiple superintelligent AI systems aligned with different humans start to compete, and how to ensure that humans have "good" values. I don't know if this implies that _on the margin_ it is more useful to work on the related problems. It could be that these problems are so hard that there is not much that we can do. (I'm neglecting [importance of the problem](https://concepts.effectivealtruism.org/concepts/importance-neglectedness-tractability/) here.)</v>
      </c>
    </row>
    <row r="1900">
      <c r="A1900" t="str">
        <f>IFERROR(__xludf.DUMMYFUNCTION("""COMPUTED_VALUE"""),"Technical agendas and prioritization")</f>
        <v>Technical agendas and prioritization</v>
      </c>
      <c r="B1900" t="str">
        <f>IFERROR(__xludf.DUMMYFUNCTION("""COMPUTED_VALUE"""),"")</f>
        <v/>
      </c>
      <c r="C1900" s="3" t="str">
        <f>IFERROR(__xludf.DUMMYFUNCTION("""COMPUTED_VALUE"""),"Discussion on the machine learning approach to AI safety")</f>
        <v>Discussion on the machine learning approach to AI safety</v>
      </c>
      <c r="D1900" t="str">
        <f>IFERROR(__xludf.DUMMYFUNCTION("""COMPUTED_VALUE"""),"Vika")</f>
        <v>Vika</v>
      </c>
      <c r="E1900" t="str">
        <f>IFERROR(__xludf.DUMMYFUNCTION("""COMPUTED_VALUE"""),"Alignment Forum")</f>
        <v>Alignment Forum</v>
      </c>
      <c r="F1900">
        <f>IFERROR(__xludf.DUMMYFUNCTION("""COMPUTED_VALUE"""),2018.0)</f>
        <v>2018</v>
      </c>
      <c r="H1900" s="3" t="str">
        <f>IFERROR(__xludf.DUMMYFUNCTION("""COMPUTED_VALUE"""),"AN #31")</f>
        <v>AN #31</v>
      </c>
      <c r="I1900" t="str">
        <f>IFERROR(__xludf.DUMMYFUNCTION("""COMPUTED_VALUE"""),"Richard")</f>
        <v>Richard</v>
      </c>
      <c r="J1900" t="str">
        <f>IFERROR(__xludf.DUMMYFUNCTION("""COMPUTED_VALUE"""),"This blog post (based on a talk at EA Global London) discusses whether current work on the machine learning approach to AI safety will remain relevant in the face of potential paradigmatic changes in ML systems. Vika and Jan rate how much they rely on eac"&amp;"h assumptions in a list drawn from [this blog post by Jon Gauthier] (http://www.foldl.me/2018/conceptual-issues-ai-safety-paradigmatic-gap/) ([AN #13](https://mailchi.mp/8234356e4b7f/alignment-newsletter-13)), and how likely each assumptions is to hold up"&amp;" over time. They also evaluate arguments for human-in-the-loop approaches versus problem-specific approaches.")</f>
        <v>This blog post (based on a talk at EA Global London) discusses whether current work on the machine learning approach to AI safety will remain relevant in the face of potential paradigmatic changes in ML systems. Vika and Jan rate how much they rely on each assumptions in a list drawn from [this blog post by Jon Gauthier] (http://www.foldl.me/2018/conceptual-issues-ai-safety-paradigmatic-gap/) ([AN #13](https://mailchi.mp/8234356e4b7f/alignment-newsletter-13)), and how likely each assumptions is to hold up over time. They also evaluate arguments for human-in-the-loop approaches versus problem-specific approaches.</v>
      </c>
      <c r="K1900" t="str">
        <f>IFERROR(__xludf.DUMMYFUNCTION("""COMPUTED_VALUE"""),"This post concisely conveys a number of Vika and Jan's views, albeit without explanations for most of them. I'd encourage other safety researchers to do the same exercise, with a view to fleshing out the cruxes behind whatever disagreements come up.")</f>
        <v>This post concisely conveys a number of Vika and Jan's views, albeit without explanations for most of them. I'd encourage other safety researchers to do the same exercise, with a view to fleshing out the cruxes behind whatever disagreements come up.</v>
      </c>
    </row>
    <row r="1901">
      <c r="A1901" t="str">
        <f>IFERROR(__xludf.DUMMYFUNCTION("""COMPUTED_VALUE"""),"Technical agendas and prioritization")</f>
        <v>Technical agendas and prioritization</v>
      </c>
      <c r="B1901" t="str">
        <f>IFERROR(__xludf.DUMMYFUNCTION("""COMPUTED_VALUE"""),"")</f>
        <v/>
      </c>
      <c r="C1901" s="3" t="str">
        <f>IFERROR(__xludf.DUMMYFUNCTION("""COMPUTED_VALUE"""),"The Rocket Alignment Problem")</f>
        <v>The Rocket Alignment Problem</v>
      </c>
      <c r="D1901" t="str">
        <f>IFERROR(__xludf.DUMMYFUNCTION("""COMPUTED_VALUE"""),"Eliezer Yudkowsky")</f>
        <v>Eliezer Yudkowsky</v>
      </c>
      <c r="E1901" t="str">
        <f>IFERROR(__xludf.DUMMYFUNCTION("""COMPUTED_VALUE"""),"Alignment Forum")</f>
        <v>Alignment Forum</v>
      </c>
      <c r="F1901">
        <f>IFERROR(__xludf.DUMMYFUNCTION("""COMPUTED_VALUE"""),2018.0)</f>
        <v>2018</v>
      </c>
      <c r="H1901" s="3" t="str">
        <f>IFERROR(__xludf.DUMMYFUNCTION("""COMPUTED_VALUE"""),"AN #27")</f>
        <v>AN #27</v>
      </c>
      <c r="I1901" t="str">
        <f>IFERROR(__xludf.DUMMYFUNCTION("""COMPUTED_VALUE"""),"Richard")</f>
        <v>Richard</v>
      </c>
      <c r="J1901" t="str">
        <f>IFERROR(__xludf.DUMMYFUNCTION("""COMPUTED_VALUE"""),"Eliezer explains the motivations behind MIRI’s work using an analogy between aligning AI and designing a rocket that can get to the moon. He portrays our current theoretical understanding of intelligence as having massive conceptual holes; MIRI is trying "&amp;"to clarify these fundamental confusions. Although there’s not yet any clear path from these sorts of advances to building an aligned AI, Eliezer estimates our chances of success without them as basically 0%: it’s like somebody who doesn’t understand calcu"&amp;"lus building a rocket with the intention of manually steering it on the way up.")</f>
        <v>Eliezer explains the motivations behind MIRI’s work using an analogy between aligning AI and designing a rocket that can get to the moon. He portrays our current theoretical understanding of intelligence as having massive conceptual holes; MIRI is trying to clarify these fundamental confusions. Although there’s not yet any clear path from these sorts of advances to building an aligned AI, Eliezer estimates our chances of success without them as basically 0%: it’s like somebody who doesn’t understand calculus building a rocket with the intention of manually steering it on the way up.</v>
      </c>
      <c r="K1901" t="str">
        <f>IFERROR(__xludf.DUMMYFUNCTION("""COMPUTED_VALUE"""),"I think it’s important to take this post as an explication of MIRI’s mindset, not as an argument for that mindset. In the former role, it’s excellent: the analogy is a fitting one in many ways. It’s worth noting, though, that the idea of only having one s"&amp;"hot at success seems like an important component, but isn’t made explicit. Also, it’d be nice to have more clarity about the “approximately 0% chance of success” without advances in agent foundations - maybe that credence is justified under a specific mod"&amp;"el of what’s needed for AI alignment, but does it take into account model uncertainty?")</f>
        <v>I think it’s important to take this post as an explication of MIRI’s mindset, not as an argument for that mindset. In the former role, it’s excellent: the analogy is a fitting one in many ways. It’s worth noting, though, that the idea of only having one shot at success seems like an important component, but isn’t made explicit. Also, it’d be nice to have more clarity about the “approximately 0% chance of success” without advances in agent foundations - maybe that credence is justified under a specific model of what’s needed for AI alignment, but does it take into account model uncertainty?</v>
      </c>
    </row>
    <row r="1902">
      <c r="A1902" t="str">
        <f>IFERROR(__xludf.DUMMYFUNCTION("""COMPUTED_VALUE"""),"Technical agendas and prioritization")</f>
        <v>Technical agendas and prioritization</v>
      </c>
      <c r="B1902" t="str">
        <f>IFERROR(__xludf.DUMMYFUNCTION("""COMPUTED_VALUE"""),"")</f>
        <v/>
      </c>
      <c r="C1902" s="3" t="str">
        <f>IFERROR(__xludf.DUMMYFUNCTION("""COMPUTED_VALUE"""),"Comment on decision theory")</f>
        <v>Comment on decision theory</v>
      </c>
      <c r="D1902" t="str">
        <f>IFERROR(__xludf.DUMMYFUNCTION("""COMPUTED_VALUE"""),"Rob Bensinger")</f>
        <v>Rob Bensinger</v>
      </c>
      <c r="E1902" t="str">
        <f>IFERROR(__xludf.DUMMYFUNCTION("""COMPUTED_VALUE"""),"Alignment Forum")</f>
        <v>Alignment Forum</v>
      </c>
      <c r="F1902">
        <f>IFERROR(__xludf.DUMMYFUNCTION("""COMPUTED_VALUE"""),2018.0)</f>
        <v>2018</v>
      </c>
      <c r="H1902" s="3" t="str">
        <f>IFERROR(__xludf.DUMMYFUNCTION("""COMPUTED_VALUE"""),"AN #24")</f>
        <v>AN #24</v>
      </c>
      <c r="I1902" t="str">
        <f>IFERROR(__xludf.DUMMYFUNCTION("""COMPUTED_VALUE"""),"Rohin")</f>
        <v>Rohin</v>
      </c>
      <c r="J1902" t="str">
        <f>IFERROR(__xludf.DUMMYFUNCTION("""COMPUTED_VALUE"""),"MIRI works on Agent Foundations because AGIs should be good reasoners, and we're currently confused about how to have good reasoning, and work on logical uncertainty and decision theory should help us resolve this confusion. If we don't resolve the confus"&amp;"ion, it will be significantly harder to build AGI in a way that is clean, understandable and interpretable, and as a result it will be harder to understand what is happening and to fix it if anything goes wrong. This is analogous to how it seems really us"&amp;"eful to understand Newton's law of gravitation before you try to build rockets, even though the work of figuring out Newton's law is very different from the rocket-building work.")</f>
        <v>MIRI works on Agent Foundations because AGIs should be good reasoners, and we're currently confused about how to have good reasoning, and work on logical uncertainty and decision theory should help us resolve this confusion. If we don't resolve the confusion, it will be significantly harder to build AGI in a way that is clean, understandable and interpretable, and as a result it will be harder to understand what is happening and to fix it if anything goes wrong. This is analogous to how it seems really useful to understand Newton's law of gravitation before you try to build rockets, even though the work of figuring out Newton's law is very different from the rocket-building work.</v>
      </c>
      <c r="K1902" t="str">
        <f>IFERROR(__xludf.DUMMYFUNCTION("""COMPUTED_VALUE"""),"My basic opinion is that this makes sense and agrees with my model. On the other hand, I'm not planning to switch to working on decision theory now, so perhaps I should say why. Partly it's that I have a comparative advantage at ML work, but it's also an "&amp;"impression that Agent Foundations will not help much with the first powerful AI systems we build. On one axis, I wouldn't be surprised if the first powerful AI systems don't look like the good reasoners that MIRI studies, and so Agent Foundations research"&amp;" won't apply. On another axis, Agent Foundations seems like a hard problem that we may not solve before powerful AI systems are created. I do find it plausible that to build _aligned_ AI systems that are _much_ more powerful than humans, we must understan"&amp;"d it at the level of Agent Foundations understanding. (Though I also find the opposite statement plausible.) However, I think we will first build powerful AI systems that are not that much more powerful than humans, and that direct alignment of ML techniq"&amp;"ues will be sufficient to make that safe (even though they do pose an x-risk). (I suspect this is where my main disagreement with people at MIRI is.) We can then use those systems to help us solve Agent Foundations before we scale up.")</f>
        <v>My basic opinion is that this makes sense and agrees with my model. On the other hand, I'm not planning to switch to working on decision theory now, so perhaps I should say why. Partly it's that I have a comparative advantage at ML work, but it's also an impression that Agent Foundations will not help much with the first powerful AI systems we build. On one axis, I wouldn't be surprised if the first powerful AI systems don't look like the good reasoners that MIRI studies, and so Agent Foundations research won't apply. On another axis, Agent Foundations seems like a hard problem that we may not solve before powerful AI systems are created. I do find it plausible that to build _aligned_ AI systems that are _much_ more powerful than humans, we must understand it at the level of Agent Foundations understanding. (Though I also find the opposite statement plausible.) However, I think we will first build powerful AI systems that are not that much more powerful than humans, and that direct alignment of ML techniques will be sufficient to make that safe (even though they do pose an x-risk). (I suspect this is where my main disagreement with people at MIRI is.) We can then use those systems to help us solve Agent Foundations before we scale up.</v>
      </c>
    </row>
    <row r="1903">
      <c r="A1903" t="str">
        <f>IFERROR(__xludf.DUMMYFUNCTION("""COMPUTED_VALUE"""),"Technical agendas and prioritization")</f>
        <v>Technical agendas and prioritization</v>
      </c>
      <c r="B1903" t="str">
        <f>IFERROR(__xludf.DUMMYFUNCTION("""COMPUTED_VALUE"""),"")</f>
        <v/>
      </c>
      <c r="C1903" s="3" t="str">
        <f>IFERROR(__xludf.DUMMYFUNCTION("""COMPUTED_VALUE"""),"Some criteria for sandwiching projects")</f>
        <v>Some criteria for sandwiching projects</v>
      </c>
      <c r="D1903" t="str">
        <f>IFERROR(__xludf.DUMMYFUNCTION("""COMPUTED_VALUE"""),"Daniel Ziegler")</f>
        <v>Daniel Ziegler</v>
      </c>
      <c r="E1903" t="str">
        <f>IFERROR(__xludf.DUMMYFUNCTION("""COMPUTED_VALUE"""),"Alignment Forum")</f>
        <v>Alignment Forum</v>
      </c>
      <c r="F1903">
        <f>IFERROR(__xludf.DUMMYFUNCTION("""COMPUTED_VALUE"""),2021.0)</f>
        <v>2021</v>
      </c>
      <c r="H1903" s="3" t="str">
        <f>IFERROR(__xludf.DUMMYFUNCTION("""COMPUTED_VALUE"""),"AN #162")</f>
        <v>AN #162</v>
      </c>
      <c r="I1903" t="str">
        <f>IFERROR(__xludf.DUMMYFUNCTION("""COMPUTED_VALUE"""),"Rohin")</f>
        <v>Rohin</v>
      </c>
      <c r="J1903" t="str">
        <f>IFERROR(__xludf.DUMMYFUNCTION("""COMPUTED_VALUE"""),"This post outlines the pieces needed in order to execute a “sandwiching” project on &lt;@aligning narrowly superhuman models@&gt;(@The case for aligning narrowly superhuman models@), with the example of answering questions about a text when humans have limited "&amp;"access to that text. (Imagine answering questions about a paper, where the model can read the full paper but human labelers can only read the abstract.) The required pieces are:
1. **Aligned metric:** There needs to be some way of telling whether the pro"&amp;"ject succeeded, i.e. the technique made the narrowly superhuman model more aligned. In the Q&amp;A case, we get the aligned metric by seeing how humans answer when they can read the entire text.
2. **A narrowly superhuman model:** The model must have the capa"&amp;"bility to outperform the labelers on the task. In the Q&amp;A case, we get this by artificially restricting the input that the labelers get (relative to what the model gets). In other cases we could use labelers who lack the relevant domain expertise that the"&amp;" model instead knows.
3. **Headroom on the aligned metric:** Baseline methods (such as training from labeler feedback) should not perform very well, so that there is room for a better technique to improve performance. It would be especially nice if making"&amp;" the model larger led to no improvement in the aligned metric; this would mean that we are working in a situation that is primarily an alignment failure.
4. **A natural plan of attack:** We have some approach for doing better than the baseline. For the Q&amp;"&amp;"A example, we could train one model that selects the most relevant piece of text (by training on labelers’ ratings of relevance) and another model that answers the question given that relevant piece.")</f>
        <v>This post outlines the pieces needed in order to execute a “sandwiching” project on &lt;@aligning narrowly superhuman models@&gt;(@The case for aligning narrowly superhuman models@), with the example of answering questions about a text when humans have limited access to that text. (Imagine answering questions about a paper, where the model can read the full paper but human labelers can only read the abstract.) The required pieces are:
1. **Aligned metric:** There needs to be some way of telling whether the project succeeded, i.e. the technique made the narrowly superhuman model more aligned. In the Q&amp;A case, we get the aligned metric by seeing how humans answer when they can read the entire text.
2. **A narrowly superhuman model:** The model must have the capability to outperform the labelers on the task. In the Q&amp;A case, we get this by artificially restricting the input that the labelers get (relative to what the model gets). In other cases we could use labelers who lack the relevant domain expertise that the model instead knows.
3. **Headroom on the aligned metric:** Baseline methods (such as training from labeler feedback) should not perform very well, so that there is room for a better technique to improve performance. It would be especially nice if making the model larger led to no improvement in the aligned metric; this would mean that we are working in a situation that is primarily an alignment failure.
4. **A natural plan of attack:** We have some approach for doing better than the baseline. For the Q&amp;A example, we could train one model that selects the most relevant piece of text (by training on labelers’ ratings of relevance) and another model that answers the question given that relevant piece.</v>
      </c>
      <c r="K1903" t="str">
        <f>IFERROR(__xludf.DUMMYFUNCTION("""COMPUTED_VALUE"""),"This seems like a good way to generate good concrete empirical projects to work on. It does differ from the original post in placing less of an emphasis on “fuzzy” tasks, where aligned metrics are hard to come by, though it isn’t incompatible with it (in "&amp;"a “fuzzy” task, you probably still want as aligned a metric as you can get in order to measure progress).")</f>
        <v>This seems like a good way to generate good concrete empirical projects to work on. It does differ from the original post in placing less of an emphasis on “fuzzy” tasks, where aligned metrics are hard to come by, though it isn’t incompatible with it (in a “fuzzy” task, you probably still want as aligned a metric as you can get in order to measure progress).</v>
      </c>
    </row>
    <row r="1904">
      <c r="A1904" t="str">
        <f>IFERROR(__xludf.DUMMYFUNCTION("""COMPUTED_VALUE"""),"Technical agendas and prioritization")</f>
        <v>Technical agendas and prioritization</v>
      </c>
      <c r="B1904" t="str">
        <f>IFERROR(__xludf.DUMMYFUNCTION("""COMPUTED_VALUE"""),"")</f>
        <v/>
      </c>
      <c r="C1904" s="3" t="str">
        <f>IFERROR(__xludf.DUMMYFUNCTION("""COMPUTED_VALUE"""),"Mechanism design for AI")</f>
        <v>Mechanism design for AI</v>
      </c>
      <c r="D1904" t="str">
        <f>IFERROR(__xludf.DUMMYFUNCTION("""COMPUTED_VALUE"""),"Tobias Baumann")</f>
        <v>Tobias Baumann</v>
      </c>
      <c r="E1904" t="str">
        <f>IFERROR(__xludf.DUMMYFUNCTION("""COMPUTED_VALUE"""),"S-risks website")</f>
        <v>S-risks website</v>
      </c>
      <c r="F1904">
        <f>IFERROR(__xludf.DUMMYFUNCTION("""COMPUTED_VALUE"""),2018.0)</f>
        <v>2018</v>
      </c>
      <c r="H1904" s="3" t="str">
        <f>IFERROR(__xludf.DUMMYFUNCTION("""COMPUTED_VALUE"""),"AN #16")</f>
        <v>AN #16</v>
      </c>
      <c r="I1904" t="str">
        <f>IFERROR(__xludf.DUMMYFUNCTION("""COMPUTED_VALUE"""),"Rohin")</f>
        <v>Rohin</v>
      </c>
      <c r="J1904" t="str">
        <f>IFERROR(__xludf.DUMMYFUNCTION("""COMPUTED_VALUE"""),"One cause of outcomes worse than extinction could be escalating conflicts between very capable AI systems (that could eg. threaten to simulate suffering beings). It is worth studying how we could have AI systems implement mechanism design in order to guid"&amp;"e such systems into more cooperative behavior.")</f>
        <v>One cause of outcomes worse than extinction could be escalating conflicts between very capable AI systems (that could eg. threaten to simulate suffering beings). It is worth studying how we could have AI systems implement mechanism design in order to guide such systems into more cooperative behavior.</v>
      </c>
      <c r="M1904" s="3" t="str">
        <f>IFERROR(__xludf.DUMMYFUNCTION("""COMPUTED_VALUE"""),"Adaptive Mechanism Design: Learning to Promote Cooperation")</f>
        <v>Adaptive Mechanism Design: Learning to Promote Cooperation</v>
      </c>
    </row>
    <row r="1905">
      <c r="A1905" t="str">
        <f>IFERROR(__xludf.DUMMYFUNCTION("""COMPUTED_VALUE"""),"Technical agendas and prioritization")</f>
        <v>Technical agendas and prioritization</v>
      </c>
      <c r="B1905" t="str">
        <f>IFERROR(__xludf.DUMMYFUNCTION("""COMPUTED_VALUE"""),"")</f>
        <v/>
      </c>
      <c r="C1905" s="3" t="str">
        <f>IFERROR(__xludf.DUMMYFUNCTION("""COMPUTED_VALUE"""),"High Impact Careers in Formal Verification: Artificial Intelligence")</f>
        <v>High Impact Careers in Formal Verification: Artificial Intelligence</v>
      </c>
      <c r="D1905" t="str">
        <f>IFERROR(__xludf.DUMMYFUNCTION("""COMPUTED_VALUE"""),"Quinn Dougherty")</f>
        <v>Quinn Dougherty</v>
      </c>
      <c r="E1905" t="str">
        <f>IFERROR(__xludf.DUMMYFUNCTION("""COMPUTED_VALUE"""),"EA Forum")</f>
        <v>EA Forum</v>
      </c>
      <c r="F1905">
        <f>IFERROR(__xludf.DUMMYFUNCTION("""COMPUTED_VALUE"""),2021.0)</f>
        <v>2021</v>
      </c>
      <c r="H1905" s="3" t="str">
        <f>IFERROR(__xludf.DUMMYFUNCTION("""COMPUTED_VALUE"""),"AN #152")</f>
        <v>AN #152</v>
      </c>
      <c r="I1905" t="str">
        <f>IFERROR(__xludf.DUMMYFUNCTION("""COMPUTED_VALUE"""),"Rohin")</f>
        <v>Rohin</v>
      </c>
      <c r="J1905" t="str">
        <f>IFERROR(__xludf.DUMMYFUNCTION("""COMPUTED_VALUE"""),"This post considers the applicability of formal verification techniques to AI alignment. Now in order to “verify” a property, you need a specification of that property against which to verify. The author considers three possibilities:
1. **Formally speci"&amp;"fiable safety:** we can write down a specification for safe AI, _and_ we’ll be able to find a computational description or implementation
2. **Informally specifiable safety:** we can write down a specification for safe AI mathematically or philosophically"&amp;", but we will not be able to produce a computational version
3. **Nonspecifiable safety:** we will never write down a specification for safe AI.
Formal verification techniques are applicable only to the first case. Unfortunately, it seems that no one exp"&amp;"ects the first case to hold in practice: even CHAI, with its mission of building provably beneficial AI systems, is talking about proofs in the informal specification case (which still includes math), on the basis of comments like [these](https://www.alig"&amp;"nmentforum.org/posts/nd692YfFGfZDh9Mwz/an-69-stuart-russell-s-new-book-on-why-we-need-to-replace?commentId=4LhBaSuYPyFvTnDrQ) in Human Compatible. In addition, it currently seems particularly hard for experts in formal verification to impact actual practi"&amp;"ce, and there doesn’t seem to be much reason to expect that to change. As a result, the author is relatively pessimistic about formal verification as a route to reducing existential risk from failures of AI alignment.")</f>
        <v>This post considers the applicability of formal verification techniques to AI alignment. Now in order to “verify” a property, you need a specification of that property against which to verify. The author considers three possibilities:
1. **Formally specifiable safety:** we can write down a specification for safe AI, _and_ we’ll be able to find a computational description or implementation
2. **Informally specifiable safety:** we can write down a specification for safe AI mathematically or philosophically, but we will not be able to produce a computational version
3. **Nonspecifiable safety:** we will never write down a specification for safe AI.
Formal verification techniques are applicable only to the first case. Unfortunately, it seems that no one expects the first case to hold in practice: even CHAI, with its mission of building provably beneficial AI systems, is talking about proofs in the informal specification case (which still includes math), on the basis of comments like [these](https://www.alignmentforum.org/posts/nd692YfFGfZDh9Mwz/an-69-stuart-russell-s-new-book-on-why-we-need-to-replace?commentId=4LhBaSuYPyFvTnDrQ) in Human Compatible. In addition, it currently seems particularly hard for experts in formal verification to impact actual practice, and there doesn’t seem to be much reason to expect that to change. As a result, the author is relatively pessimistic about formal verification as a route to reducing existential risk from failures of AI alignment.</v>
      </c>
    </row>
    <row r="1906">
      <c r="A1906" t="str">
        <f>IFERROR(__xludf.DUMMYFUNCTION("""COMPUTED_VALUE"""),"Technical agendas and prioritization")</f>
        <v>Technical agendas and prioritization</v>
      </c>
      <c r="B1906" t="str">
        <f>IFERROR(__xludf.DUMMYFUNCTION("""COMPUTED_VALUE"""),"")</f>
        <v/>
      </c>
      <c r="C1906" s="3" t="str">
        <f>IFERROR(__xludf.DUMMYFUNCTION("""COMPUTED_VALUE"""),"A Summary of Concrete Problems in AI Safety")</f>
        <v>A Summary of Concrete Problems in AI Safety</v>
      </c>
      <c r="D1906" t="str">
        <f>IFERROR(__xludf.DUMMYFUNCTION("""COMPUTED_VALUE"""),"Shagun Sodhani")</f>
        <v>Shagun Sodhani</v>
      </c>
      <c r="E1906" t="str">
        <f>IFERROR(__xludf.DUMMYFUNCTION("""COMPUTED_VALUE"""),"FLI Blog")</f>
        <v>FLI Blog</v>
      </c>
      <c r="F1906">
        <f>IFERROR(__xludf.DUMMYFUNCTION("""COMPUTED_VALUE"""),2018.0)</f>
        <v>2018</v>
      </c>
      <c r="H1906" s="3" t="str">
        <f>IFERROR(__xludf.DUMMYFUNCTION("""COMPUTED_VALUE"""),"AN #15")</f>
        <v>AN #15</v>
      </c>
      <c r="I1906" t="str">
        <f>IFERROR(__xludf.DUMMYFUNCTION("""COMPUTED_VALUE"""),"Rohin")</f>
        <v>Rohin</v>
      </c>
      <c r="J1906" t="str">
        <f>IFERROR(__xludf.DUMMYFUNCTION("""COMPUTED_VALUE"""),"A nice summary of [Concrete Problems in AI Safety](https://blog.openai.com/concrete-ai-safety-problems/) that's a lot quicker to read than the original paper.")</f>
        <v>A nice summary of [Concrete Problems in AI Safety](https://blog.openai.com/concrete-ai-safety-problems/) that's a lot quicker to read than the original paper.</v>
      </c>
      <c r="K1906" t="str">
        <f>IFERROR(__xludf.DUMMYFUNCTION("""COMPUTED_VALUE"""),"I like it -- I think I will send this to newer researchers as a precursor to the full paper.")</f>
        <v>I like it -- I think I will send this to newer researchers as a precursor to the full paper.</v>
      </c>
      <c r="M1906" s="3" t="str">
        <f>IFERROR(__xludf.DUMMYFUNCTION("""COMPUTED_VALUE"""),"Concrete Problems in AI Safety")</f>
        <v>Concrete Problems in AI Safety</v>
      </c>
    </row>
    <row r="1907">
      <c r="A1907" t="str">
        <f>IFERROR(__xludf.DUMMYFUNCTION("""COMPUTED_VALUE"""),"Technical agendas and prioritization")</f>
        <v>Technical agendas and prioritization</v>
      </c>
      <c r="B1907" t="str">
        <f>IFERROR(__xludf.DUMMYFUNCTION("""COMPUTED_VALUE"""),"")</f>
        <v/>
      </c>
      <c r="C1907" s="3" t="str">
        <f>IFERROR(__xludf.DUMMYFUNCTION("""COMPUTED_VALUE"""),"Mechanistic Transparency for Machine Learning")</f>
        <v>Mechanistic Transparency for Machine Learning</v>
      </c>
      <c r="D1907" t="str">
        <f>IFERROR(__xludf.DUMMYFUNCTION("""COMPUTED_VALUE"""),"Daniel Filan")</f>
        <v>Daniel Filan</v>
      </c>
      <c r="E1907" t="str">
        <f>IFERROR(__xludf.DUMMYFUNCTION("""COMPUTED_VALUE"""),"LessWrong")</f>
        <v>LessWrong</v>
      </c>
      <c r="F1907">
        <f>IFERROR(__xludf.DUMMYFUNCTION("""COMPUTED_VALUE"""),2018.0)</f>
        <v>2018</v>
      </c>
      <c r="H1907" s="3" t="str">
        <f>IFERROR(__xludf.DUMMYFUNCTION("""COMPUTED_VALUE"""),"AN #15")</f>
        <v>AN #15</v>
      </c>
      <c r="I1907" t="str">
        <f>IFERROR(__xludf.DUMMYFUNCTION("""COMPUTED_VALUE"""),"Rohin")</f>
        <v>Rohin</v>
      </c>
      <c r="J1907" t="str">
        <f>IFERROR(__xludf.DUMMYFUNCTION("""COMPUTED_VALUE"""),"One useful thread of alignment research would be to figure out how to take a neural net, and distill parts or all of it into pseudocode or actual code that describes how the neural net actually works. This could then be read and analyzed by developers to "&amp;"make sure the neural net is doing the right thing. Key quote: ""I'm excited about this agenda because I see it as giving the developers of AI systems tools to detect and correct properties of their AI systems that they see as undesirable, without having t"&amp;"o deploy the system in a test environment that they must laboriously ensure is adequately sandboxed.""")</f>
        <v>One useful thread of alignment research would be to figure out how to take a neural net, and distill parts or all of it into pseudocode or actual code that describes how the neural net actually works. This could then be read and analyzed by developers to make sure the neural net is doing the right thing. Key quote: "I'm excited about this agenda because I see it as giving the developers of AI systems tools to detect and correct properties of their AI systems that they see as undesirable, without having to deploy the system in a test environment that they must laboriously ensure is adequately sandboxed."</v>
      </c>
      <c r="K1907" t="str">
        <f>IFERROR(__xludf.DUMMYFUNCTION("""COMPUTED_VALUE"""),"I would be really excited to see good work on this agenda, it would be a big step forward on how good our design process for neural nets is.")</f>
        <v>I would be really excited to see good work on this agenda, it would be a big step forward on how good our design process for neural nets is.</v>
      </c>
    </row>
    <row r="1908">
      <c r="A1908" t="str">
        <f>IFERROR(__xludf.DUMMYFUNCTION("""COMPUTED_VALUE"""),"Technical agendas and prioritization")</f>
        <v>Technical agendas and prioritization</v>
      </c>
      <c r="B1908" t="str">
        <f>IFERROR(__xludf.DUMMYFUNCTION("""COMPUTED_VALUE"""),"")</f>
        <v/>
      </c>
      <c r="C1908" s="3" t="str">
        <f>IFERROR(__xludf.DUMMYFUNCTION("""COMPUTED_VALUE"""),"Alignment of Language Agents")</f>
        <v>Alignment of Language Agents</v>
      </c>
      <c r="D1908" t="str">
        <f>IFERROR(__xludf.DUMMYFUNCTION("""COMPUTED_VALUE"""),"Zachary Kenton, Tom Everitt, Laura Weidinger, Iason Gabriel, Vladimir Mikulik, Geoffrey Irving")</f>
        <v>Zachary Kenton, Tom Everitt, Laura Weidinger, Iason Gabriel, Vladimir Mikulik, Geoffrey Irving</v>
      </c>
      <c r="E1908" t="str">
        <f>IFERROR(__xludf.DUMMYFUNCTION("""COMPUTED_VALUE"""),"arXiv")</f>
        <v>arXiv</v>
      </c>
      <c r="F1908">
        <f>IFERROR(__xludf.DUMMYFUNCTION("""COMPUTED_VALUE"""),2021.0)</f>
        <v>2021</v>
      </c>
      <c r="H1908" s="3" t="str">
        <f>IFERROR(__xludf.DUMMYFUNCTION("""COMPUTED_VALUE"""),"AN #144")</f>
        <v>AN #144</v>
      </c>
      <c r="I1908" t="str">
        <f>IFERROR(__xludf.DUMMYFUNCTION("""COMPUTED_VALUE"""),"Rohin")</f>
        <v>Rohin</v>
      </c>
      <c r="J1908" t="str">
        <f>IFERROR(__xludf.DUMMYFUNCTION("""COMPUTED_VALUE"""),"This paper analyzes the various problems we consider in AI alignment from the perspective of language agents. Problems covered include &lt;@specification gaming@&gt;(@Specification gaming examples in AI@), &lt;@whom and what to align to@&gt;(@Artificial Intelligence,"&amp;" Values and Alignment@), &lt;@intent alignment@&gt;(@Clarifying ""AI Alignment""@), &lt;@removing tampering incentives@&gt;(@Avoiding Tampering Incentives in Deep RL via Decoupled Approval@), and &lt;@inner alignment@&gt;(@Risks from Learned Optimization in Advanced Machin"&amp;"e Learning Systems@). These can be categorized as different kinds of misspecification, namely misspecification in the _training data_, the _training process_, and the _behavior under distributional shift_.
While the conceptual problems are similar to the"&amp;" ones already considered for embodied RL agents, the ways they manifest are different. In particular, the authors highlight the possibility that language agents will _deceive us_, _manipulate us_, or _produce harmful content_. The authors review some exis"&amp;"ting definitions of deception and manipulation that are purely behavioral (that is, the definitions do not require an _intent_ to deceive or manipulate). A signaller **deceives** a receiver if the signaller transmits (or suggestively doesn’t transmit) a s"&amp;"ignal that causes the receiver to believe some false claim that benefits the signaller. **Manipulation** is similar, except rather than causing the receiver to believe a false claim, it causes the receiver to take some action that benefits the signaller, "&amp;"that in some sense the receiver “shouldn’t” have taken. We could cash out “the receiver ‘shouldn’t’ have taken the action” just as ""the action is harmful to the receiver"", but from a safety / security mindset, the authors prefer a broader definition tha"&amp;"t aims to identify bad _means_ of influencing the receiver, instead of only focusing on whether the _ends_ were bad.
Some other miscellaneous points:
- Since the “action space” is just language, it seems like it should be easier (though still requires wo"&amp;"rk) to prevent language agents from causing physical harm.
- It will hopefully be easier to train language agents to be explainable, since they have native fluency in natural language with which they can explain their behavior.")</f>
        <v>This paper analyzes the various problems we consider in AI alignment from the perspective of language agents. Problems covered include &lt;@specification gaming@&gt;(@Specification gaming examples in AI@), &lt;@whom and what to align to@&gt;(@Artificial Intelligence, Values and Alignment@), &lt;@intent alignment@&gt;(@Clarifying "AI Alignment"@), &lt;@removing tampering incentives@&gt;(@Avoiding Tampering Incentives in Deep RL via Decoupled Approval@), and &lt;@inner alignment@&gt;(@Risks from Learned Optimization in Advanced Machine Learning Systems@). These can be categorized as different kinds of misspecification, namely misspecification in the _training data_, the _training process_, and the _behavior under distributional shift_.
While the conceptual problems are similar to the ones already considered for embodied RL agents, the ways they manifest are different. In particular, the authors highlight the possibility that language agents will _deceive us_, _manipulate us_, or _produce harmful content_. The authors review some existing definitions of deception and manipulation that are purely behavioral (that is, the definitions do not require an _intent_ to deceive or manipulate). A signaller **deceives** a receiver if the signaller transmits (or suggestively doesn’t transmit) a signal that causes the receiver to believe some false claim that benefits the signaller. **Manipulation** is similar, except rather than causing the receiver to believe a false claim, it causes the receiver to take some action that benefits the signaller, that in some sense the receiver “shouldn’t” have taken. We could cash out “the receiver ‘shouldn’t’ have taken the action” just as "the action is harmful to the receiver", but from a safety / security mindset, the authors prefer a broader definition that aims to identify bad _means_ of influencing the receiver, instead of only focusing on whether the _ends_ were bad.
Some other miscellaneous points:
- Since the “action space” is just language, it seems like it should be easier (though still requires work) to prevent language agents from causing physical harm.
- It will hopefully be easier to train language agents to be explainable, since they have native fluency in natural language with which they can explain their behavior.</v>
      </c>
      <c r="M1908" s="3" t="str">
        <f>IFERROR(__xludf.DUMMYFUNCTION("""COMPUTED_VALUE"""),"Paper: Alignment of Language Agents")</f>
        <v>Paper: Alignment of Language Agents</v>
      </c>
    </row>
    <row r="1909">
      <c r="A1909" t="str">
        <f>IFERROR(__xludf.DUMMYFUNCTION("""COMPUTED_VALUE"""),"Technical agendas and prioritization")</f>
        <v>Technical agendas and prioritization</v>
      </c>
      <c r="B1909" t="str">
        <f>IFERROR(__xludf.DUMMYFUNCTION("""COMPUTED_VALUE"""),"")</f>
        <v/>
      </c>
      <c r="C1909" s="3" t="str">
        <f>IFERROR(__xludf.DUMMYFUNCTION("""COMPUTED_VALUE"""),"An introduction to worst-case AI safety")</f>
        <v>An introduction to worst-case AI safety</v>
      </c>
      <c r="D1909" t="str">
        <f>IFERROR(__xludf.DUMMYFUNCTION("""COMPUTED_VALUE"""),"Tobias Baumann")</f>
        <v>Tobias Baumann</v>
      </c>
      <c r="E1909" s="3" t="str">
        <f>IFERROR(__xludf.DUMMYFUNCTION("""COMPUTED_VALUE"""),"s-risks.org")</f>
        <v>s-risks.org</v>
      </c>
      <c r="F1909">
        <f>IFERROR(__xludf.DUMMYFUNCTION("""COMPUTED_VALUE"""),2018.0)</f>
        <v>2018</v>
      </c>
      <c r="H1909" s="3" t="str">
        <f>IFERROR(__xludf.DUMMYFUNCTION("""COMPUTED_VALUE"""),"AN #14")</f>
        <v>AN #14</v>
      </c>
      <c r="I1909" t="str">
        <f>IFERROR(__xludf.DUMMYFUNCTION("""COMPUTED_VALUE"""),"Rohin")</f>
        <v>Rohin</v>
      </c>
      <c r="J1909" t="str">
        <f>IFERROR(__xludf.DUMMYFUNCTION("""COMPUTED_VALUE"""),"Argues that people with suffering-focused ethics should focus on ""worst-case AI safety"", which aims to find technical solutions to risks of AIs creating vast amounts of suffering (which would be much worse than extinction).")</f>
        <v>Argues that people with suffering-focused ethics should focus on "worst-case AI safety", which aims to find technical solutions to risks of AIs creating vast amounts of suffering (which would be much worse than extinction).</v>
      </c>
      <c r="K1909" t="str">
        <f>IFERROR(__xludf.DUMMYFUNCTION("""COMPUTED_VALUE"""),"If you have strongly suffering-focused ethics (unlike me), this seems mostly right. The post claims that suffering-focused AI safety should be more tractable than AI alignment, because it focuses on a subset of risks and only tries to minimize them. Howev"&amp;"er, it's not necessarily the case that focusing on a simpler problem makes it easier to solve. It feels easier to me to figure out how to align an AI system to humans, or how to enable human control of an AI system, than to figure out all the ways in whic"&amp;"h vast suffering could happen, and solve each one individually. You can make an analogy to mathematical proofs and algorithms -- often, you want to try to prove a _stronger_ statement than the one you are looking at, because when you use induction or recu"&amp;"rsion, you can rely on a stronger inductive hypothesis.")</f>
        <v>If you have strongly suffering-focused ethics (unlike me), this seems mostly right. The post claims that suffering-focused AI safety should be more tractable than AI alignment, because it focuses on a subset of risks and only tries to minimize them. However, it's not necessarily the case that focusing on a simpler problem makes it easier to solve. It feels easier to me to figure out how to align an AI system to humans, or how to enable human control of an AI system, than to figure out all the ways in which vast suffering could happen, and solve each one individually. You can make an analogy to mathematical proofs and algorithms -- often, you want to try to prove a _stronger_ statement than the one you are looking at, because when you use induction or recursion, you can rely on a stronger inductive hypothesis.</v>
      </c>
    </row>
    <row r="1910">
      <c r="A1910" t="str">
        <f>IFERROR(__xludf.DUMMYFUNCTION("""COMPUTED_VALUE"""),"Technical agendas and prioritization")</f>
        <v>Technical agendas and prioritization</v>
      </c>
      <c r="B1910" t="str">
        <f>IFERROR(__xludf.DUMMYFUNCTION("""COMPUTED_VALUE"""),"")</f>
        <v/>
      </c>
      <c r="C1910" s="3" t="str">
        <f>IFERROR(__xludf.DUMMYFUNCTION("""COMPUTED_VALUE"""),"Another take on agent foundations: formalizing zero-shot reasoning")</f>
        <v>Another take on agent foundations: formalizing zero-shot reasoning</v>
      </c>
      <c r="D1910" t="str">
        <f>IFERROR(__xludf.DUMMYFUNCTION("""COMPUTED_VALUE"""),"zhukeepa")</f>
        <v>zhukeepa</v>
      </c>
      <c r="E1910" t="str">
        <f>IFERROR(__xludf.DUMMYFUNCTION("""COMPUTED_VALUE"""),"LessWrong")</f>
        <v>LessWrong</v>
      </c>
      <c r="F1910">
        <f>IFERROR(__xludf.DUMMYFUNCTION("""COMPUTED_VALUE"""),2018.0)</f>
        <v>2018</v>
      </c>
      <c r="H1910" s="3" t="str">
        <f>IFERROR(__xludf.DUMMYFUNCTION("""COMPUTED_VALUE"""),"AN #13")</f>
        <v>AN #13</v>
      </c>
      <c r="I1910" t="str">
        <f>IFERROR(__xludf.DUMMYFUNCTION("""COMPUTED_VALUE"""),"Rohin")</f>
        <v>Rohin</v>
      </c>
      <c r="J1910" t="str">
        <f>IFERROR(__xludf.DUMMYFUNCTION("""COMPUTED_VALUE"""),"There are strong incentives to build a recursively self-improving AI, and in order to do this without value drift, the AI needs to be able to reason effectively about the nature of changes it makes to itself. In such scenarios, it is insufficient to ""rea"&amp;"son with extreme caution"", where you think really hard about the proposed change, and implement it if you can't find reasons not to do it. Instead, you need to do something like ""zero-shot reasoning"", where you prove under some reasonable assumptions t"&amp;"hat the proposed change is good. This sort of reasoning must be very powerful, enabling the AI to eg. build a spacecraft that lands on Mars, after observing Earth for one day. This motivates many of the problems in MIRI's agenda, such as Vingean reflectio"&amp;"n (self-trust), logical uncertainty (how to handle being a bounded reasoner), counterfactuals, etc., which all help to formalize zero-shot reasoning.")</f>
        <v>There are strong incentives to build a recursively self-improving AI, and in order to do this without value drift, the AI needs to be able to reason effectively about the nature of changes it makes to itself. In such scenarios, it is insufficient to "reason with extreme caution", where you think really hard about the proposed change, and implement it if you can't find reasons not to do it. Instead, you need to do something like "zero-shot reasoning", where you prove under some reasonable assumptions that the proposed change is good. This sort of reasoning must be very powerful, enabling the AI to eg. build a spacecraft that lands on Mars, after observing Earth for one day. This motivates many of the problems in MIRI's agenda, such as Vingean reflection (self-trust), logical uncertainty (how to handle being a bounded reasoner), counterfactuals, etc., which all help to formalize zero-shot reasoning.</v>
      </c>
      <c r="K1910" t="str">
        <f>IFERROR(__xludf.DUMMYFUNCTION("""COMPUTED_VALUE"""),"This assumes an ontology where there exists a utility function that an AI is optimizing, and changes to the AI seem especially likely to change the utility function in a random direction. In such a scenario, yes, you probably should be worried. However, i"&amp;"n practice, I expect that powerful AI systems will not look like they are explicitly maximizing some utility function. If you change some component of the system for the worse, you are likely to degrade its performance, but not likely to drastically chang"&amp;"e its behavior to cause human extinction. For example, even in RL (which is the closest thing to expected utility maximization), you can have serious bugs and still do relatively well on the objective. A public example of this is in OpenAI Five (https://b"&amp;"log.openai.com/openai-five/), but I also hear this expressed when talking to RL researchers (and see this myself). While you still want to be very careful with self-modification, it seems generally fine not to have a formal proof before making the change,"&amp;" and evaluating the change after it has taken place. (This would fail dramatically if the change drastically changed behavior, but if it only degrades performance, I expect the AI would still be competent enough to notice and undo the change.) It may be t"&amp;"he case that adversarial subprocesses could take advantage of these sorts of bugs, but I expect that we need adversarial-subprocess-specific research to address this, not zero-shot reasoning.")</f>
        <v>This assumes an ontology where there exists a utility function that an AI is optimizing, and changes to the AI seem especially likely to change the utility function in a random direction. In such a scenario, yes, you probably should be worried. However, in practice, I expect that powerful AI systems will not look like they are explicitly maximizing some utility function. If you change some component of the system for the worse, you are likely to degrade its performance, but not likely to drastically change its behavior to cause human extinction. For example, even in RL (which is the closest thing to expected utility maximization), you can have serious bugs and still do relatively well on the objective. A public example of this is in OpenAI Five (https://blog.openai.com/openai-five/), but I also hear this expressed when talking to RL researchers (and see this myself). While you still want to be very careful with self-modification, it seems generally fine not to have a formal proof before making the change, and evaluating the change after it has taken place. (This would fail dramatically if the change drastically changed behavior, but if it only degrades performance, I expect the AI would still be competent enough to notice and undo the change.) It may be the case that adversarial subprocesses could take advantage of these sorts of bugs, but I expect that we need adversarial-subprocess-specific research to address this, not zero-shot reasoning.</v>
      </c>
    </row>
    <row r="1911">
      <c r="A1911" t="str">
        <f>IFERROR(__xludf.DUMMYFUNCTION("""COMPUTED_VALUE"""),"Technical agendas and prioritization")</f>
        <v>Technical agendas and prioritization</v>
      </c>
      <c r="B1911" t="str">
        <f>IFERROR(__xludf.DUMMYFUNCTION("""COMPUTED_VALUE"""),"")</f>
        <v/>
      </c>
      <c r="C1911" s="3" t="str">
        <f>IFERROR(__xludf.DUMMYFUNCTION("""COMPUTED_VALUE"""),"Optimization Amplifies")</f>
        <v>Optimization Amplifies</v>
      </c>
      <c r="D1911" t="str">
        <f>IFERROR(__xludf.DUMMYFUNCTION("""COMPUTED_VALUE"""),"Scott Garrabrant")</f>
        <v>Scott Garrabrant</v>
      </c>
      <c r="E1911" t="str">
        <f>IFERROR(__xludf.DUMMYFUNCTION("""COMPUTED_VALUE"""),"LessWrong")</f>
        <v>LessWrong</v>
      </c>
      <c r="F1911">
        <f>IFERROR(__xludf.DUMMYFUNCTION("""COMPUTED_VALUE"""),2018.0)</f>
        <v>2018</v>
      </c>
      <c r="H1911" s="3" t="str">
        <f>IFERROR(__xludf.DUMMYFUNCTION("""COMPUTED_VALUE"""),"AN #13")</f>
        <v>AN #13</v>
      </c>
      <c r="I1911" t="str">
        <f>IFERROR(__xludf.DUMMYFUNCTION("""COMPUTED_VALUE"""),"Rohin")</f>
        <v>Rohin</v>
      </c>
      <c r="J1911" t="str">
        <f>IFERROR(__xludf.DUMMYFUNCTION("""COMPUTED_VALUE"""),"One model of the difference between mathematicians and scientists is that a scientist is good at distinguishing between 0.01%, 50% and 99.99%, whereas a mathematician is good at distinguishing between 99.99% and 100%. Certainly it seems like if we can get"&amp;" 99.99% confidence that an AI system is aligned, we should count that as a huge win, and not hope for more (since the remaining 0.01% is extremely hard to get), so why do we need mathematicians? Scott argues that optimization is particularly special, in t"&amp;"hat the point of very strong optimization is to hit a very narrow target, which severely affects extreme probabilities, moving them from 0.01% to near-100%. For example, if you draw a million samples from a normal distribution and optimize for the largest"&amp;" one, it is almost certain to be 4 standard deviations above the mean (which is incredibly unlikely for a randomly chosen sample). In this sort of setting, the deep understanding of a problem that you get from a mathematician is still important. Note that"&amp;" Scott is _not_ saying that we don't need scientists, nor that we should aim for 100% certainty that an AI is aligned.")</f>
        <v>One model of the difference between mathematicians and scientists is that a scientist is good at distinguishing between 0.01%, 50% and 99.99%, whereas a mathematician is good at distinguishing between 99.99% and 100%. Certainly it seems like if we can get 99.99% confidence that an AI system is aligned, we should count that as a huge win, and not hope for more (since the remaining 0.01% is extremely hard to get), so why do we need mathematicians? Scott argues that optimization is particularly special, in that the point of very strong optimization is to hit a very narrow target, which severely affects extreme probabilities, moving them from 0.01% to near-100%. For example, if you draw a million samples from a normal distribution and optimize for the largest one, it is almost certain to be 4 standard deviations above the mean (which is incredibly unlikely for a randomly chosen sample). In this sort of setting, the deep understanding of a problem that you get from a mathematician is still important. Note that Scott is _not_ saying that we don't need scientists, nor that we should aim for 100% certainty that an AI is aligned.</v>
      </c>
      <c r="K1911" t="str">
        <f>IFERROR(__xludf.DUMMYFUNCTION("""COMPUTED_VALUE"""),"I think I agree with this post? Certainly for a superintelligence that is vastly smarter than humans, I buy this argument (and in general am not optimistic about solving alignment). However, humans seem to be fairly good at keeping each other in check, wi"&amp;"thout a deep understanding of what makes humans tick, even though humans often do optimize against each other. Perhaps we can maintain this situation inductively as our AI systems get more powerful, without requiring a deep understanding of what's going o"&amp;"n? Overall I'm pretty confused on this point.")</f>
        <v>I think I agree with this post? Certainly for a superintelligence that is vastly smarter than humans, I buy this argument (and in general am not optimistic about solving alignment). However, humans seem to be fairly good at keeping each other in check, without a deep understanding of what makes humans tick, even though humans often do optimize against each other. Perhaps we can maintain this situation inductively as our AI systems get more powerful, without requiring a deep understanding of what's going on? Overall I'm pretty confused on this point.</v>
      </c>
    </row>
    <row r="1912">
      <c r="A1912" t="str">
        <f>IFERROR(__xludf.DUMMYFUNCTION("""COMPUTED_VALUE"""),"Technical agendas and prioritization")</f>
        <v>Technical agendas and prioritization</v>
      </c>
      <c r="B1912" t="str">
        <f>IFERROR(__xludf.DUMMYFUNCTION("""COMPUTED_VALUE"""),"")</f>
        <v/>
      </c>
      <c r="C1912" s="3" t="str">
        <f>IFERROR(__xludf.DUMMYFUNCTION("""COMPUTED_VALUE"""),"AI Paradigms and AI Safety: Mapping Artefacts and Techniques to Safety Issues")</f>
        <v>AI Paradigms and AI Safety: Mapping Artefacts and Techniques to Safety Issues</v>
      </c>
      <c r="D1912" t="str">
        <f>IFERROR(__xludf.DUMMYFUNCTION("""COMPUTED_VALUE"""),"Jose Hernandez-Orallo, Fernando Martinez-Plumed, Shahar Avin, Jess Whittlestone, Seán Ó hÉigeartaigh")</f>
        <v>Jose Hernandez-Orallo, Fernando Martinez-Plumed, Shahar Avin, Jess Whittlestone, Seán Ó hÉigeartaigh</v>
      </c>
      <c r="E1912" t="str">
        <f>IFERROR(__xludf.DUMMYFUNCTION("""COMPUTED_VALUE"""),"ECAI 2020")</f>
        <v>ECAI 2020</v>
      </c>
      <c r="F1912">
        <f>IFERROR(__xludf.DUMMYFUNCTION("""COMPUTED_VALUE"""),2020.0)</f>
        <v>2020</v>
      </c>
      <c r="G1912" t="str">
        <f>IFERROR(__xludf.DUMMYFUNCTION("""COMPUTED_VALUE"""),"Haydn Belfield")</f>
        <v>Haydn Belfield</v>
      </c>
      <c r="H1912" s="3" t="str">
        <f>IFERROR(__xludf.DUMMYFUNCTION("""COMPUTED_VALUE"""),"AN #117")</f>
        <v>AN #117</v>
      </c>
      <c r="I1912" t="str">
        <f>IFERROR(__xludf.DUMMYFUNCTION("""COMPUTED_VALUE"""),"Rohin")</f>
        <v>Rohin</v>
      </c>
      <c r="J1912" t="str">
        <f>IFERROR(__xludf.DUMMYFUNCTION("""COMPUTED_VALUE"""),"What should prioritization within the field of AI safety look like? Ideally, we would proactively look for potential issues that could arise with many potential AI technologies, making sure to cover the full space of possibilities rather than focusing on "&amp;"a single area. What does prioritization look like in practice? This paper investigates, and finds that it is pretty different from this ideal.
In particular, they define a set of 14 categories of AI _techniques_ (examples include neural nets, planning an"&amp;"d scheduling, and combinatorial optimization), and a set of 10 kinds of AI _artefacts_ (examples include agents, providers, dialoguers, and swarms). They then analyze trends in the amount of attention paid to each technique or artefact, both for AI safety"&amp;" and AI in general. Note that they construe AI safety very broadly by including anything that addresses potential real-world problems with AI systems.
While there are a lot of interesting trends, the main conclusion is that there is an approximately 5-ye"&amp;"ar delay between the emergence of an AI paradigm and safety research into that paradigm. In addition, safety research tends to neglect non-dominant paradigms.")</f>
        <v>What should prioritization within the field of AI safety look like? Ideally, we would proactively look for potential issues that could arise with many potential AI technologies, making sure to cover the full space of possibilities rather than focusing on a single area. What does prioritization look like in practice? This paper investigates, and finds that it is pretty different from this ideal.
In particular, they define a set of 14 categories of AI _techniques_ (examples include neural nets, planning and scheduling, and combinatorial optimization), and a set of 10 kinds of AI _artefacts_ (examples include agents, providers, dialoguers, and swarms). They then analyze trends in the amount of attention paid to each technique or artefact, both for AI safety and AI in general. Note that they construe AI safety very broadly by including anything that addresses potential real-world problems with AI systems.
While there are a lot of interesting trends, the main conclusion is that there is an approximately 5-year delay between the emergence of an AI paradigm and safety research into that paradigm. In addition, safety research tends to neglect non-dominant paradigms.</v>
      </c>
      <c r="K1912" t="str">
        <f>IFERROR(__xludf.DUMMYFUNCTION("""COMPUTED_VALUE"""),"One possible conclusion is that safety research should be more diversified across different paradigms and artefacts, in order to properly maximize expected safety. However, this isn’t obvious: it seems likely that if the dominant paradigm has 50% of the r"&amp;"esearch, it will also have, say, 80% of future real-world deployments, and so it could make sense to have 80% of the safety research focused on it. Rather than try to predict which paradigm will become dominant (a very difficult task), it may be more effi"&amp;"cient to simply observe which paradigm becomes dominant and then redirect resources at that time (even though that process takes 5 years to happen).")</f>
        <v>One possible conclusion is that safety research should be more diversified across different paradigms and artefacts, in order to properly maximize expected safety. However, this isn’t obvious: it seems likely that if the dominant paradigm has 50% of the research, it will also have, say, 80% of future real-world deployments, and so it could make sense to have 80% of the safety research focused on it. Rather than try to predict which paradigm will become dominant (a very difficult task), it may be more efficient to simply observe which paradigm becomes dominant and then redirect resources at that time (even though that process takes 5 years to happen).</v>
      </c>
    </row>
    <row r="1913">
      <c r="A1913" t="str">
        <f>IFERROR(__xludf.DUMMYFUNCTION("""COMPUTED_VALUE"""),"Technical agendas and prioritization")</f>
        <v>Technical agendas and prioritization</v>
      </c>
      <c r="B1913" t="str">
        <f>IFERROR(__xludf.DUMMYFUNCTION("""COMPUTED_VALUE"""),"")</f>
        <v/>
      </c>
      <c r="C1913" s="3" t="str">
        <f>IFERROR(__xludf.DUMMYFUNCTION("""COMPUTED_VALUE"""),"Infinite Data/Compute Arguments in Alignment")</f>
        <v>Infinite Data/Compute Arguments in Alignment</v>
      </c>
      <c r="D1913" t="str">
        <f>IFERROR(__xludf.DUMMYFUNCTION("""COMPUTED_VALUE"""),"John Wentworth")</f>
        <v>John Wentworth</v>
      </c>
      <c r="E1913" t="str">
        <f>IFERROR(__xludf.DUMMYFUNCTION("""COMPUTED_VALUE"""),"Alignment Forum")</f>
        <v>Alignment Forum</v>
      </c>
      <c r="F1913">
        <f>IFERROR(__xludf.DUMMYFUNCTION("""COMPUTED_VALUE"""),2020.0)</f>
        <v>2020</v>
      </c>
      <c r="H1913" t="str">
        <f>IFERROR(__xludf.DUMMYFUNCTION("""COMPUTED_VALUE"""),"AN #113")</f>
        <v>AN #113</v>
      </c>
      <c r="I1913" t="str">
        <f>IFERROR(__xludf.DUMMYFUNCTION("""COMPUTED_VALUE"""),"Rohin")</f>
        <v>Rohin</v>
      </c>
      <c r="J1913" t="str">
        <f>IFERROR(__xludf.DUMMYFUNCTION("""COMPUTED_VALUE"""),"This reference post makes a short argument for why we might consider hypotheticals in which we have infinite data and compute. The core idea is that this allows us to focus on _hard subproblems_. Compute and data capacity have been growing substantially, "&amp;"and so it makes sense to treat them as “cheap”; the hard subproblems are then the ones that remain when we assume unlimited compute and data.
In particular, in this case we can get perfect predictive power, using Bayesian updates on low-level physics mod"&amp;"els, or Solomonoff induction. Indeed, most of ML tends to be about figuring out how to turn the problem of interest into a prediction or optimization problem, after which we use off-the-shelf algorithms. So the hard subproblems are the ones that arise eve"&amp;"n when you can use Bayesian updates on low-level physics models.")</f>
        <v>This reference post makes a short argument for why we might consider hypotheticals in which we have infinite data and compute. The core idea is that this allows us to focus on _hard subproblems_. Compute and data capacity have been growing substantially, and so it makes sense to treat them as “cheap”; the hard subproblems are then the ones that remain when we assume unlimited compute and data.
In particular, in this case we can get perfect predictive power, using Bayesian updates on low-level physics models, or Solomonoff induction. Indeed, most of ML tends to be about figuring out how to turn the problem of interest into a prediction or optimization problem, after which we use off-the-shelf algorithms. So the hard subproblems are the ones that arise even when you can use Bayesian updates on low-level physics models.</v>
      </c>
      <c r="K1913" t="str">
        <f>IFERROR(__xludf.DUMMYFUNCTION("""COMPUTED_VALUE"""),"This is eminently sensible to me and I agree with the takeaways. See also [Methodology of Unbounded Analysis](https://arbital.com/p/unbounded_analysis/).")</f>
        <v>This is eminently sensible to me and I agree with the takeaways. See also [Methodology of Unbounded Analysis](https://arbital.com/p/unbounded_analysis/).</v>
      </c>
    </row>
    <row r="1914">
      <c r="A1914" t="str">
        <f>IFERROR(__xludf.DUMMYFUNCTION("""COMPUTED_VALUE"""),"Technical agendas and prioritization")</f>
        <v>Technical agendas and prioritization</v>
      </c>
      <c r="B1914" t="str">
        <f>IFERROR(__xludf.DUMMYFUNCTION("""COMPUTED_VALUE"""),"")</f>
        <v/>
      </c>
      <c r="C1914" s="3" t="str">
        <f>IFERROR(__xludf.DUMMYFUNCTION("""COMPUTED_VALUE"""),"AI Services as a Research Paradigm")</f>
        <v>AI Services as a Research Paradigm</v>
      </c>
      <c r="D1914" t="str">
        <f>IFERROR(__xludf.DUMMYFUNCTION("""COMPUTED_VALUE"""),"Vojta Kovarik")</f>
        <v>Vojta Kovarik</v>
      </c>
      <c r="E1914" t="str">
        <f>IFERROR(__xludf.DUMMYFUNCTION("""COMPUTED_VALUE"""),"Alignment Forum")</f>
        <v>Alignment Forum</v>
      </c>
      <c r="F1914">
        <f>IFERROR(__xludf.DUMMYFUNCTION("""COMPUTED_VALUE"""),2020.0)</f>
        <v>2020</v>
      </c>
      <c r="H1914" s="3" t="str">
        <f>IFERROR(__xludf.DUMMYFUNCTION("""COMPUTED_VALUE"""),"AN #96")</f>
        <v>AN #96</v>
      </c>
      <c r="I1914" t="str">
        <f>IFERROR(__xludf.DUMMYFUNCTION("""COMPUTED_VALUE"""),"Rohin")</f>
        <v>Rohin</v>
      </c>
      <c r="J1914" t="str">
        <f>IFERROR(__xludf.DUMMYFUNCTION("""COMPUTED_VALUE"""),"The &lt;@CAIS report@&gt;(@Reframing Superintelligence: Comprehensive AI Services as General Intelligence@) suggests that future technological development will be driven by _systems of AI services_, rather than a single monolithic AGI agent. However, there has "&amp;"not been much followup research since the publication of the report. This document posits that this is because the concepts of tasks and services introduced in the report are not amenable to formalization, and so it is hard to do research with them. So, i"&amp;"t provides a simple abstract model of a system of services, in which each service takes some inputs, produces some outputs, and is trained with some loss function, and these services are interconnected with each other. (Some of the services could be provi"&amp;"ded by humans instead of AI systems.) It then lists several research problems that could be tackled under this generic view.")</f>
        <v>The &lt;@CAIS report@&gt;(@Reframing Superintelligence: Comprehensive AI Services as General Intelligence@) suggests that future technological development will be driven by _systems of AI services_, rather than a single monolithic AGI agent. However, there has not been much followup research since the publication of the report. This document posits that this is because the concepts of tasks and services introduced in the report are not amenable to formalization, and so it is hard to do research with them. So, it provides a simple abstract model of a system of services, in which each service takes some inputs, produces some outputs, and is trained with some loss function, and these services are interconnected with each other. (Some of the services could be provided by humans instead of AI systems.) It then lists several research problems that could be tackled under this generic view.</v>
      </c>
      <c r="K1914" t="str">
        <f>IFERROR(__xludf.DUMMYFUNCTION("""COMPUTED_VALUE"""),"I was expecting a list of questions that were specific to AI somehow, but the actual list is very broad and feels to me like a list of subquestions of ""how do you design a good society in the face of technological development"". For example, it includes "&amp;"unemployment, system maintenance, the potential of blackmail, side-channel attacks, etc.")</f>
        <v>I was expecting a list of questions that were specific to AI somehow, but the actual list is very broad and feels to me like a list of subquestions of "how do you design a good society in the face of technological development". For example, it includes unemployment, system maintenance, the potential of blackmail, side-channel attacks, etc.</v>
      </c>
    </row>
    <row r="1915">
      <c r="A1915" t="str">
        <f>IFERROR(__xludf.DUMMYFUNCTION("""COMPUTED_VALUE"""),"Technical agendas and prioritization")</f>
        <v>Technical agendas and prioritization</v>
      </c>
      <c r="B1915" t="str">
        <f>IFERROR(__xludf.DUMMYFUNCTION("""COMPUTED_VALUE"""),"")</f>
        <v/>
      </c>
      <c r="C1915" s="3" t="str">
        <f>IFERROR(__xludf.DUMMYFUNCTION("""COMPUTED_VALUE"""),"The Value Definition Problem")</f>
        <v>The Value Definition Problem</v>
      </c>
      <c r="D1915" t="str">
        <f>IFERROR(__xludf.DUMMYFUNCTION("""COMPUTED_VALUE"""),"Sammy Martin")</f>
        <v>Sammy Martin</v>
      </c>
      <c r="E1915" t="str">
        <f>IFERROR(__xludf.DUMMYFUNCTION("""COMPUTED_VALUE"""),"Alignment Forum")</f>
        <v>Alignment Forum</v>
      </c>
      <c r="F1915">
        <f>IFERROR(__xludf.DUMMYFUNCTION("""COMPUTED_VALUE"""),2019.0)</f>
        <v>2019</v>
      </c>
      <c r="H1915" s="3" t="str">
        <f>IFERROR(__xludf.DUMMYFUNCTION("""COMPUTED_VALUE"""),"AN #75")</f>
        <v>AN #75</v>
      </c>
      <c r="I1915" t="str">
        <f>IFERROR(__xludf.DUMMYFUNCTION("""COMPUTED_VALUE"""),"Rohin")</f>
        <v>Rohin</v>
      </c>
      <c r="J1915" t="str">
        <f>IFERROR(__xludf.DUMMYFUNCTION("""COMPUTED_VALUE"""),"This post considers the Value Definition Problem: what should we make our AI system &lt;@try to do@&gt;(@Clarifying ""AI Alignment""@) to have the best chance of a positive outcome? It argues that an answer to the problem should be judged based on how much easi"&amp;"er it makes alignment, how competent the AI system has to be to optimize it, and how good the outcome would be if it was optimized. Solutions also differ on how ""direct"" they are -- on one end, explicitly writing down a utility function would be very di"&amp;"rect, while on the other, something like [Coherent Extrapolated Volition](https://intelligence.org/files/CEV.pdf) would be very indirect: it delegates the task of figuring out what is good to the AI system itself.")</f>
        <v>This post considers the Value Definition Problem: what should we make our AI system &lt;@try to do@&gt;(@Clarifying "AI Alignment"@) to have the best chance of a positive outcome? It argues that an answer to the problem should be judged based on how much easier it makes alignment, how competent the AI system has to be to optimize it, and how good the outcome would be if it was optimized. Solutions also differ on how "direct" they are -- on one end, explicitly writing down a utility function would be very direct, while on the other, something like [Coherent Extrapolated Volition](https://intelligence.org/files/CEV.pdf) would be very indirect: it delegates the task of figuring out what is good to the AI system itself.</v>
      </c>
      <c r="K1915" t="str">
        <f>IFERROR(__xludf.DUMMYFUNCTION("""COMPUTED_VALUE"""),"I fall more on the side of preferring indirect approaches, though by that I mean that we should delegate to future humans, as opposed to defining some particular value-finding mechanism into an AI system that eventually produces a definition of values.")</f>
        <v>I fall more on the side of preferring indirect approaches, though by that I mean that we should delegate to future humans, as opposed to defining some particular value-finding mechanism into an AI system that eventually produces a definition of values.</v>
      </c>
    </row>
    <row r="1916">
      <c r="A1916" t="str">
        <f>IFERROR(__xludf.DUMMYFUNCTION("""COMPUTED_VALUE"""),"Technical agendas and prioritization")</f>
        <v>Technical agendas and prioritization</v>
      </c>
      <c r="B1916" t="str">
        <f>IFERROR(__xludf.DUMMYFUNCTION("""COMPUTED_VALUE"""),"")</f>
        <v/>
      </c>
      <c r="C1916" s="3" t="str">
        <f>IFERROR(__xludf.DUMMYFUNCTION("""COMPUTED_VALUE"""),"Drexler on AI Risk")</f>
        <v>Drexler on AI Risk</v>
      </c>
      <c r="D1916" t="str">
        <f>IFERROR(__xludf.DUMMYFUNCTION("""COMPUTED_VALUE"""),"Peter McCluskey")</f>
        <v>Peter McCluskey</v>
      </c>
      <c r="E1916" t="str">
        <f>IFERROR(__xludf.DUMMYFUNCTION("""COMPUTED_VALUE"""),"LessWrong")</f>
        <v>LessWrong</v>
      </c>
      <c r="F1916">
        <f>IFERROR(__xludf.DUMMYFUNCTION("""COMPUTED_VALUE"""),2019.0)</f>
        <v>2019</v>
      </c>
      <c r="H1916" s="3" t="str">
        <f>IFERROR(__xludf.DUMMYFUNCTION("""COMPUTED_VALUE"""),"AN #44")</f>
        <v>AN #44</v>
      </c>
      <c r="I1916" t="str">
        <f>IFERROR(__xludf.DUMMYFUNCTION("""COMPUTED_VALUE"""),"Rohin")</f>
        <v>Rohin</v>
      </c>
      <c r="J1916" t="str">
        <f>IFERROR(__xludf.DUMMYFUNCTION("""COMPUTED_VALUE"""),"This is another analysis of [Comprehensive AI Services](https://www.fhi.ox.ac.uk/reframing/). You can read [my summary of CAIS](https://www.alignmentforum.org/posts/x3fNwSe5aWZb5yXEG/reframing-superintelligence-comprehensive-ai-services) ([AN #40](https:/"&amp;"/mailchi.mp/b649f32b07da/alignment-newsletter-40)) to get my views.")</f>
        <v>This is another analysis of [Comprehensive AI Services](https://www.fhi.ox.ac.uk/reframing/). You can read [my summary of CAIS](https://www.alignmentforum.org/posts/x3fNwSe5aWZb5yXEG/reframing-superintelligence-comprehensive-ai-services) ([AN #40](https://mailchi.mp/b649f32b07da/alignment-newsletter-40)) to get my views.</v>
      </c>
    </row>
    <row r="1917">
      <c r="A1917" t="str">
        <f>IFERROR(__xludf.DUMMYFUNCTION("""COMPUTED_VALUE"""),"Technical agendas and prioritization")</f>
        <v>Technical agendas and prioritization</v>
      </c>
      <c r="B1917" t="str">
        <f>IFERROR(__xludf.DUMMYFUNCTION("""COMPUTED_VALUE"""),"")</f>
        <v/>
      </c>
      <c r="C1917" s="3" t="str">
        <f>IFERROR(__xludf.DUMMYFUNCTION("""COMPUTED_VALUE"""),"Integrative Biological Simulation, Neuropsychology, and AI Safety")</f>
        <v>Integrative Biological Simulation, Neuropsychology, and AI Safety</v>
      </c>
      <c r="D1917" t="str">
        <f>IFERROR(__xludf.DUMMYFUNCTION("""COMPUTED_VALUE"""),"Gopal P. Sarma, Adam Safron, Nick J. Hay")</f>
        <v>Gopal P. Sarma, Adam Safron, Nick J. Hay</v>
      </c>
      <c r="E1917" t="str">
        <f>IFERROR(__xludf.DUMMYFUNCTION("""COMPUTED_VALUE"""),"arXiv")</f>
        <v>arXiv</v>
      </c>
      <c r="F1917">
        <f>IFERROR(__xludf.DUMMYFUNCTION("""COMPUTED_VALUE"""),2018.0)</f>
        <v>2018</v>
      </c>
      <c r="H1917" s="3" t="str">
        <f>IFERROR(__xludf.DUMMYFUNCTION("""COMPUTED_VALUE"""),"AN #39")</f>
        <v>AN #39</v>
      </c>
      <c r="I1917" t="str">
        <f>IFERROR(__xludf.DUMMYFUNCTION("""COMPUTED_VALUE"""),"Rohin")</f>
        <v>Rohin</v>
      </c>
      <c r="J1917" t="str">
        <f>IFERROR(__xludf.DUMMYFUNCTION("""COMPUTED_VALUE"""),"This paper argues that we can make progress on AI capabilities and AI safety through integrative biological simulation, that is, a composite simulation of all of the processes involved in neurons that allow us to simulate brains. In the near future, such "&amp;"simulations would be limited to simple organisms like Drosophila, but even these organisms exhibit behavior that we find hard to replicate today using our AI techniques, especially at the sample efficiency that the organisms show. On the safety side, even"&amp;" such small brains share many architectural features with human brains, and so we might hope that we could discover neuroscience-based methods for value learning that generalize well to humans. Another possibility would be to create test suites (as in [AI"&amp;" Safety Gridworlds](https://arxiv.org/abs/1711.09883)) for simulated organisms.")</f>
        <v>This paper argues that we can make progress on AI capabilities and AI safety through integrative biological simulation, that is, a composite simulation of all of the processes involved in neurons that allow us to simulate brains. In the near future, such simulations would be limited to simple organisms like Drosophila, but even these organisms exhibit behavior that we find hard to replicate today using our AI techniques, especially at the sample efficiency that the organisms show. On the safety side, even such small brains share many architectural features with human brains, and so we might hope that we could discover neuroscience-based methods for value learning that generalize well to humans. Another possibility would be to create test suites (as in [AI Safety Gridworlds](https://arxiv.org/abs/1711.09883)) for simulated organisms.</v>
      </c>
      <c r="K1917" t="str">
        <f>IFERROR(__xludf.DUMMYFUNCTION("""COMPUTED_VALUE"""),"I don't know how hard it would be to create integrative biological simulations, but it does strike me as very useful if we did have them. If we had a complete mechanistic understanding of how intelligence happens in biological brains (in the sense that we"&amp;" can simulate them), the obvious next step would be to understand _how_ the mechanistic procedures lead to intelligence (in the same way that we currently try to understand why neural nets work). If we succeed at this, I would expect to get several insigh"&amp;"ts into intelligence that would translate into significant progress in AI. However, I know very little about biological neurons and brains so take this with many grains of salt.
On the value learning side, it would be a good test of inverse reinforcement"&amp;" learning to see how well it could work on simple organisms, though it's not obvious what the ground truth is. I do want to note that this is specific to inverse reinforcement learning -- other techniques depend on uniquely human characteristics, like the"&amp;" ability to answer questions posed by the AI system.")</f>
        <v>I don't know how hard it would be to create integrative biological simulations, but it does strike me as very useful if we did have them. If we had a complete mechanistic understanding of how intelligence happens in biological brains (in the sense that we can simulate them), the obvious next step would be to understand _how_ the mechanistic procedures lead to intelligence (in the same way that we currently try to understand why neural nets work). If we succeed at this, I would expect to get several insights into intelligence that would translate into significant progress in AI. However, I know very little about biological neurons and brains so take this with many grains of salt.
On the value learning side, it would be a good test of inverse reinforcement learning to see how well it could work on simple organisms, though it's not obvious what the ground truth is. I do want to note that this is specific to inverse reinforcement learning -- other techniques depend on uniquely human characteristics, like the ability to answer questions posed by the AI system.</v>
      </c>
    </row>
    <row r="1918">
      <c r="A1918" t="str">
        <f>IFERROR(__xludf.DUMMYFUNCTION("""COMPUTED_VALUE"""),"Technical agendas and prioritization")</f>
        <v>Technical agendas and prioritization</v>
      </c>
      <c r="B1918" t="str">
        <f>IFERROR(__xludf.DUMMYFUNCTION("""COMPUTED_VALUE"""),"")</f>
        <v/>
      </c>
      <c r="C1918" s="3" t="str">
        <f>IFERROR(__xludf.DUMMYFUNCTION("""COMPUTED_VALUE"""),"Multi-agent minds and AI alignment")</f>
        <v>Multi-agent minds and AI alignment</v>
      </c>
      <c r="D1918" t="str">
        <f>IFERROR(__xludf.DUMMYFUNCTION("""COMPUTED_VALUE"""),"Jan Kulveit")</f>
        <v>Jan Kulveit</v>
      </c>
      <c r="E1918" t="str">
        <f>IFERROR(__xludf.DUMMYFUNCTION("""COMPUTED_VALUE"""),"LessWrong")</f>
        <v>LessWrong</v>
      </c>
      <c r="F1918">
        <f>IFERROR(__xludf.DUMMYFUNCTION("""COMPUTED_VALUE"""),2018.0)</f>
        <v>2018</v>
      </c>
      <c r="H1918" s="3" t="str">
        <f>IFERROR(__xludf.DUMMYFUNCTION("""COMPUTED_VALUE"""),"AN #37")</f>
        <v>AN #37</v>
      </c>
      <c r="I1918" t="str">
        <f>IFERROR(__xludf.DUMMYFUNCTION("""COMPUTED_VALUE"""),"Rohin")</f>
        <v>Rohin</v>
      </c>
      <c r="J1918" t="str">
        <f>IFERROR(__xludf.DUMMYFUNCTION("""COMPUTED_VALUE"""),"This post argues against the model of humans as optimizing some particular utility function, instead favoring a model based on predictive processing. This leads to several issues with the way standard value learning approaches like inverse reinforcement l"&amp;"earning work. There are a few suggested areas for future research. First, we could understand how hierarchical models of the world work (presumably for better value learning). Second, we could try to invert game theory to learn objectives in multiagent se"&amp;"ttings. Third, we could learn preferences in multiagent settings, which might allow us to better infer norms that humans follow. Fourth, we could see what happens if we take a system of agents, infer a utility function, and then optimize it -- perhaps one"&amp;" of the agents' utility functions dominates? Finally, we can see what happens when we take a system of agents and give it more computation, to see how different parts scale. On the non-technical side, we can try to figure out how to get humans to be more "&amp;"self-aligned (i.e. there aren't ""different parts pulling in different directions"").")</f>
        <v>This post argues against the model of humans as optimizing some particular utility function, instead favoring a model based on predictive processing. This leads to several issues with the way standard value learning approaches like inverse reinforcement learning work. There are a few suggested areas for future research. First, we could understand how hierarchical models of the world work (presumably for better value learning). Second, we could try to invert game theory to learn objectives in multiagent settings. Third, we could learn preferences in multiagent settings, which might allow us to better infer norms that humans follow. Fourth, we could see what happens if we take a system of agents, infer a utility function, and then optimize it -- perhaps one of the agents' utility functions dominates? Finally, we can see what happens when we take a system of agents and give it more computation, to see how different parts scale. On the non-technical side, we can try to figure out how to get humans to be more self-aligned (i.e. there aren't "different parts pulling in different directions").</v>
      </c>
      <c r="K1918" t="str">
        <f>IFERROR(__xludf.DUMMYFUNCTION("""COMPUTED_VALUE"""),"I agree with the general point that figuring out a human utility function and then optimizing it is unlikely to work, but for different reasons (see the first chapter of the [Value Learning sequence](https://www.alignmentforum.org/s/4dHMdK5TLN6xcqtyc)). I"&amp;" also agree that humans are complex and you can’t get away with modeling them as Boltzmann rational and optimizing some fixed utility function. I wouldn’t try to make the model more accurate (eg. a model of a bunch of interacting subagents, each with thei"&amp;"r own utility function), I would try to make the model less precise (eg. a single giant neural net), because that reduces the chance of model misspecification. However, given the [impossibility result](https://arxiv.org/abs/1712.05812) saying that you mus"&amp;"t make assumptions to make this work, we probably have to give up on having some nice formally specified meaning of “values”. I think this is probably fine -- for example, iterated amplification doesn’t have any explicit formal value function.")</f>
        <v>I agree with the general point that figuring out a human utility function and then optimizing it is unlikely to work, but for different reasons (see the first chapter of the [Value Learning sequence](https://www.alignmentforum.org/s/4dHMdK5TLN6xcqtyc)). I also agree that humans are complex and you can’t get away with modeling them as Boltzmann rational and optimizing some fixed utility function. I wouldn’t try to make the model more accurate (eg. a model of a bunch of interacting subagents, each with their own utility function), I would try to make the model less precise (eg. a single giant neural net), because that reduces the chance of model misspecification. However, given the [impossibility result](https://arxiv.org/abs/1712.05812) saying that you must make assumptions to make this work, we probably have to give up on having some nice formally specified meaning of “values”. I think this is probably fine -- for example, iterated amplification doesn’t have any explicit formal value function.</v>
      </c>
    </row>
    <row r="1919">
      <c r="A1919" t="str">
        <f>IFERROR(__xludf.DUMMYFUNCTION("""COMPUTED_VALUE"""),"Technical agendas and prioritization")</f>
        <v>Technical agendas and prioritization</v>
      </c>
      <c r="B1919" t="str">
        <f>IFERROR(__xludf.DUMMYFUNCTION("""COMPUTED_VALUE"""),"")</f>
        <v/>
      </c>
      <c r="C1919" s="3" t="str">
        <f>IFERROR(__xludf.DUMMYFUNCTION("""COMPUTED_VALUE"""),"Evaluating Existing Approaches to AGI Alignment")</f>
        <v>Evaluating Existing Approaches to AGI Alignment</v>
      </c>
      <c r="D1919" t="str">
        <f>IFERROR(__xludf.DUMMYFUNCTION("""COMPUTED_VALUE"""),"G Gordon Worley III")</f>
        <v>G Gordon Worley III</v>
      </c>
      <c r="E1919" t="str">
        <f>IFERROR(__xludf.DUMMYFUNCTION("""COMPUTED_VALUE"""),"LessWrong")</f>
        <v>LessWrong</v>
      </c>
      <c r="F1919">
        <f>IFERROR(__xludf.DUMMYFUNCTION("""COMPUTED_VALUE"""),2018.0)</f>
        <v>2018</v>
      </c>
      <c r="H1919" s="3" t="str">
        <f>IFERROR(__xludf.DUMMYFUNCTION("""COMPUTED_VALUE"""),"Recon #5")</f>
        <v>Recon #5</v>
      </c>
    </row>
    <row r="1920">
      <c r="A1920" t="str">
        <f>IFERROR(__xludf.DUMMYFUNCTION("""COMPUTED_VALUE"""),"Technical agendas and prioritization")</f>
        <v>Technical agendas and prioritization</v>
      </c>
      <c r="B1920" t="str">
        <f>IFERROR(__xludf.DUMMYFUNCTION("""COMPUTED_VALUE"""),"")</f>
        <v/>
      </c>
      <c r="C1920" s="3" t="str">
        <f>IFERROR(__xludf.DUMMYFUNCTION("""COMPUTED_VALUE"""),"Integrative Biological Simulation, Neuropsychology, and AI Safety")</f>
        <v>Integrative Biological Simulation, Neuropsychology, and AI Safety</v>
      </c>
      <c r="D1920" t="str">
        <f>IFERROR(__xludf.DUMMYFUNCTION("""COMPUTED_VALUE"""),"Gopal P. Sarma, Adam Safron, Nick J. Hay")</f>
        <v>Gopal P. Sarma, Adam Safron, Nick J. Hay</v>
      </c>
      <c r="E1920" t="str">
        <f>IFERROR(__xludf.DUMMYFUNCTION("""COMPUTED_VALUE"""),"arXiv")</f>
        <v>arXiv</v>
      </c>
      <c r="F1920">
        <f>IFERROR(__xludf.DUMMYFUNCTION("""COMPUTED_VALUE"""),2018.0)</f>
        <v>2018</v>
      </c>
      <c r="H1920" s="3" t="str">
        <f>IFERROR(__xludf.DUMMYFUNCTION("""COMPUTED_VALUE"""),"AN #34")</f>
        <v>AN #34</v>
      </c>
      <c r="I1920" t="str">
        <f>IFERROR(__xludf.DUMMYFUNCTION("""COMPUTED_VALUE"""),"Rohin")</f>
        <v>Rohin</v>
      </c>
      <c r="J1920" t="str">
        <f>IFERROR(__xludf.DUMMYFUNCTION("""COMPUTED_VALUE"""),"See [Import AI](https://jack-clark.net/2018/11/19/import-ai-121-sony-researchers-make-ultra-fast-imagenet-training-breakthrough-berkeley-researchers-tackle-starcraft-ii-with-modular-rl-system-and-germany-adds-e3bn-for-ai-research/) and [this comment](http"&amp;"s://www.alignmentforum.org/s/4dHMdK5TLN6xcqtyc/p/EhNCnCkmu7MwrQ7yz#krcwYcuTQRp9DBdZY).")</f>
        <v>See [Import AI](https://jack-clark.net/2018/11/19/import-ai-121-sony-researchers-make-ultra-fast-imagenet-training-breakthrough-berkeley-researchers-tackle-starcraft-ii-with-modular-rl-system-and-germany-adds-e3bn-for-ai-research/) and [this comment](https://www.alignmentforum.org/s/4dHMdK5TLN6xcqtyc/p/EhNCnCkmu7MwrQ7yz#krcwYcuTQRp9DBdZY).</v>
      </c>
    </row>
    <row r="1921">
      <c r="A1921" t="str">
        <f>IFERROR(__xludf.DUMMYFUNCTION("""COMPUTED_VALUE"""),"Technical agendas and prioritization")</f>
        <v>Technical agendas and prioritization</v>
      </c>
      <c r="B1921" t="str">
        <f>IFERROR(__xludf.DUMMYFUNCTION("""COMPUTED_VALUE"""),"")</f>
        <v/>
      </c>
      <c r="C1921" s="3" t="str">
        <f>IFERROR(__xludf.DUMMYFUNCTION("""COMPUTED_VALUE"""),"Robustness to fundamental uncertainty in AGI alignment")</f>
        <v>Robustness to fundamental uncertainty in AGI alignment</v>
      </c>
      <c r="D1921" t="str">
        <f>IFERROR(__xludf.DUMMYFUNCTION("""COMPUTED_VALUE"""),"gworley")</f>
        <v>gworley</v>
      </c>
      <c r="E1921" t="str">
        <f>IFERROR(__xludf.DUMMYFUNCTION("""COMPUTED_VALUE"""),"LessWrong")</f>
        <v>LessWrong</v>
      </c>
      <c r="F1921">
        <f>IFERROR(__xludf.DUMMYFUNCTION("""COMPUTED_VALUE"""),2018.0)</f>
        <v>2018</v>
      </c>
      <c r="H1921" s="3" t="str">
        <f>IFERROR(__xludf.DUMMYFUNCTION("""COMPUTED_VALUE"""),"AN #17")</f>
        <v>AN #17</v>
      </c>
      <c r="M1921" s="3" t="str">
        <f>IFERROR(__xludf.DUMMYFUNCTION("""COMPUTED_VALUE"""),"Phenomenological AI Safety Research Institute")</f>
        <v>Phenomenological AI Safety Research Institute</v>
      </c>
    </row>
    <row r="1922">
      <c r="A1922" t="str">
        <f>IFERROR(__xludf.DUMMYFUNCTION("""COMPUTED_VALUE"""),"Uncertainty")</f>
        <v>Uncertainty</v>
      </c>
      <c r="B1922" t="str">
        <f>IFERROR(__xludf.DUMMYFUNCTION("""COMPUTED_VALUE"""),"")</f>
        <v/>
      </c>
      <c r="C1922" s="3" t="str">
        <f>IFERROR(__xludf.DUMMYFUNCTION("""COMPUTED_VALUE"""),"ICML Uncertainty and Robustness Workshop Accepted Papers")</f>
        <v>ICML Uncertainty and Robustness Workshop Accepted Papers</v>
      </c>
      <c r="E1922" t="str">
        <f>IFERROR(__xludf.DUMMYFUNCTION("""COMPUTED_VALUE"""),"ICML")</f>
        <v>ICML</v>
      </c>
      <c r="F1922">
        <f>IFERROR(__xludf.DUMMYFUNCTION("""COMPUTED_VALUE"""),2019.0)</f>
        <v>2019</v>
      </c>
      <c r="H1922" s="3" t="str">
        <f>IFERROR(__xludf.DUMMYFUNCTION("""COMPUTED_VALUE"""),"AN #58")</f>
        <v>AN #58</v>
      </c>
      <c r="I1922" t="str">
        <f>IFERROR(__xludf.DUMMYFUNCTION("""COMPUTED_VALUE"""),"Dan H")</f>
        <v>Dan H</v>
      </c>
      <c r="J1922" t="str">
        <f>IFERROR(__xludf.DUMMYFUNCTION("""COMPUTED_VALUE"""),"The Uncertainty and Robustness Workshop accepted papers are available. Topics include out-of-distribution detection, generalization to stochastic corruptions, label corruption robustness, and so on.")</f>
        <v>The Uncertainty and Robustness Workshop accepted papers are available. Topics include out-of-distribution detection, generalization to stochastic corruptions, label corruption robustness, and so on.</v>
      </c>
    </row>
    <row r="1923">
      <c r="A1923" t="str">
        <f>IFERROR(__xludf.DUMMYFUNCTION("""COMPUTED_VALUE"""),"Uncertainty")</f>
        <v>Uncertainty</v>
      </c>
      <c r="B1923" t="str">
        <f>IFERROR(__xludf.DUMMYFUNCTION("""COMPUTED_VALUE"""),"")</f>
        <v/>
      </c>
      <c r="C1923" s="3" t="str">
        <f>IFERROR(__xludf.DUMMYFUNCTION("""COMPUTED_VALUE"""),"Trainable Calibration Measures For Neural Networks From Kernel Mean Embeddings")</f>
        <v>Trainable Calibration Measures For Neural Networks From Kernel Mean Embeddings</v>
      </c>
      <c r="D1923" t="str">
        <f>IFERROR(__xludf.DUMMYFUNCTION("""COMPUTED_VALUE"""),"Aviral Kumar, Sunita Sarawagi and Ujjwal Jain")</f>
        <v>Aviral Kumar, Sunita Sarawagi and Ujjwal Jain</v>
      </c>
      <c r="E1923" t="str">
        <f>IFERROR(__xludf.DUMMYFUNCTION("""COMPUTED_VALUE"""),"ICML")</f>
        <v>ICML</v>
      </c>
      <c r="F1923">
        <f>IFERROR(__xludf.DUMMYFUNCTION("""COMPUTED_VALUE"""),2018.0)</f>
        <v>2018</v>
      </c>
      <c r="H1923" s="3" t="str">
        <f>IFERROR(__xludf.DUMMYFUNCTION("""COMPUTED_VALUE"""),"AN #35")</f>
        <v>AN #35</v>
      </c>
    </row>
    <row r="1924">
      <c r="A1924" t="str">
        <f>IFERROR(__xludf.DUMMYFUNCTION("""COMPUTED_VALUE"""),"Uncertainty")</f>
        <v>Uncertainty</v>
      </c>
      <c r="B1924" t="str">
        <f>IFERROR(__xludf.DUMMYFUNCTION("""COMPUTED_VALUE"""),"")</f>
        <v/>
      </c>
      <c r="C1924" s="3" t="str">
        <f>IFERROR(__xludf.DUMMYFUNCTION("""COMPUTED_VALUE"""),"Do Deep Generative Models Know What They Don't Know?")</f>
        <v>Do Deep Generative Models Know What They Don't Know?</v>
      </c>
      <c r="D1924" t="str">
        <f>IFERROR(__xludf.DUMMYFUNCTION("""COMPUTED_VALUE"""),"Eric Nalisnick, Akihiro Matsukawa, Yee Whye Teh, Dilan Gorur, Balaji Lakshminarayanan")</f>
        <v>Eric Nalisnick, Akihiro Matsukawa, Yee Whye Teh, Dilan Gorur, Balaji Lakshminarayanan</v>
      </c>
      <c r="E1924" t="str">
        <f>IFERROR(__xludf.DUMMYFUNCTION("""COMPUTED_VALUE"""),"arXiv")</f>
        <v>arXiv</v>
      </c>
      <c r="F1924">
        <f>IFERROR(__xludf.DUMMYFUNCTION("""COMPUTED_VALUE"""),2018.0)</f>
        <v>2018</v>
      </c>
      <c r="H1924" s="3" t="str">
        <f>IFERROR(__xludf.DUMMYFUNCTION("""COMPUTED_VALUE"""),"AN #30")</f>
        <v>AN #30</v>
      </c>
      <c r="M1924" t="str">
        <f>IFERROR(__xludf.DUMMYFUNCTION("""COMPUTED_VALUE"""),"Section 4.3 of [this](https://openreview.net/pdf?id=HyxCxhRcY7) paper makes similar observations and ameliorates the issue. [This](https://arxiv.org/abs/1809.04729v1) paper also demonstrates the fragility of density estimators on out-of-distribution data.")</f>
        <v>Section 4.3 of [this](https://openreview.net/pdf?id=HyxCxhRcY7) paper makes similar observations and ameliorates the issue. [This](https://arxiv.org/abs/1809.04729v1) paper also demonstrates the fragility of density estimators on out-of-distribution data.</v>
      </c>
    </row>
    <row r="1925">
      <c r="A1925" t="str">
        <f>IFERROR(__xludf.DUMMYFUNCTION("""COMPUTED_VALUE"""),"Uncertainty")</f>
        <v>Uncertainty</v>
      </c>
      <c r="B1925" t="str">
        <f>IFERROR(__xludf.DUMMYFUNCTION("""COMPUTED_VALUE"""),"")</f>
        <v/>
      </c>
      <c r="C1925" s="3" t="str">
        <f>IFERROR(__xludf.DUMMYFUNCTION("""COMPUTED_VALUE"""),"On Calibration of Modern Neural Networks")</f>
        <v>On Calibration of Modern Neural Networks</v>
      </c>
      <c r="D1925" t="str">
        <f>IFERROR(__xludf.DUMMYFUNCTION("""COMPUTED_VALUE"""),"Chuan Guo, Geoff Pleiss, Yu Sun, Kilian Q. Weinberger")</f>
        <v>Chuan Guo, Geoff Pleiss, Yu Sun, Kilian Q. Weinberger</v>
      </c>
      <c r="E1925" t="str">
        <f>IFERROR(__xludf.DUMMYFUNCTION("""COMPUTED_VALUE"""),"ICML")</f>
        <v>ICML</v>
      </c>
      <c r="F1925">
        <f>IFERROR(__xludf.DUMMYFUNCTION("""COMPUTED_VALUE"""),2018.0)</f>
        <v>2018</v>
      </c>
      <c r="H1925" s="3" t="str">
        <f>IFERROR(__xludf.DUMMYFUNCTION("""COMPUTED_VALUE"""),"AN #29")</f>
        <v>AN #29</v>
      </c>
      <c r="I1925" t="str">
        <f>IFERROR(__xludf.DUMMYFUNCTION("""COMPUTED_VALUE"""),"Dan H")</f>
        <v>Dan H</v>
      </c>
      <c r="J1925" t="str">
        <f>IFERROR(__xludf.DUMMYFUNCTION("""COMPUTED_VALUE"""),"Models should not be unduly confident, especially when said confidence is used for decision making or downstream tasks. This work provides a simple method to make models more calibrated so that the confidence estimates are closer to the true correctness l"&amp;"ikelihood. (For example, if a calibrated model predicts “toucan” with 60% confidence, then 60% of the time the input was actually a toucan.) Before presenting their method, they observe that batch normalization can make models less calibrated, while unusu"&amp;"ally large weight decay regularization can increase calibration. However, their proposed approach to increase calibration does not impact accuracy or require substantive model changes. They simply adjust the temperature of the softmax to make the model’s "&amp;"“confidence” (here the maximum softmax probability) more calibrated. Specifically, after training they tune the softmax temperature to minimize the cross entropy (negative average log-likelihood) on validation data. They then measure model calibration wit"&amp;"h a measure which is related to the Brier score, but with absolute values rather than squares.")</f>
        <v>Models should not be unduly confident, especially when said confidence is used for decision making or downstream tasks. This work provides a simple method to make models more calibrated so that the confidence estimates are closer to the true correctness likelihood. (For example, if a calibrated model predicts “toucan” with 60% confidence, then 60% of the time the input was actually a toucan.) Before presenting their method, they observe that batch normalization can make models less calibrated, while unusually large weight decay regularization can increase calibration. However, their proposed approach to increase calibration does not impact accuracy or require substantive model changes. They simply adjust the temperature of the softmax to make the model’s “confidence” (here the maximum softmax probability) more calibrated. Specifically, after training they tune the softmax temperature to minimize the cross entropy (negative average log-likelihood) on validation data. They then measure model calibration with a measure which is related to the Brier score, but with absolute values rather than squares.</v>
      </c>
      <c r="K1925" t="str">
        <f>IFERROR(__xludf.DUMMYFUNCTION("""COMPUTED_VALUE"""),"Previous calibration work in machine learning conferences would often to focus on calibrating regression models, but this work has renewed interest in calibrating classifiers. For that reason I view this paper highly. That said, this paper’s evaluation me"&amp;"asure, the “Expected Calibration Error” is not a proper scoring rule, so optimizing this does not necessarily lead to calibration. In their approximation of the ECE, they use equally-wide bins when there is reason to use adaptively sized bins. Consequentl"&amp;"y I think [Nguyen and O’Connor](https://arxiv.org/pdf/1508.05154.pdf) Sections 2 and 3 provide a better calibration explanation, better calibration measure, and better estimation procedure. They also suggest using a convex optimization library to find the"&amp;" softmax temperature, but at least libraries such as CVXPY require far more time and memory than a simple softmax temperature grid search. Finally, an understandable limitation of this work is that it assumes test-time inputs are in-distribution, but when"&amp;" inputs are out-of-distribution this method hardly improves calibration.")</f>
        <v>Previous calibration work in machine learning conferences would often to focus on calibrating regression models, but this work has renewed interest in calibrating classifiers. For that reason I view this paper highly. That said, this paper’s evaluation measure, the “Expected Calibration Error” is not a proper scoring rule, so optimizing this does not necessarily lead to calibration. In their approximation of the ECE, they use equally-wide bins when there is reason to use adaptively sized bins. Consequently I think [Nguyen and O’Connor](https://arxiv.org/pdf/1508.05154.pdf) Sections 2 and 3 provide a better calibration explanation, better calibration measure, and better estimation procedure. They also suggest using a convex optimization library to find the softmax temperature, but at least libraries such as CVXPY require far more time and memory than a simple softmax temperature grid search. Finally, an understandable limitation of this work is that it assumes test-time inputs are in-distribution, but when inputs are out-of-distribution this method hardly improves calibration.</v>
      </c>
    </row>
    <row r="1926">
      <c r="A1926" t="str">
        <f>IFERROR(__xludf.DUMMYFUNCTION("""COMPUTED_VALUE"""),"Unsupervised learning")</f>
        <v>Unsupervised learning</v>
      </c>
      <c r="B1926" t="str">
        <f>IFERROR(__xludf.DUMMYFUNCTION("""COMPUTED_VALUE"""),"Highlight")</f>
        <v>Highlight</v>
      </c>
      <c r="C1926" s="3" t="str">
        <f>IFERROR(__xludf.DUMMYFUNCTION("""COMPUTED_VALUE"""),"Representation Learning with Contrastive Predictive Coding")</f>
        <v>Representation Learning with Contrastive Predictive Coding</v>
      </c>
      <c r="D1926" t="str">
        <f>IFERROR(__xludf.DUMMYFUNCTION("""COMPUTED_VALUE"""),"Aaron van den Oord, Yazhe Li, Oriol Vinyals")</f>
        <v>Aaron van den Oord, Yazhe Li, Oriol Vinyals</v>
      </c>
      <c r="E1926" t="str">
        <f>IFERROR(__xludf.DUMMYFUNCTION("""COMPUTED_VALUE"""),"arXiv")</f>
        <v>arXiv</v>
      </c>
      <c r="F1926">
        <f>IFERROR(__xludf.DUMMYFUNCTION("""COMPUTED_VALUE"""),2018.0)</f>
        <v>2018</v>
      </c>
      <c r="H1926" s="3" t="str">
        <f>IFERROR(__xludf.DUMMYFUNCTION("""COMPUTED_VALUE"""),"AN #92")</f>
        <v>AN #92</v>
      </c>
      <c r="I1926" t="str">
        <f>IFERROR(__xludf.DUMMYFUNCTION("""COMPUTED_VALUE"""),"Rohin")</f>
        <v>Rohin</v>
      </c>
      <c r="J1926" t="str">
        <f>IFERROR(__xludf.DUMMYFUNCTION("""COMPUTED_VALUE"""),"This paper from 2018 proposed Contrastive Predictive Coding (CPC): a method of unsupervised learning that has been quite successful. At its core it is quite simple: it simply combines the ideas of predictive coding and contrastive losses, both of which ha"&amp;"ve been significantly studied in the past.
The simplest form of unsupervised learning would be data compression via generative models (as in e.g. VAEs), in which, to model the data **p(x)**, you attempt to encode **x** into a latent (hidden) state **z** "&amp;"in such a way that you can then recover the original data point **x** from **z**. Intuitively, we want **z** to have high mutual information with **x**.
For sequential data in a partially observed setting, you need to deal with the full sequence. Conside"&amp;"r natural language: in this setting, each x would be a single word. Consider the sentence ""I sat on the chair"". If the **z** corresponding to the word ""the"" only has to reconstruct the word ""the"", it's not going to ""remember"" that the past context"&amp;" involved sitting, and so that **z** would be terrible at predicting that the next word will be chair. To fix this, we can use predictive coding, where we instead require that we can _predict_ future words using **z**. This now incentivizes **z_t** to hav"&amp;"e high mutual information with **x_{t+k}**.
There is still a problem: reconstructing the entire input **x** would require a lot of irrelevant information, such as e.g. the background color of the environment in RL, even if that never changes. How can we "&amp;"get rid of these irrelevant features? Contrastive losses allow us to do this: intuitively, since the irrelevant features are the ones that are common across all the **x**s (and so are fully captured by **p(x)** ), if we train the neural net to _distinguis"&amp;"h_ between various **x**s, we can incentivize only the relevant features. In particular, given a latent state **z_t**, we take the true **x_{t+k}**, and throw in a bunch of other **x**s sampled from **p(x)** (known as _negative samples_), and train the ne"&amp;"twork to correctly classify **x_{t+k}**. The authors show that the optimum of this loss function is indeed for the neural net to compute **p(x | z) / p(x)**, which implies that it is maximizing a lower bound on the mutual information between X and Z.
Thi"&amp;"s gives us a pretty simple overall algorithm. Take a sequence **x_1 ... x_T**, compute **z_t** using a recurrent model on **x_1 ... x_t**, put **x_{t+k}** and some negative samples into a set, and train a classifier to correctly predict which of the sampl"&amp;"es is the true **x_{t+k}**. In practice, we do batches of these at the same time, and for every data point in the batch we use all of the other data points as our negative examples. The features you learn are then the ones that help _distinguish_ between "&amp;"**x_{t+k}** and the negative samples, and you'll ignore any features that are common across all the samples. This means that the results depend quite a lot on how you choose your samples (this effectively determines what **p(x)** you are using).
The auth"&amp;"ors evaluate their algorithm on several domains and show that it achieves or surpasses state of the art on them.")</f>
        <v>This paper from 2018 proposed Contrastive Predictive Coding (CPC): a method of unsupervised learning that has been quite successful. At its core it is quite simple: it simply combines the ideas of predictive coding and contrastive losses, both of which have been significantly studied in the past.
The simplest form of unsupervised learning would be data compression via generative models (as in e.g. VAEs), in which, to model the data **p(x)**, you attempt to encode **x** into a latent (hidden) state **z** in such a way that you can then recover the original data point **x** from **z**. Intuitively, we want **z** to have high mutual information with **x**.
For sequential data in a partially observed setting, you need to deal with the full sequence. Consider natural language: in this setting, each x would be a single word. Consider the sentence "I sat on the chair". If the **z** corresponding to the word "the" only has to reconstruct the word "the", it's not going to "remember" that the past context involved sitting, and so that **z** would be terrible at predicting that the next word will be chair. To fix this, we can use predictive coding, where we instead require that we can _predict_ future words using **z**. This now incentivizes **z_t** to have high mutual information with **x_{t+k}**.
There is still a problem: reconstructing the entire input **x** would require a lot of irrelevant information, such as e.g. the background color of the environment in RL, even if that never changes. How can we get rid of these irrelevant features? Contrastive losses allow us to do this: intuitively, since the irrelevant features are the ones that are common across all the **x**s (and so are fully captured by **p(x)** ), if we train the neural net to _distinguish_ between various **x**s, we can incentivize only the relevant features. In particular, given a latent state **z_t**, we take the true **x_{t+k}**, and throw in a bunch of other **x**s sampled from **p(x)** (known as _negative samples_), and train the network to correctly classify **x_{t+k}**. The authors show that the optimum of this loss function is indeed for the neural net to compute **p(x | z) / p(x)**, which implies that it is maximizing a lower bound on the mutual information between X and Z.
This gives us a pretty simple overall algorithm. Take a sequence **x_1 ... x_T**, compute **z_t** using a recurrent model on **x_1 ... x_t**, put **x_{t+k}** and some negative samples into a set, and train a classifier to correctly predict which of the samples is the true **x_{t+k}**. In practice, we do batches of these at the same time, and for every data point in the batch we use all of the other data points as our negative examples. The features you learn are then the ones that help _distinguish_ between **x_{t+k}** and the negative samples, and you'll ignore any features that are common across all the samples. This means that the results depend quite a lot on how you choose your samples (this effectively determines what **p(x)** you are using).
The authors evaluate their algorithm on several domains and show that it achieves or surpasses state of the art on them.</v>
      </c>
      <c r="K1926" t="str">
        <f>IFERROR(__xludf.DUMMYFUNCTION("""COMPUTED_VALUE"""),"I like this paper: the intuition makes sense, the math is straightforward, and the empirical results are strong, and have continued to be strong when looking at later work that builds on it.")</f>
        <v>I like this paper: the intuition makes sense, the math is straightforward, and the empirical results are strong, and have continued to be strong when looking at later work that builds on it.</v>
      </c>
    </row>
    <row r="1927">
      <c r="A1927" t="str">
        <f>IFERROR(__xludf.DUMMYFUNCTION("""COMPUTED_VALUE"""),"Unsupervised learning")</f>
        <v>Unsupervised learning</v>
      </c>
      <c r="B1927" t="str">
        <f>IFERROR(__xludf.DUMMYFUNCTION("""COMPUTED_VALUE"""),"Highlight")</f>
        <v>Highlight</v>
      </c>
      <c r="C1927" s="3" t="str">
        <f>IFERROR(__xludf.DUMMYFUNCTION("""COMPUTED_VALUE"""),"On Variational Bounds of Mutual Information")</f>
        <v>On Variational Bounds of Mutual Information</v>
      </c>
      <c r="D1927" t="str">
        <f>IFERROR(__xludf.DUMMYFUNCTION("""COMPUTED_VALUE"""),"Ben Poole, Sherjil Ozair, Aaron van den Oord, Alexander A. Alemi, George Tucker")</f>
        <v>Ben Poole, Sherjil Ozair, Aaron van den Oord, Alexander A. Alemi, George Tucker</v>
      </c>
      <c r="E1927" t="str">
        <f>IFERROR(__xludf.DUMMYFUNCTION("""COMPUTED_VALUE"""),"arXiv")</f>
        <v>arXiv</v>
      </c>
      <c r="F1927">
        <f>IFERROR(__xludf.DUMMYFUNCTION("""COMPUTED_VALUE"""),2019.0)</f>
        <v>2019</v>
      </c>
      <c r="H1927" s="3" t="str">
        <f>IFERROR(__xludf.DUMMYFUNCTION("""COMPUTED_VALUE"""),"AN #92")</f>
        <v>AN #92</v>
      </c>
      <c r="I1927" t="str">
        <f>IFERROR(__xludf.DUMMYFUNCTION("""COMPUTED_VALUE"""),"Rohin")</f>
        <v>Rohin</v>
      </c>
      <c r="J1927" t="str">
        <f>IFERROR(__xludf.DUMMYFUNCTION("""COMPUTED_VALUE"""),"This paper is a pretty dense and technical explanation of various ways in which we can estimate and/or optimize the mutual information between two variables. I specifically want to highlight that it provides a proof that the Contrastive Predictive Coding "&amp;"objective (summarized above) is a lower bound on the mutual information between the input and the representation, and compares it to other lower bounds on mutual information.")</f>
        <v>This paper is a pretty dense and technical explanation of various ways in which we can estimate and/or optimize the mutual information between two variables. I specifically want to highlight that it provides a proof that the Contrastive Predictive Coding objective (summarized above) is a lower bound on the mutual information between the input and the representation, and compares it to other lower bounds on mutual information.</v>
      </c>
    </row>
    <row r="1928">
      <c r="A1928" t="str">
        <f>IFERROR(__xludf.DUMMYFUNCTION("""COMPUTED_VALUE"""),"Unsupervised learning")</f>
        <v>Unsupervised learning</v>
      </c>
      <c r="B1928" t="str">
        <f>IFERROR(__xludf.DUMMYFUNCTION("""COMPUTED_VALUE"""),"")</f>
        <v/>
      </c>
      <c r="C1928" s="3" t="str">
        <f>IFERROR(__xludf.DUMMYFUNCTION("""COMPUTED_VALUE"""),"Generative Teaching Networks: Accelerating Neural Architecture Search by Learning to Generate Synthetic Training Data")</f>
        <v>Generative Teaching Networks: Accelerating Neural Architecture Search by Learning to Generate Synthetic Training Data</v>
      </c>
      <c r="D1928" t="str">
        <f>IFERROR(__xludf.DUMMYFUNCTION("""COMPUTED_VALUE"""),"Felipe Petroski Such, Aditya Rawal, Joel Lehman, Kenneth O. Stanley, Jeff Clune")</f>
        <v>Felipe Petroski Such, Aditya Rawal, Joel Lehman, Kenneth O. Stanley, Jeff Clune</v>
      </c>
      <c r="E1928" t="str">
        <f>IFERROR(__xludf.DUMMYFUNCTION("""COMPUTED_VALUE"""),"arXiv")</f>
        <v>arXiv</v>
      </c>
      <c r="F1928">
        <f>IFERROR(__xludf.DUMMYFUNCTION("""COMPUTED_VALUE"""),2019.0)</f>
        <v>2019</v>
      </c>
      <c r="H1928" s="3" t="str">
        <f>IFERROR(__xludf.DUMMYFUNCTION("""COMPUTED_VALUE"""),"AN #85")</f>
        <v>AN #85</v>
      </c>
      <c r="I1928" t="str">
        <f>IFERROR(__xludf.DUMMYFUNCTION("""COMPUTED_VALUE"""),"Sudhanshu")</f>
        <v>Sudhanshu</v>
      </c>
      <c r="J1928" t="str">
        <f>IFERROR(__xludf.DUMMYFUNCTION("""COMPUTED_VALUE"""),"The Generative Teaching Networks (GTN) paper breaks new ground by training generators that produce synthetic data that can enable learner neural networks to learn faster than when training on real data. The process is as follows: The generator produces sy"&amp;"nthetic training data by transforming some sampled noise vector and label; a newly-initialized learner is trained on this synthetic data and evaluated on real data; the error signal from this evaluation is backpropagated to the generator via meta-gradient"&amp;"s, to enable it to produce synthetic samples that will train the learner networks better. They also demonstrate that their curriculum learning variant, where the input vectors and their order are learned along with generator parameters, is especially powe"&amp;"rful at teaching learners with few samples and few steps of gradient descent.
They apply their system to neural architecture search, and show an empirical correlation between performance of a learner on synthetic data and its eventual performance when tr"&amp;"ained on real data. In this manner, they make the argument that data from a trained GTN can be used to cheaply assess the likelihood of a given network succeeding to learn on the real task, and hence GTN data can tremendously speed up architecture search.")</f>
        <v>The Generative Teaching Networks (GTN) paper breaks new ground by training generators that produce synthetic data that can enable learner neural networks to learn faster than when training on real data. The process is as follows: The generator produces synthetic training data by transforming some sampled noise vector and label; a newly-initialized learner is trained on this synthetic data and evaluated on real data; the error signal from this evaluation is backpropagated to the generator via meta-gradients, to enable it to produce synthetic samples that will train the learner networks better. They also demonstrate that their curriculum learning variant, where the input vectors and their order are learned along with generator parameters, is especially powerful at teaching learners with few samples and few steps of gradient descent.
They apply their system to neural architecture search, and show an empirical correlation between performance of a learner on synthetic data and its eventual performance when trained on real data. In this manner, they make the argument that data from a trained GTN can be used to cheaply assess the likelihood of a given network succeeding to learn on the real task, and hence GTN data can tremendously speed up architecture search.</v>
      </c>
      <c r="K1928" t="str">
        <f>IFERROR(__xludf.DUMMYFUNCTION("""COMPUTED_VALUE"""),"I really like this paper; I think it shines a light in an interesting new direction, and I look forward to seeing future work that builds on this in theoretical, mechanistic, and applied manners. On the other hand, I felt they did gloss over how exactly t"&amp;"hey do curriculum learning, and their reinforcement learning experiment was a little unclear to me.
I think the implications of this work are enormous. In a future where we might be limited by the maturity of available simulation platforms or inundated b"&amp;"y deluges of data with little marginal information, this approach can circumvent such problems for the selection and (pre)training of suitable student networks.")</f>
        <v>I really like this paper; I think it shines a light in an interesting new direction, and I look forward to seeing future work that builds on this in theoretical, mechanistic, and applied manners. On the other hand, I felt they did gloss over how exactly they do curriculum learning, and their reinforcement learning experiment was a little unclear to me.
I think the implications of this work are enormous. In a future where we might be limited by the maturity of available simulation platforms or inundated by deluges of data with little marginal information, this approach can circumvent such problems for the selection and (pre)training of suitable student networks.</v>
      </c>
      <c r="M1928" s="3" t="str">
        <f>IFERROR(__xludf.DUMMYFUNCTION("""COMPUTED_VALUE"""),"Blog post")</f>
        <v>Blog post</v>
      </c>
    </row>
    <row r="1929">
      <c r="A1929" t="str">
        <f>IFERROR(__xludf.DUMMYFUNCTION("""COMPUTED_VALUE"""),"Unsupervised learning")</f>
        <v>Unsupervised learning</v>
      </c>
      <c r="B1929" t="str">
        <f>IFERROR(__xludf.DUMMYFUNCTION("""COMPUTED_VALUE"""),"")</f>
        <v/>
      </c>
      <c r="C1929" s="3" t="str">
        <f>IFERROR(__xludf.DUMMYFUNCTION("""COMPUTED_VALUE"""),"Large Scale Adversarial Representation Learning")</f>
        <v>Large Scale Adversarial Representation Learning</v>
      </c>
      <c r="D1929" t="str">
        <f>IFERROR(__xludf.DUMMYFUNCTION("""COMPUTED_VALUE"""),"Jeff Donahue, Karen Simonyan")</f>
        <v>Jeff Donahue, Karen Simonyan</v>
      </c>
      <c r="E1929" t="str">
        <f>IFERROR(__xludf.DUMMYFUNCTION("""COMPUTED_VALUE"""),"arXiv")</f>
        <v>arXiv</v>
      </c>
      <c r="F1929">
        <f>IFERROR(__xludf.DUMMYFUNCTION("""COMPUTED_VALUE"""),2019.0)</f>
        <v>2019</v>
      </c>
      <c r="H1929" s="3" t="str">
        <f>IFERROR(__xludf.DUMMYFUNCTION("""COMPUTED_VALUE"""),"AN #60")</f>
        <v>AN #60</v>
      </c>
      <c r="I1929" t="str">
        <f>IFERROR(__xludf.DUMMYFUNCTION("""COMPUTED_VALUE"""),"Cody")</f>
        <v>Cody</v>
      </c>
      <c r="J1929" t="str">
        <f>IFERROR(__xludf.DUMMYFUNCTION("""COMPUTED_VALUE"""),"The BigGAN paper, published last September, used a much larger model (and a handful of optimization tricks to facilitate training it) to achieve a huge leap forward in the quality of generated images. However, it was unclear from the earlier paper whether"&amp;" this improvement in generation quality would also be tied to an increase in the model's usefulness as a source of unsupervised semantic representations of images.  This paper set out to answer that question by taking an existing technique for learning re"&amp;"presentations with GANs - called BiGAN - and combining it with the BigGan architecture, which hadn't been available when BiGAN was originally published. BiGAN, short for Bidirectional GAN, works by learning both a latent space to image transformation, and"&amp;" also an image to latent space encoder, and then enforcing that pairs of (latent, image) from these two distributions be indistinguishable from one another. They evaluated the quality of learned representations by measuring the performance of a linear mod"&amp;"el trained using the  encoder's learned latent vectors as input, and did find it to be the case that a BiGAN trained with a BigGAN architecture performs better than one trained with a smaller architecture. ")</f>
        <v>The BigGAN paper, published last September, used a much larger model (and a handful of optimization tricks to facilitate training it) to achieve a huge leap forward in the quality of generated images. However, it was unclear from the earlier paper whether this improvement in generation quality would also be tied to an increase in the model's usefulness as a source of unsupervised semantic representations of images.  This paper set out to answer that question by taking an existing technique for learning representations with GANs - called BiGAN - and combining it with the BigGan architecture, which hadn't been available when BiGAN was originally published. BiGAN, short for Bidirectional GAN, works by learning both a latent space to image transformation, and also an image to latent space encoder, and then enforcing that pairs of (latent, image) from these two distributions be indistinguishable from one another. They evaluated the quality of learned representations by measuring the performance of a linear model trained using the  encoder's learned latent vectors as input, and did find it to be the case that a BiGAN trained with a BigGAN architecture performs better than one trained with a smaller architecture. </v>
      </c>
      <c r="K1929" t="str">
        <f>IFERROR(__xludf.DUMMYFUNCTION("""COMPUTED_VALUE"""),"I really liked this paper; it was cleanly written, conceptually straightforward, and did a generally useful scientific service of checking whether an advance in one area might change our beliefs about a previous result. I particularly enjoyed looking at t"&amp;"he ""reconstructed"" images they got by running their encoder and then generator: more so than anything I recall seeing from a VAE pixel-based reconstructor, this model seems to be treating images as valid reconstructions of one another if they're of the "&amp;"same class (i.e. two pizzas) even if the colors and low level detail are different. This makes reasonable sense if you think that those two pizzas are probably nearby in latent space, and so each is a plausible reconstruction of each other's latent space "&amp;"encoding, but it's still cool to see concretely borne out.")</f>
        <v>I really liked this paper; it was cleanly written, conceptually straightforward, and did a generally useful scientific service of checking whether an advance in one area might change our beliefs about a previous result. I particularly enjoyed looking at the "reconstructed" images they got by running their encoder and then generator: more so than anything I recall seeing from a VAE pixel-based reconstructor, this model seems to be treating images as valid reconstructions of one another if they're of the same class (i.e. two pizzas) even if the colors and low level detail are different. This makes reasonable sense if you think that those two pizzas are probably nearby in latent space, and so each is a plausible reconstruction of each other's latent space encoding, but it's still cool to see concretely borne out.</v>
      </c>
    </row>
    <row r="1930">
      <c r="A1930" t="str">
        <f>IFERROR(__xludf.DUMMYFUNCTION("""COMPUTED_VALUE"""),"Unsupervised learning")</f>
        <v>Unsupervised learning</v>
      </c>
      <c r="B1930" t="str">
        <f>IFERROR(__xludf.DUMMYFUNCTION("""COMPUTED_VALUE"""),"")</f>
        <v/>
      </c>
      <c r="C1930" s="3" t="str">
        <f>IFERROR(__xludf.DUMMYFUNCTION("""COMPUTED_VALUE"""),"Unsupervised learning: the curious pupil")</f>
        <v>Unsupervised learning: the curious pupil</v>
      </c>
      <c r="D1930" t="str">
        <f>IFERROR(__xludf.DUMMYFUNCTION("""COMPUTED_VALUE"""),"Alexander Graves and Kelly Clancy")</f>
        <v>Alexander Graves and Kelly Clancy</v>
      </c>
      <c r="E1930" t="str">
        <f>IFERROR(__xludf.DUMMYFUNCTION("""COMPUTED_VALUE"""),"DeepMind Blog")</f>
        <v>DeepMind Blog</v>
      </c>
      <c r="F1930">
        <f>IFERROR(__xludf.DUMMYFUNCTION("""COMPUTED_VALUE"""),2019.0)</f>
        <v>2019</v>
      </c>
      <c r="H1930" s="3" t="str">
        <f>IFERROR(__xludf.DUMMYFUNCTION("""COMPUTED_VALUE"""),"AN #55")</f>
        <v>AN #55</v>
      </c>
      <c r="I1930" t="str">
        <f>IFERROR(__xludf.DUMMYFUNCTION("""COMPUTED_VALUE"""),"Cody")</f>
        <v>Cody</v>
      </c>
      <c r="J1930" t="str">
        <f>IFERROR(__xludf.DUMMYFUNCTION("""COMPUTED_VALUE"""),"A high-level but well-written explanation of why many believe unsupervised learning will be key to achieving general intelligence, touching on the approaches of GANs and autoregressive models as examples. ")</f>
        <v>A high-level but well-written explanation of why many believe unsupervised learning will be key to achieving general intelligence, touching on the approaches of GANs and autoregressive models as examples. </v>
      </c>
      <c r="K1930" t="str">
        <f>IFERROR(__xludf.DUMMYFUNCTION("""COMPUTED_VALUE"""),"This is a clean, clear summary, but one without any real technical depth or detail; this would be a good writeup to hand someone without any machine learning background who wanted to get an intuitive grasp for unsupervised learning as a field. ")</f>
        <v>This is a clean, clear summary, but one without any real technical depth or detail; this would be a good writeup to hand someone without any machine learning background who wanted to get an intuitive grasp for unsupervised learning as a field. </v>
      </c>
    </row>
    <row r="1931">
      <c r="A1931" t="str">
        <f>IFERROR(__xludf.DUMMYFUNCTION("""COMPUTED_VALUE"""),"Unsupervised learning")</f>
        <v>Unsupervised learning</v>
      </c>
      <c r="B1931" t="str">
        <f>IFERROR(__xludf.DUMMYFUNCTION("""COMPUTED_VALUE"""),"")</f>
        <v/>
      </c>
      <c r="C1931" s="3" t="str">
        <f>IFERROR(__xludf.DUMMYFUNCTION("""COMPUTED_VALUE"""),"Evaluating the Unsupervised Learning of Disentangled Representations")</f>
        <v>Evaluating the Unsupervised Learning of Disentangled Representations</v>
      </c>
      <c r="D1931" t="str">
        <f>IFERROR(__xludf.DUMMYFUNCTION("""COMPUTED_VALUE"""),"Olivier Bachem")</f>
        <v>Olivier Bachem</v>
      </c>
      <c r="E1931" t="str">
        <f>IFERROR(__xludf.DUMMYFUNCTION("""COMPUTED_VALUE"""),"Google AI Blog")</f>
        <v>Google AI Blog</v>
      </c>
      <c r="F1931">
        <f>IFERROR(__xludf.DUMMYFUNCTION("""COMPUTED_VALUE"""),2019.0)</f>
        <v>2019</v>
      </c>
      <c r="H1931" s="3" t="str">
        <f>IFERROR(__xludf.DUMMYFUNCTION("""COMPUTED_VALUE"""),"AN #55")</f>
        <v>AN #55</v>
      </c>
      <c r="I1931" t="str">
        <f>IFERROR(__xludf.DUMMYFUNCTION("""COMPUTED_VALUE"""),"Cody")</f>
        <v>Cody</v>
      </c>
      <c r="J1931" t="str">
        <f>IFERROR(__xludf.DUMMYFUNCTION("""COMPUTED_VALUE"""),"This blog post and paper describe a Google-scale comparative study of different representation learning methods designed to learn ""disentangled"" representations, where the axes of the representation are aligned with the true underlying factors generatin"&amp;"g the data. The paper's claims are a sobering result for the field, both theoretically and empirically. Theoretically, they show that in an unsupervised context, it's not possible to find a disentangled representation without embedding some form of induct"&amp;"ive bias into your model. Empirically, they present evidence suggesting that variation between random seeds for a given hyperparameter setting (in particular, regularization strength) matters as much or more than variation between that hyperparameter's va"&amp;"lues. Finally, they run experiments that call into question whether disentangled representations actually support transfer learning, or can be identified as in fact being disentangled without using a metric that relies on having ground truth factors of va"&amp;"riation to begin with, making it difficult to evaluate on the many realistic contexts where these aren't available.")</f>
        <v>This blog post and paper describe a Google-scale comparative study of different representation learning methods designed to learn "disentangled" representations, where the axes of the representation are aligned with the true underlying factors generating the data. The paper's claims are a sobering result for the field, both theoretically and empirically. Theoretically, they show that in an unsupervised context, it's not possible to find a disentangled representation without embedding some form of inductive bias into your model. Empirically, they present evidence suggesting that variation between random seeds for a given hyperparameter setting (in particular, regularization strength) matters as much or more than variation between that hyperparameter's values. Finally, they run experiments that call into question whether disentangled representations actually support transfer learning, or can be identified as in fact being disentangled without using a metric that relies on having ground truth factors of variation to begin with, making it difficult to evaluate on the many realistic contexts where these aren't available.</v>
      </c>
      <c r="K1931" t="str">
        <f>IFERROR(__xludf.DUMMYFUNCTION("""COMPUTED_VALUE"""),"This strikes me as a really valuable injection of empirical realism, of the kind that tends to be good for research fields to have periodically, even if it can be a bit painful or frustrating. I appreciate in particular the effort and clarity that this pa"&amp;"per puts into articulating the implicit assumptions of how disentanglement can be used or evaluated, and trying to test those assumptions under more real-world settings, such as the one where you don't have any ground truth factors of variation, since the"&amp;" real world doesn't tend to just hand out the Correct factorized model of itself.")</f>
        <v>This strikes me as a really valuable injection of empirical realism, of the kind that tends to be good for research fields to have periodically, even if it can be a bit painful or frustrating. I appreciate in particular the effort and clarity that this paper puts into articulating the implicit assumptions of how disentanglement can be used or evaluated, and trying to test those assumptions under more real-world settings, such as the one where you don't have any ground truth factors of variation, since the real world doesn't tend to just hand out the Correct factorized model of itself.</v>
      </c>
    </row>
    <row r="1932">
      <c r="A1932" t="str">
        <f>IFERROR(__xludf.DUMMYFUNCTION("""COMPUTED_VALUE"""),"Unsupervised learning")</f>
        <v>Unsupervised learning</v>
      </c>
      <c r="B1932" t="str">
        <f>IFERROR(__xludf.DUMMYFUNCTION("""COMPUTED_VALUE"""),"")</f>
        <v/>
      </c>
      <c r="C1932" s="3" t="str">
        <f>IFERROR(__xludf.DUMMYFUNCTION("""COMPUTED_VALUE"""),"Unsupervised Learning via Meta-Learning")</f>
        <v>Unsupervised Learning via Meta-Learning</v>
      </c>
      <c r="D1932" t="str">
        <f>IFERROR(__xludf.DUMMYFUNCTION("""COMPUTED_VALUE"""),"Kyle Hsu, Sergey Levine, Chelsea Finn")</f>
        <v>Kyle Hsu, Sergey Levine, Chelsea Finn</v>
      </c>
      <c r="E1932" t="str">
        <f>IFERROR(__xludf.DUMMYFUNCTION("""COMPUTED_VALUE"""),"arXiv")</f>
        <v>arXiv</v>
      </c>
      <c r="F1932">
        <f>IFERROR(__xludf.DUMMYFUNCTION("""COMPUTED_VALUE"""),2018.0)</f>
        <v>2018</v>
      </c>
      <c r="H1932" s="3" t="str">
        <f>IFERROR(__xludf.DUMMYFUNCTION("""COMPUTED_VALUE"""),"AN #28")</f>
        <v>AN #28</v>
      </c>
      <c r="I1932" t="str">
        <f>IFERROR(__xludf.DUMMYFUNCTION("""COMPUTED_VALUE"""),"Richard")</f>
        <v>Richard</v>
      </c>
      <c r="J1932" t="str">
        <f>IFERROR(__xludf.DUMMYFUNCTION("""COMPUTED_VALUE"""),"This paper trains a meta-learner on tasks which were generated using unsupervised learning. This is done by first learning an (unsupervised) embedding for a dataset, then clustering in that embedding space using k-means. Clustering is done many times with"&amp;" random scaling on each dimension; each meta-learning task is then based on one set of clusters. The resulting meta-learner is then evaluated on the actual task for that dataset, performing better than approaches based just on embeddings, and sometimes ge"&amp;"tting fairly close to the supervised-learning equivalent.")</f>
        <v>This paper trains a meta-learner on tasks which were generated using unsupervised learning. This is done by first learning an (unsupervised) embedding for a dataset, then clustering in that embedding space using k-means. Clustering is done many times with random scaling on each dimension; each meta-learning task is then based on one set of clusters. The resulting meta-learner is then evaluated on the actual task for that dataset, performing better than approaches based just on embeddings, and sometimes getting fairly close to the supervised-learning equivalent.</v>
      </c>
      <c r="K1932" t="str">
        <f>IFERROR(__xludf.DUMMYFUNCTION("""COMPUTED_VALUE"""),"This is a cool technique; I like the combination of two approaches (meta-learning and unsupervised learning) aimed at making deep learning applicable to many more real-world datasets. I can imagine promising follow-ups - e.g. randomly scaling embedding di"&amp;"mensions to get different clusters seems a bit hacky to me, so I wonder if there's a better approach (maybe learning many different embeddings?). It's interesting to note that their test-time performance is sometimes better than their training performance"&amp;", presumably because some of the unsupervised training clusterings are ""nonsensical"", so there is room to improve here.")</f>
        <v>This is a cool technique; I like the combination of two approaches (meta-learning and unsupervised learning) aimed at making deep learning applicable to many more real-world datasets. I can imagine promising follow-ups - e.g. randomly scaling embedding dimensions to get different clusters seems a bit hacky to me, so I wonder if there's a better approach (maybe learning many different embeddings?). It's interesting to note that their test-time performance is sometimes better than their training performance, presumably because some of the unsupervised training clusterings are "nonsensical", so there is room to improve here.</v>
      </c>
    </row>
    <row r="1933">
      <c r="A1933" t="str">
        <f>IFERROR(__xludf.DUMMYFUNCTION("""COMPUTED_VALUE"""),"Unsupervised learning")</f>
        <v>Unsupervised learning</v>
      </c>
      <c r="B1933" t="str">
        <f>IFERROR(__xludf.DUMMYFUNCTION("""COMPUTED_VALUE"""),"")</f>
        <v/>
      </c>
      <c r="C1933" s="3" t="str">
        <f>IFERROR(__xludf.DUMMYFUNCTION("""COMPUTED_VALUE"""),"Understanding View Selection for Contrastive Learning")</f>
        <v>Understanding View Selection for Contrastive Learning</v>
      </c>
      <c r="D1933" t="str">
        <f>IFERROR(__xludf.DUMMYFUNCTION("""COMPUTED_VALUE"""),"Yonglong Tian, Chen Sun, Ben Poole, Dilip Krishnan, Cordelia Schmid, Phillip Isola")</f>
        <v>Yonglong Tian, Chen Sun, Ben Poole, Dilip Krishnan, Cordelia Schmid, Phillip Isola</v>
      </c>
      <c r="E1933" t="str">
        <f>IFERROR(__xludf.DUMMYFUNCTION("""COMPUTED_VALUE"""),"arXiv")</f>
        <v>arXiv</v>
      </c>
      <c r="F1933">
        <f>IFERROR(__xludf.DUMMYFUNCTION("""COMPUTED_VALUE"""),2020.0)</f>
        <v>2020</v>
      </c>
      <c r="H1933" s="3" t="str">
        <f>IFERROR(__xludf.DUMMYFUNCTION("""COMPUTED_VALUE"""),"AN #116")</f>
        <v>AN #116</v>
      </c>
      <c r="I1933" t="str">
        <f>IFERROR(__xludf.DUMMYFUNCTION("""COMPUTED_VALUE"""),"Flo")</f>
        <v>Flo</v>
      </c>
      <c r="J1933" t="str">
        <f>IFERROR(__xludf.DUMMYFUNCTION("""COMPUTED_VALUE"""),"&lt;@Contrastive multiview learning@&gt;(@Representation Learning with Contrastive Predictive Coding@) is a self-supervised approach to pretraining classifiers in which different views of data points are created and an encoder is trained to minimize the distanc"&amp;"e between encodings of views corresponding to data points with the same label while maximizing the distance between encodings of views with different labels. 
The efficacy of this approach depends on the choice of views as well as the downstream task the"&amp;" neural network is going to be trained for. To find the most promising views, the authors propose the Infomin principle: all views should keep task-relevant information while the mutual information between views is minimized. The principle is supported by"&amp;" various observations: Firstly, earlier approaches to contrastive learning in the image domain that use data augmentation to preserve object identity while creating diverse views can be seen as an implicit application of the Infomin principle. Secondly, v"&amp;"arying the mutual information between views (for example by changing the distance between two cropped views of the same image) creates an inverted U-curve for downstream performance corresponding to poor performance if there is too much or too little mutu"&amp;"al information between the views. Lastly, the authors also find an inverted U-curve in performance for different colour spaces when using channels as views and the Lab colour space which was built to mimic human colour perception is close to the optimum, "&amp;"meaning that human colour perception might be near-optimal for self-supervised representation learning. 
The authors then use the Infomin principle to select image augmentations for contrastive pretraining and improve the state of the art in linear reado"&amp;"ut on ImageNet from 69.3% to 73% for Top-1 accuracy and from 89% to 91.1% for Top-5 accuracy.")</f>
        <v>&lt;@Contrastive multiview learning@&gt;(@Representation Learning with Contrastive Predictive Coding@) is a self-supervised approach to pretraining classifiers in which different views of data points are created and an encoder is trained to minimize the distance between encodings of views corresponding to data points with the same label while maximizing the distance between encodings of views with different labels. 
The efficacy of this approach depends on the choice of views as well as the downstream task the neural network is going to be trained for. To find the most promising views, the authors propose the Infomin principle: all views should keep task-relevant information while the mutual information between views is minimized. The principle is supported by various observations: Firstly, earlier approaches to contrastive learning in the image domain that use data augmentation to preserve object identity while creating diverse views can be seen as an implicit application of the Infomin principle. Secondly, varying the mutual information between views (for example by changing the distance between two cropped views of the same image) creates an inverted U-curve for downstream performance corresponding to poor performance if there is too much or too little mutual information between the views. Lastly, the authors also find an inverted U-curve in performance for different colour spaces when using channels as views and the Lab colour space which was built to mimic human colour perception is close to the optimum, meaning that human colour perception might be near-optimal for self-supervised representation learning. 
The authors then use the Infomin principle to select image augmentations for contrastive pretraining and improve the state of the art in linear readout on ImageNet from 69.3% to 73% for Top-1 accuracy and from 89% to 91.1% for Top-5 accuracy.</v>
      </c>
      <c r="K1933" t="str">
        <f>IFERROR(__xludf.DUMMYFUNCTION("""COMPUTED_VALUE"""),"While the Infomin principle seems powerful and their results look impressive, I am not really convinced that the principle actually played an important role in finding the image augmentations they ended up using, as there is little description of how that"&amp;" happened and the augmentations rather look like the result of combining previously used approaches and doing some hyperparameter optimization.")</f>
        <v>While the Infomin principle seems powerful and their results look impressive, I am not really convinced that the principle actually played an important role in finding the image augmentations they ended up using, as there is little description of how that happened and the augmentations rather look like the result of combining previously used approaches and doing some hyperparameter optimization.</v>
      </c>
      <c r="M1933" s="3" t="str">
        <f>IFERROR(__xludf.DUMMYFUNCTION("""COMPUTED_VALUE"""),"What makes for good views for contrastive learning")</f>
        <v>What makes for good views for contrastive learning</v>
      </c>
    </row>
    <row r="1934">
      <c r="A1934" t="str">
        <f>IFERROR(__xludf.DUMMYFUNCTION("""COMPUTED_VALUE"""),"Unsupervised learning")</f>
        <v>Unsupervised learning</v>
      </c>
      <c r="B1934" t="str">
        <f>IFERROR(__xludf.DUMMYFUNCTION("""COMPUTED_VALUE"""),"")</f>
        <v/>
      </c>
      <c r="C1934" s="3" t="str">
        <f>IFERROR(__xludf.DUMMYFUNCTION("""COMPUTED_VALUE"""),"Big Self-Supervised Models are Strong Semi-Supervised Learners")</f>
        <v>Big Self-Supervised Models are Strong Semi-Supervised Learners</v>
      </c>
      <c r="D1934" t="str">
        <f>IFERROR(__xludf.DUMMYFUNCTION("""COMPUTED_VALUE"""),"Ting Chen, Simon Kornblith, Kevin Swersky, Mohammad Norouzi, Geoffrey Hinton")</f>
        <v>Ting Chen, Simon Kornblith, Kevin Swersky, Mohammad Norouzi, Geoffrey Hinton</v>
      </c>
      <c r="E1934" t="str">
        <f>IFERROR(__xludf.DUMMYFUNCTION("""COMPUTED_VALUE"""),"arXiv")</f>
        <v>arXiv</v>
      </c>
      <c r="F1934">
        <f>IFERROR(__xludf.DUMMYFUNCTION("""COMPUTED_VALUE"""),2020.0)</f>
        <v>2020</v>
      </c>
      <c r="H1934" s="3" t="str">
        <f>IFERROR(__xludf.DUMMYFUNCTION("""COMPUTED_VALUE"""),"AN #106")</f>
        <v>AN #106</v>
      </c>
      <c r="I1934" t="str">
        <f>IFERROR(__xludf.DUMMYFUNCTION("""COMPUTED_VALUE"""),"Rohin")</f>
        <v>Rohin</v>
      </c>
      <c r="J1934" t="str">
        <f>IFERROR(__xludf.DUMMYFUNCTION("""COMPUTED_VALUE"""),"Previously, &lt;@SimCLR@&gt;(@A Simple Framework for Contrastive Learning of Visual Representations@) showed that you can get good results on semi-supervised learning on ImageNet, by first using self-supervised learning with a contrastive loss to learn good rep"&amp;"resentations for images, and then finetuning a classifier on top of the representations with very few labels. This paper reports a significantly improved score, using three main improvements:
1. Making all of the models larger (in particular, deeper).
2."&amp;" Incorporating momentum contrast, as done &lt;@previously@&gt;(@Improved Baselines with Momentum Contrastive Learning@).
3. Using model distillation to train a student network to mimic the original finetuned classifier.
On linear classification on top of learn"&amp;"ed features with a ResNet-50 architecture, they get a top-1 accuracy of 71.7%, so lower than the previous paper. Their main contribution is to show what can be done with larger models. According to top-1 accuracy on ImageNet, the resulting system gets 74."&amp;"9% with 1% of labels, and 80.1% with 10% of labels. In comparison, standard supervised learning with a ResNet-50 (which is about 33x smaller) achieves 76.6% with all labels, and just 57.9% with 1% of labels and 68.4% with 10% of labels. When they distill "&amp;"down their biggest model into a ResNet-50, it gets 73.9% with 1% of labels and 77.5% with 10% of labels.")</f>
        <v>Previously, &lt;@SimCLR@&gt;(@A Simple Framework for Contrastive Learning of Visual Representations@) showed that you can get good results on semi-supervised learning on ImageNet, by first using self-supervised learning with a contrastive loss to learn good representations for images, and then finetuning a classifier on top of the representations with very few labels. This paper reports a significantly improved score, using three main improvements:
1. Making all of the models larger (in particular, deeper).
2. Incorporating momentum contrast, as done &lt;@previously@&gt;(@Improved Baselines with Momentum Contrastive Learning@).
3. Using model distillation to train a student network to mimic the original finetuned classifier.
On linear classification on top of learned features with a ResNet-50 architecture, they get a top-1 accuracy of 71.7%, so lower than the previous paper. Their main contribution is to show what can be done with larger models. According to top-1 accuracy on ImageNet, the resulting system gets 74.9% with 1% of labels, and 80.1% with 10% of labels. In comparison, standard supervised learning with a ResNet-50 (which is about 33x smaller) achieves 76.6% with all labels, and just 57.9% with 1% of labels and 68.4% with 10% of labels. When they distill down their biggest model into a ResNet-50, it gets 73.9% with 1% of labels and 77.5% with 10% of labels.</v>
      </c>
      <c r="K1934" t="str">
        <f>IFERROR(__xludf.DUMMYFUNCTION("""COMPUTED_VALUE"""),"It continues to baffle me why model distillation is so helpful -- you’d think that if you train a student model to mimic a teacher model, it would do at most as well as the teacher, but in fact it seems to do better. It's remarkable that just ""training a"&amp;" bigger model and then distilling it down"" leads to an increase of _16 percentage points_ (when we just have 1% of the labels). Another thing to add to the list of weird empirical facts about deep learning that we don’t understand.")</f>
        <v>It continues to baffle me why model distillation is so helpful -- you’d think that if you train a student model to mimic a teacher model, it would do at most as well as the teacher, but in fact it seems to do better. It's remarkable that just "training a bigger model and then distilling it down" leads to an increase of _16 percentage points_ (when we just have 1% of the labels). Another thing to add to the list of weird empirical facts about deep learning that we don’t understand.</v>
      </c>
    </row>
    <row r="1935">
      <c r="A1935" t="str">
        <f>IFERROR(__xludf.DUMMYFUNCTION("""COMPUTED_VALUE"""),"Unsupervised learning")</f>
        <v>Unsupervised learning</v>
      </c>
      <c r="B1935" t="str">
        <f>IFERROR(__xludf.DUMMYFUNCTION("""COMPUTED_VALUE"""),"")</f>
        <v/>
      </c>
      <c r="C1935" s="3" t="str">
        <f>IFERROR(__xludf.DUMMYFUNCTION("""COMPUTED_VALUE"""),"A Simple Framework for Contrastive Learning of Visual Representations")</f>
        <v>A Simple Framework for Contrastive Learning of Visual Representations</v>
      </c>
      <c r="D1935" t="str">
        <f>IFERROR(__xludf.DUMMYFUNCTION("""COMPUTED_VALUE"""),"Ting Chen, Simon Kornblith, Mohammad Norouzi, Geoffrey Hinton")</f>
        <v>Ting Chen, Simon Kornblith, Mohammad Norouzi, Geoffrey Hinton</v>
      </c>
      <c r="E1935" t="str">
        <f>IFERROR(__xludf.DUMMYFUNCTION("""COMPUTED_VALUE"""),"arXiv")</f>
        <v>arXiv</v>
      </c>
      <c r="F1935">
        <f>IFERROR(__xludf.DUMMYFUNCTION("""COMPUTED_VALUE"""),2020.0)</f>
        <v>2020</v>
      </c>
      <c r="H1935" s="3" t="str">
        <f>IFERROR(__xludf.DUMMYFUNCTION("""COMPUTED_VALUE"""),"AN #99")</f>
        <v>AN #99</v>
      </c>
      <c r="I1935" t="str">
        <f>IFERROR(__xludf.DUMMYFUNCTION("""COMPUTED_VALUE"""),"Rohin/Flo")</f>
        <v>Rohin/Flo</v>
      </c>
      <c r="J1935" t="str">
        <f>IFERROR(__xludf.DUMMYFUNCTION("""COMPUTED_VALUE"""),"Contrastive learning is a major recent development, in which we train a neural net to learn representations by giving it the task of maximizing ""agreement"" between similar images, while minimizing it across dissimilar images. It has been used to achieve"&amp;" excellent results with semi-supervised learning on ImageNet.
The authors performed a large empirical study of contrastive learning. Their framework consists of three components. First, the _data augmentation method_ specifies how to get examples of ""si"&amp;"milar images"": we simply take an (unlabeled) training image, and apply data augmentations to it to create two images that both represent the same underlying image. They consider random crops, color distortion, and Gaussian blur. Second is the _neural net"&amp;"work architecture_, which is split into the first several layers f() which compute the representation from the input, and the last few layers g() which compute the similarity from the representation. Finally, the _contrastive loss function_ defines the pr"&amp;"oblem of maximizing agreement between similar images, while minimizing agreement between dissimilar images. They primarily use the same InfoNCE loss used in &lt;@CPC@&gt;(@Representation Learning with Contrastive Predictive Coding@).
They then show many empiri"&amp;"cal results, including:
1. Having a simple linear layer in g() is not as good as introducing one hidden layer, or in other words, the representations in the penultimate layer are more useful than those in the final layer.
2. Larger batch sizes, longer tra"&amp;"ining, and larger networks matter even more for unsupervised contrastive learning than they do for supervised learning.")</f>
        <v>Contrastive learning is a major recent development, in which we train a neural net to learn representations by giving it the task of maximizing "agreement" between similar images, while minimizing it across dissimilar images. It has been used to achieve excellent results with semi-supervised learning on ImageNet.
The authors performed a large empirical study of contrastive learning. Their framework consists of three components. First, the _data augmentation method_ specifies how to get examples of "similar images": we simply take an (unlabeled) training image, and apply data augmentations to it to create two images that both represent the same underlying image. They consider random crops, color distortion, and Gaussian blur. Second is the _neural network architecture_, which is split into the first several layers f() which compute the representation from the input, and the last few layers g() which compute the similarity from the representation. Finally, the _contrastive loss function_ defines the problem of maximizing agreement between similar images, while minimizing agreement between dissimilar images. They primarily use the same InfoNCE loss used in &lt;@CPC@&gt;(@Representation Learning with Contrastive Predictive Coding@).
They then show many empirical results, including:
1. Having a simple linear layer in g() is not as good as introducing one hidden layer, or in other words, the representations in the penultimate layer are more useful than those in the final layer.
2. Larger batch sizes, longer training, and larger networks matter even more for unsupervised contrastive learning than they do for supervised learning.</v>
      </c>
      <c r="K1935" t="str">
        <f>IFERROR(__xludf.DUMMYFUNCTION("""COMPUTED_VALUE"""),"As I (Flo) &lt;@previously@&gt;(@The Quiet Semi-Supervised Revolution@) argued, forcing representations to respect invariances in the task seems likely to yield further improvements when labelled data is sparse. However, my intuition is that invariances will be"&amp;" a lot harder to identify for RL or advanced NLP tasks like coming up with consistent novel arguments, so I am unsure how much these improvements will directly matter for our trajectory to transformative AI.")</f>
        <v>As I (Flo) &lt;@previously@&gt;(@The Quiet Semi-Supervised Revolution@) argued, forcing representations to respect invariances in the task seems likely to yield further improvements when labelled data is sparse. However, my intuition is that invariances will be a lot harder to identify for RL or advanced NLP tasks like coming up with consistent novel arguments, so I am unsure how much these improvements will directly matter for our trajectory to transformative AI.</v>
      </c>
      <c r="M1935" s="3" t="str">
        <f>IFERROR(__xludf.DUMMYFUNCTION("""COMPUTED_VALUE"""),"Advancing Self-Supervised and Semi-Supervised Learning with SimCLR")</f>
        <v>Advancing Self-Supervised and Semi-Supervised Learning with SimCLR</v>
      </c>
    </row>
    <row r="1936">
      <c r="A1936" t="str">
        <f>IFERROR(__xludf.DUMMYFUNCTION("""COMPUTED_VALUE"""),"Unsupervised learning")</f>
        <v>Unsupervised learning</v>
      </c>
      <c r="B1936" t="str">
        <f>IFERROR(__xludf.DUMMYFUNCTION("""COMPUTED_VALUE"""),"")</f>
        <v/>
      </c>
      <c r="C1936" s="3" t="str">
        <f>IFERROR(__xludf.DUMMYFUNCTION("""COMPUTED_VALUE"""),"Momentum Contrast for Unsupervised Visual Representation Learning")</f>
        <v>Momentum Contrast for Unsupervised Visual Representation Learning</v>
      </c>
      <c r="D1936" t="str">
        <f>IFERROR(__xludf.DUMMYFUNCTION("""COMPUTED_VALUE"""),"Kaiming He, Haoqi Fan, Yuxin Wu, Saining Xie, Ross Girshick")</f>
        <v>Kaiming He, Haoqi Fan, Yuxin Wu, Saining Xie, Ross Girshick</v>
      </c>
      <c r="E1936" t="str">
        <f>IFERROR(__xludf.DUMMYFUNCTION("""COMPUTED_VALUE"""),"arXiv")</f>
        <v>arXiv</v>
      </c>
      <c r="F1936">
        <f>IFERROR(__xludf.DUMMYFUNCTION("""COMPUTED_VALUE"""),2019.0)</f>
        <v>2019</v>
      </c>
      <c r="H1936" s="3" t="str">
        <f>IFERROR(__xludf.DUMMYFUNCTION("""COMPUTED_VALUE"""),"AN #99")</f>
        <v>AN #99</v>
      </c>
      <c r="I1936" t="str">
        <f>IFERROR(__xludf.DUMMYFUNCTION("""COMPUTED_VALUE"""),"Rohin")</f>
        <v>Rohin</v>
      </c>
      <c r="J1936" t="str">
        <f>IFERROR(__xludf.DUMMYFUNCTION("""COMPUTED_VALUE"""),"In most deep learning settings, the batch size primarily controls the variance of the gradient, with higher batch sizes decreasing variance. However, with typical contrastive learning, batch size also determines the _task_: typically, the task is to maxim"&amp;"ize agreement between two examples in the batch, and minimize agreement with all the other examples in the batch. Put another way, given one input, you have to correctly classify which of the remaining examples in the minibatch is a differently transforme"&amp;"d version of that input. So, the batch size determines the number of negative examples.
So, besides decreasing variance, large batch sizes also increase the difficulty of the task to be solved. However, such large batch sizes are hard to fit into memory "&amp;"and are computationally expensive. This paper proposes _momentum contrast_ (MoCo), in which we get large numbers of negative examples for contrastive learning, while allowing for small batch sizes.
Think of contrastive learning as a dictionary lookup tas"&amp;"k -- given one transformed image (the query), you want to find the same image transformed in a different way out of a large list of images (the keys). The key idea of this paper is to have the minibatch contain queries, while using all of the previous N m"&amp;"inibatches as the keys (for some N &gt; 1), allowing for many negative examples with a relatively small minibatch.
Of course, this wouldn't help us if we had to encode the keys again each time we trained on a new minibatch. So, instead of storing the images"&amp;" directly as keys, we store their _encoded representations_ in the dictionary, ensuring that we don't have to rerun the encoder every iteration on all of the keys. This is where the computational savings come from.
However, the encoder is being updated o"&amp;"ver time, which means that different keys are being encoded differently, and there isn't a consistent kind of representation against which similarity can be computed. To solve this, the authors use a momentum-based version of the encoder to encode keys, w"&amp;"hich ensures that the key encodings change slowly and smoothly, while allowing the query encoder to change rapidly. This means that the query representation and the key representations will be different, but the layers on top of the representations can le"&amp;"arn to deal with that. What's important is that _within_ the key representations, the representations are approximately consistent.")</f>
        <v>In most deep learning settings, the batch size primarily controls the variance of the gradient, with higher batch sizes decreasing variance. However, with typical contrastive learning, batch size also determines the _task_: typically, the task is to maximize agreement between two examples in the batch, and minimize agreement with all the other examples in the batch. Put another way, given one input, you have to correctly classify which of the remaining examples in the minibatch is a differently transformed version of that input. So, the batch size determines the number of negative examples.
So, besides decreasing variance, large batch sizes also increase the difficulty of the task to be solved. However, such large batch sizes are hard to fit into memory and are computationally expensive. This paper proposes _momentum contrast_ (MoCo), in which we get large numbers of negative examples for contrastive learning, while allowing for small batch sizes.
Think of contrastive learning as a dictionary lookup task -- given one transformed image (the query), you want to find the same image transformed in a different way out of a large list of images (the keys). The key idea of this paper is to have the minibatch contain queries, while using all of the previous N minibatches as the keys (for some N &gt; 1), allowing for many negative examples with a relatively small minibatch.
Of course, this wouldn't help us if we had to encode the keys again each time we trained on a new minibatch. So, instead of storing the images directly as keys, we store their _encoded representations_ in the dictionary, ensuring that we don't have to rerun the encoder every iteration on all of the keys. This is where the computational savings come from.
However, the encoder is being updated over time, which means that different keys are being encoded differently, and there isn't a consistent kind of representation against which similarity can be computed. To solve this, the authors use a momentum-based version of the encoder to encode keys, which ensures that the key encodings change slowly and smoothly, while allowing the query encoder to change rapidly. This means that the query representation and the key representations will be different, but the layers on top of the representations can learn to deal with that. What's important is that _within_ the key representations, the representations are approximately consistent.</v>
      </c>
    </row>
    <row r="1937">
      <c r="A1937" t="str">
        <f>IFERROR(__xludf.DUMMYFUNCTION("""COMPUTED_VALUE"""),"Unsupervised learning")</f>
        <v>Unsupervised learning</v>
      </c>
      <c r="B1937" t="str">
        <f>IFERROR(__xludf.DUMMYFUNCTION("""COMPUTED_VALUE"""),"")</f>
        <v/>
      </c>
      <c r="C1937" s="3" t="str">
        <f>IFERROR(__xludf.DUMMYFUNCTION("""COMPUTED_VALUE"""),"Improved Baselines with Momentum Contrastive Learning")</f>
        <v>Improved Baselines with Momentum Contrastive Learning</v>
      </c>
      <c r="D1937" t="str">
        <f>IFERROR(__xludf.DUMMYFUNCTION("""COMPUTED_VALUE"""),"Xinlei Chen, Haoqi Fan, Ross Girshick, Kaiming He")</f>
        <v>Xinlei Chen, Haoqi Fan, Ross Girshick, Kaiming He</v>
      </c>
      <c r="E1937" t="str">
        <f>IFERROR(__xludf.DUMMYFUNCTION("""COMPUTED_VALUE"""),"arXiv")</f>
        <v>arXiv</v>
      </c>
      <c r="F1937">
        <f>IFERROR(__xludf.DUMMYFUNCTION("""COMPUTED_VALUE"""),2020.0)</f>
        <v>2020</v>
      </c>
      <c r="H1937" s="3" t="str">
        <f>IFERROR(__xludf.DUMMYFUNCTION("""COMPUTED_VALUE"""),"AN #99")</f>
        <v>AN #99</v>
      </c>
      <c r="I1937" t="str">
        <f>IFERROR(__xludf.DUMMYFUNCTION("""COMPUTED_VALUE"""),"Rohin")</f>
        <v>Rohin</v>
      </c>
      <c r="J1937" t="str">
        <f>IFERROR(__xludf.DUMMYFUNCTION("""COMPUTED_VALUE"""),"This paper applies the insights from the SimCLR paper to the MoCo framework: it adds an extra hidden layer on top of the representations while training on the contrastive loss, and adds the blur data augmentation. This results in a new SOTA on self-superv"&amp;"ised representation learning for images.")</f>
        <v>This paper applies the insights from the SimCLR paper to the MoCo framework: it adds an extra hidden layer on top of the representations while training on the contrastive loss, and adds the blur data augmentation. This results in a new SOTA on self-supervised representation learning for images.</v>
      </c>
    </row>
    <row r="1938">
      <c r="A1938" t="str">
        <f>IFERROR(__xludf.DUMMYFUNCTION("""COMPUTED_VALUE"""),"Unsupervised learning")</f>
        <v>Unsupervised learning</v>
      </c>
      <c r="B1938" t="str">
        <f>IFERROR(__xludf.DUMMYFUNCTION("""COMPUTED_VALUE"""),"")</f>
        <v/>
      </c>
      <c r="C1938" s="3" t="str">
        <f>IFERROR(__xludf.DUMMYFUNCTION("""COMPUTED_VALUE"""),"Learning deep representations by mutual information estimation and maximization")</f>
        <v>Learning deep representations by mutual information estimation and maximization</v>
      </c>
      <c r="D1938" t="str">
        <f>IFERROR(__xludf.DUMMYFUNCTION("""COMPUTED_VALUE"""),"R Devon Hjelm, Alex Fedorov, Samuel Lavoie-Marchildon, Karan Grewal, Phil Bachman, Adam Trischler, Yoshua Bengio")</f>
        <v>R Devon Hjelm, Alex Fedorov, Samuel Lavoie-Marchildon, Karan Grewal, Phil Bachman, Adam Trischler, Yoshua Bengio</v>
      </c>
      <c r="E1938" t="str">
        <f>IFERROR(__xludf.DUMMYFUNCTION("""COMPUTED_VALUE"""),"2018 EMNLP Workshop on Analyzing and Interpreting Neural Networks for NLP")</f>
        <v>2018 EMNLP Workshop on Analyzing and Interpreting Neural Networks for NLP</v>
      </c>
      <c r="F1938">
        <f>IFERROR(__xludf.DUMMYFUNCTION("""COMPUTED_VALUE"""),2018.0)</f>
        <v>2018</v>
      </c>
      <c r="H1938" s="3" t="str">
        <f>IFERROR(__xludf.DUMMYFUNCTION("""COMPUTED_VALUE"""),"AN #21")</f>
        <v>AN #21</v>
      </c>
    </row>
    <row r="1939">
      <c r="A1939" t="str">
        <f>IFERROR(__xludf.DUMMYFUNCTION("""COMPUTED_VALUE"""),"Unsupervised learning")</f>
        <v>Unsupervised learning</v>
      </c>
      <c r="B1939" t="str">
        <f>IFERROR(__xludf.DUMMYFUNCTION("""COMPUTED_VALUE"""),"")</f>
        <v/>
      </c>
      <c r="C1939" s="3" t="str">
        <f>IFERROR(__xludf.DUMMYFUNCTION("""COMPUTED_VALUE"""),"Life-Long Disentangled Representation Learning with Cross-Domain Latent Homologies")</f>
        <v>Life-Long Disentangled Representation Learning with Cross-Domain Latent Homologies</v>
      </c>
      <c r="D1939" t="str">
        <f>IFERROR(__xludf.DUMMYFUNCTION("""COMPUTED_VALUE"""),"Alessandro Achille, Tom Eccles, Loic Matthey, Christopher P. Burgess, Nick Watters, Alexander Lerchner, Irina Higgins")</f>
        <v>Alessandro Achille, Tom Eccles, Loic Matthey, Christopher P. Burgess, Nick Watters, Alexander Lerchner, Irina Higgins</v>
      </c>
      <c r="E1939" t="str">
        <f>IFERROR(__xludf.DUMMYFUNCTION("""COMPUTED_VALUE"""),"arXiv")</f>
        <v>arXiv</v>
      </c>
      <c r="F1939">
        <f>IFERROR(__xludf.DUMMYFUNCTION("""COMPUTED_VALUE"""),2018.0)</f>
        <v>2018</v>
      </c>
      <c r="H1939" s="3" t="str">
        <f>IFERROR(__xludf.DUMMYFUNCTION("""COMPUTED_VALUE"""),"AN #21")</f>
        <v>AN #21</v>
      </c>
    </row>
    <row r="1940">
      <c r="A1940" t="str">
        <f>IFERROR(__xludf.DUMMYFUNCTION("""COMPUTED_VALUE"""),"Unsupervised learning")</f>
        <v>Unsupervised learning</v>
      </c>
      <c r="B1940" t="str">
        <f>IFERROR(__xludf.DUMMYFUNCTION("""COMPUTED_VALUE"""),"")</f>
        <v/>
      </c>
      <c r="C1940" s="3" t="str">
        <f>IFERROR(__xludf.DUMMYFUNCTION("""COMPUTED_VALUE"""),"Unsupervised Learning of Visual Features by Contrasting Cluster Assignments")</f>
        <v>Unsupervised Learning of Visual Features by Contrasting Cluster Assignments</v>
      </c>
      <c r="D1940" t="str">
        <f>IFERROR(__xludf.DUMMYFUNCTION("""COMPUTED_VALUE"""),"Mathilde Caron, Ishan Misra, Julien Mairal, Priya Goyal, Piotr Bojanowski, Armand Joulin")</f>
        <v>Mathilde Caron, Ishan Misra, Julien Mairal, Priya Goyal, Piotr Bojanowski, Armand Joulin</v>
      </c>
      <c r="E1940" t="str">
        <f>IFERROR(__xludf.DUMMYFUNCTION("""COMPUTED_VALUE"""),"arXiv")</f>
        <v>arXiv</v>
      </c>
      <c r="F1940">
        <f>IFERROR(__xludf.DUMMYFUNCTION("""COMPUTED_VALUE"""),2020.0)</f>
        <v>2020</v>
      </c>
      <c r="H1940" s="3" t="str">
        <f>IFERROR(__xludf.DUMMYFUNCTION("""COMPUTED_VALUE"""),"AN #106")</f>
        <v>AN #106</v>
      </c>
      <c r="I1940" t="str">
        <f>IFERROR(__xludf.DUMMYFUNCTION("""COMPUTED_VALUE"""),"Rohin")</f>
        <v>Rohin</v>
      </c>
      <c r="J1940" t="str">
        <f>IFERROR(__xludf.DUMMYFUNCTION("""COMPUTED_VALUE"""),"There has been a lot of work in self-supervised representation learning for image classification (previously summarized in [AN #92](https://mailchi.mp/d7e950bc8dbd/an-92learning-good-representations-with-contrastive-predictive-coding) and [AN #99](https:/"&amp;"/mailchi.mp/4f7ffc5cbe53/an-99-doubling-times-for-the-efficiency-of-ai-algorithms)). This paper sets a new SOTA of 75.3% top-1 ImageNet accuracy, when allowed to first do self-supervised representation learning on ImageNet, and then to train a linear clas"&amp;"sifier on top of the learned features using all of ImageNet.
Previous methods use a contrastive loss across the learned representations (possibly after being processed by a few MLP layers), which can be thought of as using the learned representation to p"&amp;"redict the representation of augmented versions of the same input. In contrast, this paper uses the representation to predict “codes” of augmented versions, where the codes are computed using clustering.")</f>
        <v>There has been a lot of work in self-supervised representation learning for image classification (previously summarized in [AN #92](https://mailchi.mp/d7e950bc8dbd/an-92learning-good-representations-with-contrastive-predictive-coding) and [AN #99](https://mailchi.mp/4f7ffc5cbe53/an-99-doubling-times-for-the-efficiency-of-ai-algorithms)). This paper sets a new SOTA of 75.3% top-1 ImageNet accuracy, when allowed to first do self-supervised representation learning on ImageNet, and then to train a linear classifier on top of the learned features using all of ImageNet.
Previous methods use a contrastive loss across the learned representations (possibly after being processed by a few MLP layers), which can be thought of as using the learned representation to predict the representation of augmented versions of the same input. In contrast, this paper uses the representation to predict “codes” of augmented versions, where the codes are computed using clustering.</v>
      </c>
      <c r="K1940" t="str">
        <f>IFERROR(__xludf.DUMMYFUNCTION("""COMPUTED_VALUE"""),"I’m not sure why we should expect this method to work, but empirically it does. Presumably I’d understand the motivation better if I read through all the related work it’s building on.")</f>
        <v>I’m not sure why we should expect this method to work, but empirically it does. Presumably I’d understand the motivation better if I read through all the related work it’s building on.</v>
      </c>
    </row>
    <row r="1941">
      <c r="A1941" t="str">
        <f>IFERROR(__xludf.DUMMYFUNCTION("""COMPUTED_VALUE"""),"Unsupervised learning")</f>
        <v>Unsupervised learning</v>
      </c>
      <c r="B1941" t="str">
        <f>IFERROR(__xludf.DUMMYFUNCTION("""COMPUTED_VALUE"""),"")</f>
        <v/>
      </c>
      <c r="C1941" s="3" t="str">
        <f>IFERROR(__xludf.DUMMYFUNCTION("""COMPUTED_VALUE"""),"Robots that Learn to Use Improvised Tools")</f>
        <v>Robots that Learn to Use Improvised Tools</v>
      </c>
      <c r="D1941" t="str">
        <f>IFERROR(__xludf.DUMMYFUNCTION("""COMPUTED_VALUE"""),"Annie Xie,  Frederik Ebert, Sergey Levine, Chelsea Finn")</f>
        <v>Annie Xie,  Frederik Ebert, Sergey Levine, Chelsea Finn</v>
      </c>
      <c r="E1941" t="str">
        <f>IFERROR(__xludf.DUMMYFUNCTION("""COMPUTED_VALUE"""),"BAIR Blog")</f>
        <v>BAIR Blog</v>
      </c>
      <c r="F1941">
        <f>IFERROR(__xludf.DUMMYFUNCTION("""COMPUTED_VALUE"""),2019.0)</f>
        <v>2019</v>
      </c>
      <c r="H1941" s="3" t="str">
        <f>IFERROR(__xludf.DUMMYFUNCTION("""COMPUTED_VALUE"""),"AN #55")</f>
        <v>AN #55</v>
      </c>
    </row>
    <row r="1942">
      <c r="A1942" t="str">
        <f>IFERROR(__xludf.DUMMYFUNCTION("""COMPUTED_VALUE"""),"Unsupervised learning")</f>
        <v>Unsupervised learning</v>
      </c>
      <c r="B1942" t="str">
        <f>IFERROR(__xludf.DUMMYFUNCTION("""COMPUTED_VALUE"""),"")</f>
        <v/>
      </c>
      <c r="C1942" s="3" t="str">
        <f>IFERROR(__xludf.DUMMYFUNCTION("""COMPUTED_VALUE"""),"Toward an AI Physicist for Unsupervised Learning")</f>
        <v>Toward an AI Physicist for Unsupervised Learning</v>
      </c>
      <c r="D1942" t="str">
        <f>IFERROR(__xludf.DUMMYFUNCTION("""COMPUTED_VALUE"""),"Tailin Wu and Max Tegmark")</f>
        <v>Tailin Wu and Max Tegmark</v>
      </c>
      <c r="E1942" t="str">
        <f>IFERROR(__xludf.DUMMYFUNCTION("""COMPUTED_VALUE"""),"arXiv")</f>
        <v>arXiv</v>
      </c>
      <c r="F1942">
        <f>IFERROR(__xludf.DUMMYFUNCTION("""COMPUTED_VALUE"""),2018.0)</f>
        <v>2018</v>
      </c>
      <c r="H1942" s="3" t="str">
        <f>IFERROR(__xludf.DUMMYFUNCTION("""COMPUTED_VALUE"""),"AN #31")</f>
        <v>AN #31</v>
      </c>
    </row>
    <row r="1943">
      <c r="A1943" t="str">
        <f>IFERROR(__xludf.DUMMYFUNCTION("""COMPUTED_VALUE"""),"Unsupervised learning")</f>
        <v>Unsupervised learning</v>
      </c>
      <c r="B1943" t="str">
        <f>IFERROR(__xludf.DUMMYFUNCTION("""COMPUTED_VALUE"""),"")</f>
        <v/>
      </c>
      <c r="C1943" s="3" t="str">
        <f>IFERROR(__xludf.DUMMYFUNCTION("""COMPUTED_VALUE"""),"Unsupervised Learning of Syntactic Structure with Invertible Neural Projections")</f>
        <v>Unsupervised Learning of Syntactic Structure with Invertible Neural Projections</v>
      </c>
      <c r="D1943" t="str">
        <f>IFERROR(__xludf.DUMMYFUNCTION("""COMPUTED_VALUE"""),"Junxian He, Graham Neubig, Taylor Berg-Kirkpatrick")</f>
        <v>Junxian He, Graham Neubig, Taylor Berg-Kirkpatrick</v>
      </c>
      <c r="E1943" t="str">
        <f>IFERROR(__xludf.DUMMYFUNCTION("""COMPUTED_VALUE"""),"NIPS 2018")</f>
        <v>NIPS 2018</v>
      </c>
      <c r="F1943">
        <f>IFERROR(__xludf.DUMMYFUNCTION("""COMPUTED_VALUE"""),2018.0)</f>
        <v>2018</v>
      </c>
      <c r="H1943" s="3" t="str">
        <f>IFERROR(__xludf.DUMMYFUNCTION("""COMPUTED_VALUE"""),"AN #22")</f>
        <v>AN #22</v>
      </c>
    </row>
    <row r="1944">
      <c r="A1944" t="str">
        <f>IFERROR(__xludf.DUMMYFUNCTION("""COMPUTED_VALUE"""),"Value learning sequence")</f>
        <v>Value learning sequence</v>
      </c>
      <c r="B1944" t="str">
        <f>IFERROR(__xludf.DUMMYFUNCTION("""COMPUTED_VALUE"""),"")</f>
        <v/>
      </c>
      <c r="C1944" s="3" t="str">
        <f>IFERROR(__xludf.DUMMYFUNCTION("""COMPUTED_VALUE"""),"Conclusion to the sequence on value learning")</f>
        <v>Conclusion to the sequence on value learning</v>
      </c>
      <c r="D1944" t="str">
        <f>IFERROR(__xludf.DUMMYFUNCTION("""COMPUTED_VALUE"""),"Rohin Shah")</f>
        <v>Rohin Shah</v>
      </c>
      <c r="E1944" t="str">
        <f>IFERROR(__xludf.DUMMYFUNCTION("""COMPUTED_VALUE"""),"Alignment Forum")</f>
        <v>Alignment Forum</v>
      </c>
      <c r="F1944">
        <f>IFERROR(__xludf.DUMMYFUNCTION("""COMPUTED_VALUE"""),2019.0)</f>
        <v>2019</v>
      </c>
      <c r="H1944" s="3" t="str">
        <f>IFERROR(__xludf.DUMMYFUNCTION("""COMPUTED_VALUE"""),"AN #44")</f>
        <v>AN #44</v>
      </c>
      <c r="I1944" t="str">
        <f>IFERROR(__xludf.DUMMYFUNCTION("""COMPUTED_VALUE"""),"Rohin")</f>
        <v>Rohin</v>
      </c>
      <c r="J1944" t="str">
        <f>IFERROR(__xludf.DUMMYFUNCTION("""COMPUTED_VALUE"""),"This post summarizes the value learning sequence, putting emphasis on particular parts. I recommend reading it in full -- the sequence did have an overarching story, which was likely hard to keep track of over the three months that it was being published.")</f>
        <v>This post summarizes the value learning sequence, putting emphasis on particular parts. I recommend reading it in full -- the sequence did have an overarching story, which was likely hard to keep track of over the three months that it was being published.</v>
      </c>
    </row>
    <row r="1945">
      <c r="A1945" t="str">
        <f>IFERROR(__xludf.DUMMYFUNCTION("""COMPUTED_VALUE"""),"Value learning sequence")</f>
        <v>Value learning sequence</v>
      </c>
      <c r="B1945" t="str">
        <f>IFERROR(__xludf.DUMMYFUNCTION("""COMPUTED_VALUE"""),"")</f>
        <v/>
      </c>
      <c r="C1945" s="3" t="str">
        <f>IFERROR(__xludf.DUMMYFUNCTION("""COMPUTED_VALUE"""),"Future directions for narrow value learning")</f>
        <v>Future directions for narrow value learning</v>
      </c>
      <c r="D1945" t="str">
        <f>IFERROR(__xludf.DUMMYFUNCTION("""COMPUTED_VALUE"""),"Rohin Shah")</f>
        <v>Rohin Shah</v>
      </c>
      <c r="E1945" t="str">
        <f>IFERROR(__xludf.DUMMYFUNCTION("""COMPUTED_VALUE"""),"Alignment Forum")</f>
        <v>Alignment Forum</v>
      </c>
      <c r="F1945">
        <f>IFERROR(__xludf.DUMMYFUNCTION("""COMPUTED_VALUE"""),2019.0)</f>
        <v>2019</v>
      </c>
      <c r="H1945" s="3" t="str">
        <f>IFERROR(__xludf.DUMMYFUNCTION("""COMPUTED_VALUE"""),"AN #43")</f>
        <v>AN #43</v>
      </c>
      <c r="I1945" t="str">
        <f>IFERROR(__xludf.DUMMYFUNCTION("""COMPUTED_VALUE"""),"Rohin")</f>
        <v>Rohin</v>
      </c>
      <c r="J1945" t="str">
        <f>IFERROR(__xludf.DUMMYFUNCTION("""COMPUTED_VALUE"""),"This post summarizes some future directions for narrow value learning that I'm particularly interested in from a long-term perspective.")</f>
        <v>This post summarizes some future directions for narrow value learning that I'm particularly interested in from a long-term perspective.</v>
      </c>
    </row>
    <row r="1946">
      <c r="A1946" t="str">
        <f>IFERROR(__xludf.DUMMYFUNCTION("""COMPUTED_VALUE"""),"Value learning sequence")</f>
        <v>Value learning sequence</v>
      </c>
      <c r="B1946" t="str">
        <f>IFERROR(__xludf.DUMMYFUNCTION("""COMPUTED_VALUE"""),"")</f>
        <v/>
      </c>
      <c r="C1946" s="3" t="str">
        <f>IFERROR(__xludf.DUMMYFUNCTION("""COMPUTED_VALUE"""),"The human side of interaction")</f>
        <v>The human side of interaction</v>
      </c>
      <c r="D1946" t="str">
        <f>IFERROR(__xludf.DUMMYFUNCTION("""COMPUTED_VALUE"""),"Rohin Shah")</f>
        <v>Rohin Shah</v>
      </c>
      <c r="E1946" t="str">
        <f>IFERROR(__xludf.DUMMYFUNCTION("""COMPUTED_VALUE"""),"Alignment Forum")</f>
        <v>Alignment Forum</v>
      </c>
      <c r="F1946">
        <f>IFERROR(__xludf.DUMMYFUNCTION("""COMPUTED_VALUE"""),2019.0)</f>
        <v>2019</v>
      </c>
      <c r="H1946" s="3" t="str">
        <f>IFERROR(__xludf.DUMMYFUNCTION("""COMPUTED_VALUE"""),"AN #43")</f>
        <v>AN #43</v>
      </c>
      <c r="I1946" t="str">
        <f>IFERROR(__xludf.DUMMYFUNCTION("""COMPUTED_VALUE"""),"Rohin")</f>
        <v>Rohin</v>
      </c>
      <c r="J1946" t="str">
        <f>IFERROR(__xludf.DUMMYFUNCTION("""COMPUTED_VALUE"""),"The lens of [human-AI interaction](https://www.alignmentforum.org/posts/4783ufKpx8xvLMPc6/human-ai-interaction) ([AN #41](https://mailchi.mp/8c3f02cabccd/alignment-newsletter-41)) also suggests that we should focus on what the _human_ should do in AI alig"&amp;"nment.
Any feedback that the AI system gets must be interpreted using some assumption. For example, when a human provides an AI system a reward function, it shouldn't be interpreted as a description of optimal behavior in every possible situation (which "&amp;"is what we currently do implicitly). [Inverse Reward Design](https://arxiv.org/abs/1711.02827) (IRD) suggests an alternative, more realistic assumption: the reward function is likely to the extent that it leads to high true utility in the training environ"&amp;"ment. Similarly, in inverse reinforcement learning (IRL) human demonstrations are often interpreted under the assumption of Boltzmann rationality.
Analogously, we may also want to train humans to give feedback to AI systems in the manner that they are ex"&amp;"pecting. With IRD, the reward designer should make sure to test the reward function extensively in the training environment. If we want our AI system to help us with long-term goals, we may want the overseers to be much more cautious and uncertain in thei"&amp;"r feedback (depending on how such feedback is interpreted). Techniques that learn to reason like humans, such as iterated amplification and debate, would by default learn to interpret feedback the way humans do. Nevertheless it will probably be useful to "&amp;"train humans to provide useful feedback: for example, in debate, we want humans to judge which side provided more true and useful information.")</f>
        <v>The lens of [human-AI interaction](https://www.alignmentforum.org/posts/4783ufKpx8xvLMPc6/human-ai-interaction) ([AN #41](https://mailchi.mp/8c3f02cabccd/alignment-newsletter-41)) also suggests that we should focus on what the _human_ should do in AI alignment.
Any feedback that the AI system gets must be interpreted using some assumption. For example, when a human provides an AI system a reward function, it shouldn't be interpreted as a description of optimal behavior in every possible situation (which is what we currently do implicitly). [Inverse Reward Design](https://arxiv.org/abs/1711.02827) (IRD) suggests an alternative, more realistic assumption: the reward function is likely to the extent that it leads to high true utility in the training environment. Similarly, in inverse reinforcement learning (IRL) human demonstrations are often interpreted under the assumption of Boltzmann rationality.
Analogously, we may also want to train humans to give feedback to AI systems in the manner that they are expecting. With IRD, the reward designer should make sure to test the reward function extensively in the training environment. If we want our AI system to help us with long-term goals, we may want the overseers to be much more cautious and uncertain in their feedback (depending on how such feedback is interpreted). Techniques that learn to reason like humans, such as iterated amplification and debate, would by default learn to interpret feedback the way humans do. Nevertheless it will probably be useful to train humans to provide useful feedback: for example, in debate, we want humans to judge which side provided more true and useful information.</v>
      </c>
    </row>
    <row r="1947">
      <c r="A1947" t="str">
        <f>IFERROR(__xludf.DUMMYFUNCTION("""COMPUTED_VALUE"""),"Value learning sequence")</f>
        <v>Value learning sequence</v>
      </c>
      <c r="B1947" t="str">
        <f>IFERROR(__xludf.DUMMYFUNCTION("""COMPUTED_VALUE"""),"")</f>
        <v/>
      </c>
      <c r="C1947" s="3" t="str">
        <f>IFERROR(__xludf.DUMMYFUNCTION("""COMPUTED_VALUE"""),"Following human norms")</f>
        <v>Following human norms</v>
      </c>
      <c r="D1947" t="str">
        <f>IFERROR(__xludf.DUMMYFUNCTION("""COMPUTED_VALUE"""),"Rohin Shah")</f>
        <v>Rohin Shah</v>
      </c>
      <c r="E1947" t="str">
        <f>IFERROR(__xludf.DUMMYFUNCTION("""COMPUTED_VALUE"""),"Alignment Forum")</f>
        <v>Alignment Forum</v>
      </c>
      <c r="F1947">
        <f>IFERROR(__xludf.DUMMYFUNCTION("""COMPUTED_VALUE"""),2019.0)</f>
        <v>2019</v>
      </c>
      <c r="H1947" s="3" t="str">
        <f>IFERROR(__xludf.DUMMYFUNCTION("""COMPUTED_VALUE"""),"AN #42")</f>
        <v>AN #42</v>
      </c>
      <c r="I1947" t="str">
        <f>IFERROR(__xludf.DUMMYFUNCTION("""COMPUTED_VALUE"""),"Rohin")</f>
        <v>Rohin</v>
      </c>
      <c r="J1947" t="str">
        <f>IFERROR(__xludf.DUMMYFUNCTION("""COMPUTED_VALUE"""),"One approach to preventing catastrophe is to constrain the AI system to never take catastrophic actions, and not focus as much on what to do (which will be solved by progress in AI more generally). In this setting, we hope that our AI systems accelerate o"&amp;"ur rate of progress, but we remain in control and use AI systems as tools that allow us make better decisions and better technologies. Impact measures / side effect penalties aim to _define_ what not to do. What if we instead _learn_ what not to do? This "&amp;"could look like inferring and following human norms, along the lines of [ad hoc teamwork](http://www.cs.utexas.edu/users/ai-lab/?AdHocTeam).
This is different from narrow value learning for a few reasons. First, narrow value learning also learns what _to"&amp;"_ do. Second, it seems likely that norm inference only gives good results in the context of groups of agents, while narrow value learning could be applied in singe agent settings.
The main advantages of learning norms is that this is something that human"&amp;"s do quite well, so it may be significantly easier than learning ""values"". In addition, this approach is very similar to our ways of preventing humans from doing catastrophic things: there is a shared, external system of norms that everyone is expected "&amp;"to follow. However, norm following is a weaker standard than [ambitious value learning](https://www.alignmentforum.org/s/4dHMdK5TLN6xcqtyc/p/5eX8ko7GCxwR5N9mN) ([AN #31](https://mailchi.mp/7d0e3916e3d9/alignment-newsletter-31)), and there are more problem"&amp;"s as a result. Most notably, powerful AI systems will lead to rapidly evolving technologies, that cause big changes in the environment that might require new norms; norm-following AI systems may not be able to create or adapt to these new norms.")</f>
        <v>One approach to preventing catastrophe is to constrain the AI system to never take catastrophic actions, and not focus as much on what to do (which will be solved by progress in AI more generally). In this setting, we hope that our AI systems accelerate our rate of progress, but we remain in control and use AI systems as tools that allow us make better decisions and better technologies. Impact measures / side effect penalties aim to _define_ what not to do. What if we instead _learn_ what not to do? This could look like inferring and following human norms, along the lines of [ad hoc teamwork](http://www.cs.utexas.edu/users/ai-lab/?AdHocTeam).
This is different from narrow value learning for a few reasons. First, narrow value learning also learns what _to_ do. Second, it seems likely that norm inference only gives good results in the context of groups of agents, while narrow value learning could be applied in singe agent settings.
The main advantages of learning norms is that this is something that humans do quite well, so it may be significantly easier than learning "values". In addition, this approach is very similar to our ways of preventing humans from doing catastrophic things: there is a shared, external system of norms that everyone is expected to follow. However, norm following is a weaker standard than [ambitious value learning](https://www.alignmentforum.org/s/4dHMdK5TLN6xcqtyc/p/5eX8ko7GCxwR5N9mN) ([AN #31](https://mailchi.mp/7d0e3916e3d9/alignment-newsletter-31)), and there are more problems as a result. Most notably, powerful AI systems will lead to rapidly evolving technologies, that cause big changes in the environment that might require new norms; norm-following AI systems may not be able to create or adapt to these new norms.</v>
      </c>
    </row>
    <row r="1948">
      <c r="A1948" t="str">
        <f>IFERROR(__xludf.DUMMYFUNCTION("""COMPUTED_VALUE"""),"Value learning sequence")</f>
        <v>Value learning sequence</v>
      </c>
      <c r="B1948" t="str">
        <f>IFERROR(__xludf.DUMMYFUNCTION("""COMPUTED_VALUE"""),"")</f>
        <v/>
      </c>
      <c r="C1948" s="3" t="str">
        <f>IFERROR(__xludf.DUMMYFUNCTION("""COMPUTED_VALUE"""),"Reward uncertainty")</f>
        <v>Reward uncertainty</v>
      </c>
      <c r="D1948" t="str">
        <f>IFERROR(__xludf.DUMMYFUNCTION("""COMPUTED_VALUE"""),"Rohin Shah")</f>
        <v>Rohin Shah</v>
      </c>
      <c r="E1948" t="str">
        <f>IFERROR(__xludf.DUMMYFUNCTION("""COMPUTED_VALUE"""),"Alignment Forum")</f>
        <v>Alignment Forum</v>
      </c>
      <c r="F1948">
        <f>IFERROR(__xludf.DUMMYFUNCTION("""COMPUTED_VALUE"""),2019.0)</f>
        <v>2019</v>
      </c>
      <c r="H1948" s="3" t="str">
        <f>IFERROR(__xludf.DUMMYFUNCTION("""COMPUTED_VALUE"""),"AN #42")</f>
        <v>AN #42</v>
      </c>
      <c r="I1948" t="str">
        <f>IFERROR(__xludf.DUMMYFUNCTION("""COMPUTED_VALUE"""),"Rohin")</f>
        <v>Rohin</v>
      </c>
      <c r="J1948" t="str">
        <f>IFERROR(__xludf.DUMMYFUNCTION("""COMPUTED_VALUE"""),"Given that we need human feedback for the AI system to stay ""on track"" as the environment changes, we might design a system that keeps an estimate of the reward, chooses actions that optimize that reward, but also updates the reward over time based on f"&amp;"eedback. This has a few issues: it typically assumes that the human Alice knows the true reward function, it makes a possibly-incorrect assumption about the meaning of Alice's feedback, and the AI system still looks like a long-term goal-directed agent wh"&amp;"ere the goal is the current reward estimate.
This post takes the above AI system and considers what happens if you have a distribution over reward functions instead of a point estimate, and during action selection you take into account future updates to "&amp;"the distribution. (This is the setup of [Cooperative Inverse Reinforcement Learning](https://arxiv.org/abs/1606.03137).) While we still assume that Alice knows the true reward function, and we still require an assumption about the meaning of Alice's feedb"&amp;"ack, the resulting system looks less like a goal-directed agent.
In particular, the system no longer has an incentive to disable the system that learns values from feedback: while previously it changed the AI system's goal (a negative effect from the goa"&amp;"l's perspective), now it provides more information about the goal (a positive effect). In addition, the system has more of an incentive to let itself be shut down. If a human is about to shut it down, it should update strongly that whatever it was doing w"&amp;"as very bad, causing a drastic update on reward functions. It may still prevent us from shutting it down, but it will at least stop doing the bad thing. Eventually, after gathering enough information, it would converge on the true reward and do the right "&amp;"thing. Of course, this is assuming that the space of rewards is well-specified, which will probably not be true in practice.")</f>
        <v>Given that we need human feedback for the AI system to stay "on track" as the environment changes, we might design a system that keeps an estimate of the reward, chooses actions that optimize that reward, but also updates the reward over time based on feedback. This has a few issues: it typically assumes that the human Alice knows the true reward function, it makes a possibly-incorrect assumption about the meaning of Alice's feedback, and the AI system still looks like a long-term goal-directed agent where the goal is the current reward estimate.
This post takes the above AI system and considers what happens if you have a distribution over reward functions instead of a point estimate, and during action selection you take into account future updates to the distribution. (This is the setup of [Cooperative Inverse Reinforcement Learning](https://arxiv.org/abs/1606.03137).) While we still assume that Alice knows the true reward function, and we still require an assumption about the meaning of Alice's feedback, the resulting system looks less like a goal-directed agent.
In particular, the system no longer has an incentive to disable the system that learns values from feedback: while previously it changed the AI system's goal (a negative effect from the goal's perspective), now it provides more information about the goal (a positive effect). In addition, the system has more of an incentive to let itself be shut down. If a human is about to shut it down, it should update strongly that whatever it was doing was very bad, causing a drastic update on reward functions. It may still prevent us from shutting it down, but it will at least stop doing the bad thing. Eventually, after gathering enough information, it would converge on the true reward and do the right thing. Of course, this is assuming that the space of rewards is well-specified, which will probably not be true in practice.</v>
      </c>
    </row>
    <row r="1949">
      <c r="A1949" t="str">
        <f>IFERROR(__xludf.DUMMYFUNCTION("""COMPUTED_VALUE"""),"Value learning sequence")</f>
        <v>Value learning sequence</v>
      </c>
      <c r="B1949" t="str">
        <f>IFERROR(__xludf.DUMMYFUNCTION("""COMPUTED_VALUE"""),"")</f>
        <v/>
      </c>
      <c r="C1949" s="3" t="str">
        <f>IFERROR(__xludf.DUMMYFUNCTION("""COMPUTED_VALUE"""),"Ambitious vs. narrow value learning")</f>
        <v>Ambitious vs. narrow value learning</v>
      </c>
      <c r="D1949" t="str">
        <f>IFERROR(__xludf.DUMMYFUNCTION("""COMPUTED_VALUE"""),"Paul Christiano")</f>
        <v>Paul Christiano</v>
      </c>
      <c r="E1949" t="str">
        <f>IFERROR(__xludf.DUMMYFUNCTION("""COMPUTED_VALUE"""),"Alignment Forum")</f>
        <v>Alignment Forum</v>
      </c>
      <c r="F1949">
        <f>IFERROR(__xludf.DUMMYFUNCTION("""COMPUTED_VALUE"""),2019.0)</f>
        <v>2019</v>
      </c>
      <c r="H1949" s="3" t="str">
        <f>IFERROR(__xludf.DUMMYFUNCTION("""COMPUTED_VALUE"""),"AN #41")</f>
        <v>AN #41</v>
      </c>
      <c r="I1949" t="str">
        <f>IFERROR(__xludf.DUMMYFUNCTION("""COMPUTED_VALUE"""),"Rohin")</f>
        <v>Rohin</v>
      </c>
      <c r="J1949" t="str">
        <f>IFERROR(__xludf.DUMMYFUNCTION("""COMPUTED_VALUE"""),"While previously I defined narrow value learning as obtaining good behavior in a particular domain, this post defines it as learning the narrow subgoals and instrumental values that the human is pursuing. I believe that these are pointing at the same unde"&amp;"rlying concept. There are a few reasons to be optimistic about using only narrow value learning to build very powerful AI systems. First, it should be relatively easy to infer many instrumental goals that humans have, such as ""acquiring more resources un"&amp;"der my control"", ""better understanding the world and what I want"", ""remaining in control of deployed AI systems"", etc. which an AI system could then pursue with all of its ingenuity. Second, we could infer enough of human preferences to keep humans i"&amp;"n a safe environment where they can deliberate in order to figure out what they want to do with the future. Third, humans could use these narrow AI systems as tools in order to implement sophisticated plans, allowing them to perform tasks that we would cu"&amp;"rrently consider to be beyond human ability.")</f>
        <v>While previously I defined narrow value learning as obtaining good behavior in a particular domain, this post defines it as learning the narrow subgoals and instrumental values that the human is pursuing. I believe that these are pointing at the same underlying concept. There are a few reasons to be optimistic about using only narrow value learning to build very powerful AI systems. First, it should be relatively easy to infer many instrumental goals that humans have, such as "acquiring more resources under my control", "better understanding the world and what I want", "remaining in control of deployed AI systems", etc. which an AI system could then pursue with all of its ingenuity. Second, we could infer enough of human preferences to keep humans in a safe environment where they can deliberate in order to figure out what they want to do with the future. Third, humans could use these narrow AI systems as tools in order to implement sophisticated plans, allowing them to perform tasks that we would currently consider to be beyond human ability.</v>
      </c>
    </row>
    <row r="1950">
      <c r="A1950" t="str">
        <f>IFERROR(__xludf.DUMMYFUNCTION("""COMPUTED_VALUE"""),"Value learning sequence")</f>
        <v>Value learning sequence</v>
      </c>
      <c r="B1950" t="str">
        <f>IFERROR(__xludf.DUMMYFUNCTION("""COMPUTED_VALUE"""),"")</f>
        <v/>
      </c>
      <c r="C1950" s="3" t="str">
        <f>IFERROR(__xludf.DUMMYFUNCTION("""COMPUTED_VALUE"""),"Human-AI Interaction")</f>
        <v>Human-AI Interaction</v>
      </c>
      <c r="D1950" t="str">
        <f>IFERROR(__xludf.DUMMYFUNCTION("""COMPUTED_VALUE"""),"Rohin Shah")</f>
        <v>Rohin Shah</v>
      </c>
      <c r="E1950" t="str">
        <f>IFERROR(__xludf.DUMMYFUNCTION("""COMPUTED_VALUE"""),"Alignment Forum")</f>
        <v>Alignment Forum</v>
      </c>
      <c r="F1950">
        <f>IFERROR(__xludf.DUMMYFUNCTION("""COMPUTED_VALUE"""),2019.0)</f>
        <v>2019</v>
      </c>
      <c r="H1950" s="3" t="str">
        <f>IFERROR(__xludf.DUMMYFUNCTION("""COMPUTED_VALUE"""),"AN #41")</f>
        <v>AN #41</v>
      </c>
      <c r="I1950" t="str">
        <f>IFERROR(__xludf.DUMMYFUNCTION("""COMPUTED_VALUE"""),"Rohin")</f>
        <v>Rohin</v>
      </c>
      <c r="J1950" t="str">
        <f>IFERROR(__xludf.DUMMYFUNCTION("""COMPUTED_VALUE"""),"One of the lessons of control theory is that you can achieve significantly stronger guarantees if you are able to make use of _feedback_. Self-driving cars without any sensors would be basically impossible to build. [Ambitious value learning](https://www."&amp;"alignmentforum.org/posts/5eX8ko7GCxwR5N9mN/what-is-ambitious-value-learning) ([AN #31](https://mailchi.mp/7d0e3916e3d9/alignment-newsletter-31)) aims to find the utility function that will determine the optimal behavior for the rest of time -- without any"&amp;" feedback. However, human preferences and values will evolve over time as we are exposed to new technologies, cultural norms, and governance structures. This is analogous to the environmental disturbances that control theory assumes, and just as with cont"&amp;"rol theory it seems likely that we will need to have feedback, in the form of some data about human preferences, to accommodate these changes.
This suggests we might consider an AI design where the AI system constantly elicits information from humans abo"&amp;"ut their preferences using narrow value learning techniques, and acts based on its current understanding. The obvious way of doing this would be to have an estimate of the reward that is updated over time, and actions are chosen based on the current estim"&amp;"ate. However, this still has several problems. Most notably, if the AI system chooses actions that are best according to the current reward estimate, it still has convergent instrumental subgoals, and in particular actions that disable the narrow value le"&amp;"arning system to lock in the current reward estimate would be rated very highly. Another problem is that this model assumes that human preferences and values change ""by magic"" and any such change is good -- but in reality, we likely want to make sure th"&amp;"is process is ""good"", and in particular does not end up being determined by the AI manipulating our preferences.")</f>
        <v>One of the lessons of control theory is that you can achieve significantly stronger guarantees if you are able to make use of _feedback_. Self-driving cars without any sensors would be basically impossible to build. [Ambitious value learning](https://www.alignmentforum.org/posts/5eX8ko7GCxwR5N9mN/what-is-ambitious-value-learning) ([AN #31](https://mailchi.mp/7d0e3916e3d9/alignment-newsletter-31)) aims to find the utility function that will determine the optimal behavior for the rest of time -- without any feedback. However, human preferences and values will evolve over time as we are exposed to new technologies, cultural norms, and governance structures. This is analogous to the environmental disturbances that control theory assumes, and just as with control theory it seems likely that we will need to have feedback, in the form of some data about human preferences, to accommodate these changes.
This suggests we might consider an AI design where the AI system constantly elicits information from humans about their preferences using narrow value learning techniques, and acts based on its current understanding. The obvious way of doing this would be to have an estimate of the reward that is updated over time, and actions are chosen based on the current estimate. However, this still has several problems. Most notably, if the AI system chooses actions that are best according to the current reward estimate, it still has convergent instrumental subgoals, and in particular actions that disable the narrow value learning system to lock in the current reward estimate would be rated very highly. Another problem is that this model assumes that human preferences and values change "by magic" and any such change is good -- but in reality, we likely want to make sure this process is "good", and in particular does not end up being determined by the AI manipulating our preferences.</v>
      </c>
    </row>
    <row r="1951">
      <c r="A1951" t="str">
        <f>IFERROR(__xludf.DUMMYFUNCTION("""COMPUTED_VALUE"""),"Value learning sequence")</f>
        <v>Value learning sequence</v>
      </c>
      <c r="B1951" t="str">
        <f>IFERROR(__xludf.DUMMYFUNCTION("""COMPUTED_VALUE"""),"")</f>
        <v/>
      </c>
      <c r="C1951" s="3" t="str">
        <f>IFERROR(__xludf.DUMMYFUNCTION("""COMPUTED_VALUE"""),"What is narrow value learning?")</f>
        <v>What is narrow value learning?</v>
      </c>
      <c r="D1951" t="str">
        <f>IFERROR(__xludf.DUMMYFUNCTION("""COMPUTED_VALUE"""),"Rohin Shah")</f>
        <v>Rohin Shah</v>
      </c>
      <c r="E1951" t="str">
        <f>IFERROR(__xludf.DUMMYFUNCTION("""COMPUTED_VALUE"""),"Alignment Forum")</f>
        <v>Alignment Forum</v>
      </c>
      <c r="F1951">
        <f>IFERROR(__xludf.DUMMYFUNCTION("""COMPUTED_VALUE"""),2019.0)</f>
        <v>2019</v>
      </c>
      <c r="H1951" s="3" t="str">
        <f>IFERROR(__xludf.DUMMYFUNCTION("""COMPUTED_VALUE"""),"AN #41")</f>
        <v>AN #41</v>
      </c>
      <c r="I1951" t="str">
        <f>IFERROR(__xludf.DUMMYFUNCTION("""COMPUTED_VALUE"""),"Rohin")</f>
        <v>Rohin</v>
      </c>
      <c r="J1951" t="str">
        <f>IFERROR(__xludf.DUMMYFUNCTION("""COMPUTED_VALUE"""),"This post introduces the concept of narrow value learning (as opposed to [ambitious value learning](https://www.alignmentforum.org/posts/5eX8ko7GCxwR5N9mN/what-is-ambitious-value-learning) ([AN #31](https://mailchi.mp/7d0e3916e3d9/alignment-newsletter-31)"&amp;"), where an AI system is trained to produce good behavior within a particular domain, without expecting generalization to novel circumstances. Most current work in the ML community on preference learning or reward learning falls under narrow value learnin"&amp;"g.")</f>
        <v>This post introduces the concept of narrow value learning (as opposed to [ambitious value learning](https://www.alignmentforum.org/posts/5eX8ko7GCxwR5N9mN/what-is-ambitious-value-learning) ([AN #31](https://mailchi.mp/7d0e3916e3d9/alignment-newsletter-31)), where an AI system is trained to produce good behavior within a particular domain, without expecting generalization to novel circumstances. Most current work in the ML community on preference learning or reward learning falls under narrow value learning.</v>
      </c>
    </row>
    <row r="1952">
      <c r="A1952" t="str">
        <f>IFERROR(__xludf.DUMMYFUNCTION("""COMPUTED_VALUE"""),"Value learning sequence")</f>
        <v>Value learning sequence</v>
      </c>
      <c r="B1952" t="str">
        <f>IFERROR(__xludf.DUMMYFUNCTION("""COMPUTED_VALUE"""),"")</f>
        <v/>
      </c>
      <c r="C1952" s="3" t="str">
        <f>IFERROR(__xludf.DUMMYFUNCTION("""COMPUTED_VALUE"""),"AI safety without goal-directed behavior")</f>
        <v>AI safety without goal-directed behavior</v>
      </c>
      <c r="D1952" t="str">
        <f>IFERROR(__xludf.DUMMYFUNCTION("""COMPUTED_VALUE"""),"Rohin Shah")</f>
        <v>Rohin Shah</v>
      </c>
      <c r="E1952" t="str">
        <f>IFERROR(__xludf.DUMMYFUNCTION("""COMPUTED_VALUE"""),"Alignment Forum")</f>
        <v>Alignment Forum</v>
      </c>
      <c r="F1952">
        <f>IFERROR(__xludf.DUMMYFUNCTION("""COMPUTED_VALUE"""),2019.0)</f>
        <v>2019</v>
      </c>
      <c r="H1952" s="3" t="str">
        <f>IFERROR(__xludf.DUMMYFUNCTION("""COMPUTED_VALUE"""),"AN #40")</f>
        <v>AN #40</v>
      </c>
      <c r="I1952" t="str">
        <f>IFERROR(__xludf.DUMMYFUNCTION("""COMPUTED_VALUE"""),"Rohin")</f>
        <v>Rohin</v>
      </c>
      <c r="J1952" t="str">
        <f>IFERROR(__xludf.DUMMYFUNCTION("""COMPUTED_VALUE"""),"The main thrust of the second chapter of the sequence is that it is not _required_ for a superintelligent AI system to be goal-directed. While there are certainly economic arguments suggesting that we will build goal-directed AI, these do not have the for"&amp;"ce of a theorem. Given the strong arguments we've developed that goal-directed AI would likely be dangerous, it seems worth exploring other options. Some possibilities are AI systems that infer and follow norms, corrigible AI, and bounded and episodic AI "&amp;"services.
These other possibilities can be cast in a utility-maximization framework. However, if you do that then you are once again tempted to say that you are screwed if you get the utility function slightly wrong. Instead, I would want to build these "&amp;"systems in such a way that the desirable properties are inherent to the way that they reason, so that it isn't even a coherent question to ask ""what if we get it slightly wrong"".")</f>
        <v>The main thrust of the second chapter of the sequence is that it is not _required_ for a superintelligent AI system to be goal-directed. While there are certainly economic arguments suggesting that we will build goal-directed AI, these do not have the force of a theorem. Given the strong arguments we've developed that goal-directed AI would likely be dangerous, it seems worth exploring other options. Some possibilities are AI systems that infer and follow norms, corrigible AI, and bounded and episodic AI services.
These other possibilities can be cast in a utility-maximization framework. However, if you do that then you are once again tempted to say that you are screwed if you get the utility function slightly wrong. Instead, I would want to build these systems in such a way that the desirable properties are inherent to the way that they reason, so that it isn't even a coherent question to ask "what if we get it slightly wrong".</v>
      </c>
    </row>
    <row r="1953">
      <c r="A1953" t="str">
        <f>IFERROR(__xludf.DUMMYFUNCTION("""COMPUTED_VALUE"""),"Value learning sequence")</f>
        <v>Value learning sequence</v>
      </c>
      <c r="B1953" t="str">
        <f>IFERROR(__xludf.DUMMYFUNCTION("""COMPUTED_VALUE"""),"")</f>
        <v/>
      </c>
      <c r="C1953" s="3" t="str">
        <f>IFERROR(__xludf.DUMMYFUNCTION("""COMPUTED_VALUE"""),"Will humans build goal-directed agents?")</f>
        <v>Will humans build goal-directed agents?</v>
      </c>
      <c r="D1953" t="str">
        <f>IFERROR(__xludf.DUMMYFUNCTION("""COMPUTED_VALUE"""),"Rohin Shah")</f>
        <v>Rohin Shah</v>
      </c>
      <c r="E1953" t="str">
        <f>IFERROR(__xludf.DUMMYFUNCTION("""COMPUTED_VALUE"""),"Alignment Forum")</f>
        <v>Alignment Forum</v>
      </c>
      <c r="F1953">
        <f>IFERROR(__xludf.DUMMYFUNCTION("""COMPUTED_VALUE"""),2019.0)</f>
        <v>2019</v>
      </c>
      <c r="H1953" s="3" t="str">
        <f>IFERROR(__xludf.DUMMYFUNCTION("""COMPUTED_VALUE"""),"AN #40")</f>
        <v>AN #40</v>
      </c>
      <c r="I1953" t="str">
        <f>IFERROR(__xludf.DUMMYFUNCTION("""COMPUTED_VALUE"""),"Rohin")</f>
        <v>Rohin</v>
      </c>
      <c r="J1953" t="str">
        <f>IFERROR(__xludf.DUMMYFUNCTION("""COMPUTED_VALUE"""),"The [previous post](https://www.alignmentforum.org/posts/NxF5G6CJiof6cemTw/coherence-arguments-do-not-imply-goal-directed-behavior) argued that coherence arguments do _not_ mean that a superintelligent AI must have goal-directed behavior. In this post, I "&amp;"consider other arguments suggesting that we'll build goal-directed AI systems.
- Since humans are goal-directed, they will build goal-directed AI to help them achieve their goals. *Reaction:* Somewhat agree, but this only shows that the human + AI system"&amp;" should be goal-directed, not the AI itself.
- Goal-directed AI can exceed human performance. *Reaction:* Mostly agree, but there could be alternatives that still exceed human performance.
- Current RL agents are goal-directed. *Reaction:* While the math "&amp;"says this, in practice this doesn't seem true, since RL agents learn from experience rather than planning over the long term.
- Existing intelligent agents are goal-directed. *Reaction:* Seems like a good reason to not build AI using evolution.
- Goal-dir"&amp;"ected agents are more interpretable and so more desirable. *Reaction:* Disagree, it seems like we're arguing that we should build goal-directed AI so that we can more easily predict that it will cause catastrophe.")</f>
        <v>The [previous post](https://www.alignmentforum.org/posts/NxF5G6CJiof6cemTw/coherence-arguments-do-not-imply-goal-directed-behavior) argued that coherence arguments do _not_ mean that a superintelligent AI must have goal-directed behavior. In this post, I consider other arguments suggesting that we'll build goal-directed AI systems.
- Since humans are goal-directed, they will build goal-directed AI to help them achieve their goals. *Reaction:* Somewhat agree, but this only shows that the human + AI system should be goal-directed, not the AI itself.
- Goal-directed AI can exceed human performance. *Reaction:* Mostly agree, but there could be alternatives that still exceed human performance.
- Current RL agents are goal-directed. *Reaction:* While the math says this, in practice this doesn't seem true, since RL agents learn from experience rather than planning over the long term.
- Existing intelligent agents are goal-directed. *Reaction:* Seems like a good reason to not build AI using evolution.
- Goal-directed agents are more interpretable and so more desirable. *Reaction:* Disagree, it seems like we're arguing that we should build goal-directed AI so that we can more easily predict that it will cause catastrophe.</v>
      </c>
    </row>
    <row r="1954">
      <c r="A1954" t="str">
        <f>IFERROR(__xludf.DUMMYFUNCTION("""COMPUTED_VALUE"""),"Value learning sequence")</f>
        <v>Value learning sequence</v>
      </c>
      <c r="B1954" t="str">
        <f>IFERROR(__xludf.DUMMYFUNCTION("""COMPUTED_VALUE"""),"")</f>
        <v/>
      </c>
      <c r="C1954" s="3" t="str">
        <f>IFERROR(__xludf.DUMMYFUNCTION("""COMPUTED_VALUE"""),"Coherence arguments do not imply goal-directed behavior")</f>
        <v>Coherence arguments do not imply goal-directed behavior</v>
      </c>
      <c r="D1954" t="str">
        <f>IFERROR(__xludf.DUMMYFUNCTION("""COMPUTED_VALUE"""),"Rohin Shah")</f>
        <v>Rohin Shah</v>
      </c>
      <c r="E1954" t="str">
        <f>IFERROR(__xludf.DUMMYFUNCTION("""COMPUTED_VALUE"""),"Alignment Forum")</f>
        <v>Alignment Forum</v>
      </c>
      <c r="F1954">
        <f>IFERROR(__xludf.DUMMYFUNCTION("""COMPUTED_VALUE"""),2018.0)</f>
        <v>2018</v>
      </c>
      <c r="H1954" s="3" t="str">
        <f>IFERROR(__xludf.DUMMYFUNCTION("""COMPUTED_VALUE"""),"AN #35")</f>
        <v>AN #35</v>
      </c>
      <c r="I1954" t="str">
        <f>IFERROR(__xludf.DUMMYFUNCTION("""COMPUTED_VALUE"""),"Richard")</f>
        <v>Richard</v>
      </c>
      <c r="J1954" t="str">
        <f>IFERROR(__xludf.DUMMYFUNCTION("""COMPUTED_VALUE"""),"In this post, Rohin argues against the claim that ""simply knowing that an agent is intelligent lets us infer that it is goal-directed"". He points out that all behaviour can be rationalized as expected utility maximisation over world-histories - but this"&amp;" may not meet our criteria for goal-directed behaviour, and slightly misspecifying such a utility function may well be perfectly safe. What's more interesting - and dangerous - is expected utility maximisation over world-states - but he claims that we sho"&amp;"uldn't assume that advanced AI will have this sort of utility function, unless we have additional information (e.g. that it has a utility function simple enough to be explicitly represented). There are plenty of intelligent agents which aren't goal-direct"&amp;"ed - e.g. ones which are very good at inference but only take trivial actions.")</f>
        <v>In this post, Rohin argues against the claim that "simply knowing that an agent is intelligent lets us infer that it is goal-directed". He points out that all behaviour can be rationalized as expected utility maximisation over world-histories - but this may not meet our criteria for goal-directed behaviour, and slightly misspecifying such a utility function may well be perfectly safe. What's more interesting - and dangerous - is expected utility maximisation over world-states - but he claims that we shouldn't assume that advanced AI will have this sort of utility function, unless we have additional information (e.g. that it has a utility function simple enough to be explicitly represented). There are plenty of intelligent agents which aren't goal-directed - e.g. ones which are very good at inference but only take trivial actions.</v>
      </c>
      <c r="K1954" t="str">
        <f>IFERROR(__xludf.DUMMYFUNCTION("""COMPUTED_VALUE"""),"I broadly agree with Rohin's points in this and the previous post, and am glad that he's making these arguments explicit. However, while goal-directedness is a tricky property to reason about, I think it's still useful to consider it a property of an agen"&amp;"t rather than a property of our model of that agent. It's true that when we have a detailed explanation of how an agent works, we're able to think of cases in which its goal-directedness breaks down (e.g. adversarial examples). However, when these example"&amp;"s are very rare, they don't make much practical difference (e.g. knowing that AlphaGo has a blind spot in certain endgames might not be very helpful in beating it, because you can't get to those endgames). ")</f>
        <v>I broadly agree with Rohin's points in this and the previous post, and am glad that he's making these arguments explicit. However, while goal-directedness is a tricky property to reason about, I think it's still useful to consider it a property of an agent rather than a property of our model of that agent. It's true that when we have a detailed explanation of how an agent works, we're able to think of cases in which its goal-directedness breaks down (e.g. adversarial examples). However, when these examples are very rare, they don't make much practical difference (e.g. knowing that AlphaGo has a blind spot in certain endgames might not be very helpful in beating it, because you can't get to those endgames). </v>
      </c>
    </row>
    <row r="1955">
      <c r="A1955" t="str">
        <f>IFERROR(__xludf.DUMMYFUNCTION("""COMPUTED_VALUE"""),"Value learning sequence")</f>
        <v>Value learning sequence</v>
      </c>
      <c r="B1955" t="str">
        <f>IFERROR(__xludf.DUMMYFUNCTION("""COMPUTED_VALUE"""),"")</f>
        <v/>
      </c>
      <c r="C1955" s="3" t="str">
        <f>IFERROR(__xludf.DUMMYFUNCTION("""COMPUTED_VALUE"""),"Intuitions about goal-directed behavior")</f>
        <v>Intuitions about goal-directed behavior</v>
      </c>
      <c r="D1955" t="str">
        <f>IFERROR(__xludf.DUMMYFUNCTION("""COMPUTED_VALUE"""),"Rohin Shah")</f>
        <v>Rohin Shah</v>
      </c>
      <c r="E1955" t="str">
        <f>IFERROR(__xludf.DUMMYFUNCTION("""COMPUTED_VALUE"""),"Alignment Forum")</f>
        <v>Alignment Forum</v>
      </c>
      <c r="F1955">
        <f>IFERROR(__xludf.DUMMYFUNCTION("""COMPUTED_VALUE"""),2018.0)</f>
        <v>2018</v>
      </c>
      <c r="H1955" s="3" t="str">
        <f>IFERROR(__xludf.DUMMYFUNCTION("""COMPUTED_VALUE"""),"AN #35")</f>
        <v>AN #35</v>
      </c>
      <c r="I1955" t="str">
        <f>IFERROR(__xludf.DUMMYFUNCTION("""COMPUTED_VALUE"""),"Richard")</f>
        <v>Richard</v>
      </c>
      <c r="J1955" t="str">
        <f>IFERROR(__xludf.DUMMYFUNCTION("""COMPUTED_VALUE"""),"Rohin discusses the ""misspecified goal argument for AI risk"": that even a small misspecification in goals can lead to adversarial behaviour in advanced AI. He argues that whether behaviour is goal-directed depends on whether it generalises to new situat"&amp;"ions in ways that are predictable given that goal. He also raises the possibility that thinking of an agent as goal-directed becomes less useful the more we understand about how it works. If true, this would weaken the misspecified goal argument.")</f>
        <v>Rohin discusses the "misspecified goal argument for AI risk": that even a small misspecification in goals can lead to adversarial behaviour in advanced AI. He argues that whether behaviour is goal-directed depends on whether it generalises to new situations in ways that are predictable given that goal. He also raises the possibility that thinking of an agent as goal-directed becomes less useful the more we understand about how it works. If true, this would weaken the misspecified goal argument.</v>
      </c>
      <c r="K1955" t="str">
        <f>IFERROR(__xludf.DUMMYFUNCTION("""COMPUTED_VALUE"""),"See the opinion for the next post.")</f>
        <v>See the opinion for the next post.</v>
      </c>
    </row>
    <row r="1956">
      <c r="A1956" t="str">
        <f>IFERROR(__xludf.DUMMYFUNCTION("""COMPUTED_VALUE"""),"Value learning sequence")</f>
        <v>Value learning sequence</v>
      </c>
      <c r="B1956" t="str">
        <f>IFERROR(__xludf.DUMMYFUNCTION("""COMPUTED_VALUE"""),"")</f>
        <v/>
      </c>
      <c r="C1956" s="3" t="str">
        <f>IFERROR(__xludf.DUMMYFUNCTION("""COMPUTED_VALUE"""),"Future directions for ambitious value learning")</f>
        <v>Future directions for ambitious value learning</v>
      </c>
      <c r="D1956" t="str">
        <f>IFERROR(__xludf.DUMMYFUNCTION("""COMPUTED_VALUE"""),"Rohin Shah")</f>
        <v>Rohin Shah</v>
      </c>
      <c r="E1956" t="str">
        <f>IFERROR(__xludf.DUMMYFUNCTION("""COMPUTED_VALUE"""),"Alignment Forum")</f>
        <v>Alignment Forum</v>
      </c>
      <c r="F1956">
        <f>IFERROR(__xludf.DUMMYFUNCTION("""COMPUTED_VALUE"""),2018.0)</f>
        <v>2018</v>
      </c>
      <c r="H1956" s="3" t="str">
        <f>IFERROR(__xludf.DUMMYFUNCTION("""COMPUTED_VALUE"""),"AN #32")</f>
        <v>AN #32</v>
      </c>
      <c r="I1956" t="str">
        <f>IFERROR(__xludf.DUMMYFUNCTION("""COMPUTED_VALUE"""),"Rohin")</f>
        <v>Rohin</v>
      </c>
      <c r="J1956" t="str">
        <f>IFERROR(__xludf.DUMMYFUNCTION("""COMPUTED_VALUE"""),"This post is a summary of many different research directions related to ambitious value learning that are currently being pursued.")</f>
        <v>This post is a summary of many different research directions related to ambitious value learning that are currently being pursued.</v>
      </c>
    </row>
    <row r="1957">
      <c r="A1957" t="str">
        <f>IFERROR(__xludf.DUMMYFUNCTION("""COMPUTED_VALUE"""),"Value learning sequence")</f>
        <v>Value learning sequence</v>
      </c>
      <c r="B1957" t="str">
        <f>IFERROR(__xludf.DUMMYFUNCTION("""COMPUTED_VALUE"""),"")</f>
        <v/>
      </c>
      <c r="C1957" s="3" t="str">
        <f>IFERROR(__xludf.DUMMYFUNCTION("""COMPUTED_VALUE"""),"Latent Variables and Model Mis-Specification")</f>
        <v>Latent Variables and Model Mis-Specification</v>
      </c>
      <c r="D1957" t="str">
        <f>IFERROR(__xludf.DUMMYFUNCTION("""COMPUTED_VALUE"""),"Jacob Steinhardt")</f>
        <v>Jacob Steinhardt</v>
      </c>
      <c r="E1957" t="str">
        <f>IFERROR(__xludf.DUMMYFUNCTION("""COMPUTED_VALUE"""),"Alignment Forum")</f>
        <v>Alignment Forum</v>
      </c>
      <c r="F1957">
        <f>IFERROR(__xludf.DUMMYFUNCTION("""COMPUTED_VALUE"""),2018.0)</f>
        <v>2018</v>
      </c>
      <c r="H1957" s="3" t="str">
        <f>IFERROR(__xludf.DUMMYFUNCTION("""COMPUTED_VALUE"""),"AN #32")</f>
        <v>AN #32</v>
      </c>
      <c r="I1957" t="str">
        <f>IFERROR(__xludf.DUMMYFUNCTION("""COMPUTED_VALUE"""),"Rohin")</f>
        <v>Rohin</v>
      </c>
      <c r="J1957" t="str">
        <f>IFERROR(__xludf.DUMMYFUNCTION("""COMPUTED_VALUE"""),"The key thesis of this post is that when you use a probabilistic model with latent variables (also known as hidden variables, or the variables whose vaues you don't know), the values inferred for those latent variables may not have the intended meaning if"&amp;" the model is mis-specified. For example, in inverse reinforcement learning we use a probabilistic model that predicts the _observed_ human behavior from the _latent_ utility function, and we hope to recover the latent utility function and optimize it.
A"&amp;" mis-specified model is one in which there is no setting of the parameters such that the resulting probability distribution matches the _true_ distribution from which the data is sampled. For such a model, even in the limit of infinite data, you are not g"&amp;"oing to recover the true distribution. (This distinguishes it from _overfitting_, which is not a problem with infinite data.) In this case, instead of the latent variables taking on the values that we want (eg. in IRL, the true utility function), they cou"&amp;"ld be repurposed to explain parts of the distribution that can't be adequately modeled (eg. in IRL, if you don't account for humans learning, you might repurpose the utility function parameters to say that humans like to change up their behavior a lot). I"&amp;"f you then use the inferred latent variable values, you're going to be in for a bad time.
So, under mis-specification, the notion of the ""true"" value of latent variables is no longer meaningful, and the distribution over latent variables that you learn"&amp;" need not match reality. One potential solution would be counterfactual reasoning, which informally means that your model must be able to make good predictions on many different distributions.")</f>
        <v>The key thesis of this post is that when you use a probabilistic model with latent variables (also known as hidden variables, or the variables whose vaues you don't know), the values inferred for those latent variables may not have the intended meaning if the model is mis-specified. For example, in inverse reinforcement learning we use a probabilistic model that predicts the _observed_ human behavior from the _latent_ utility function, and we hope to recover the latent utility function and optimize it.
A mis-specified model is one in which there is no setting of the parameters such that the resulting probability distribution matches the _true_ distribution from which the data is sampled. For such a model, even in the limit of infinite data, you are not going to recover the true distribution. (This distinguishes it from _overfitting_, which is not a problem with infinite data.) In this case, instead of the latent variables taking on the values that we want (eg. in IRL, the true utility function), they could be repurposed to explain parts of the distribution that can't be adequately modeled (eg. in IRL, if you don't account for humans learning, you might repurpose the utility function parameters to say that humans like to change up their behavior a lot). If you then use the inferred latent variable values, you're going to be in for a bad time.
So, under mis-specification, the notion of the "true" value of latent variables is no longer meaningful, and the distribution over latent variables that you learn need not match reality. One potential solution would be counterfactual reasoning, which informally means that your model must be able to make good predictions on many different distributions.</v>
      </c>
    </row>
    <row r="1958">
      <c r="A1958" t="str">
        <f>IFERROR(__xludf.DUMMYFUNCTION("""COMPUTED_VALUE"""),"Value learning sequence")</f>
        <v>Value learning sequence</v>
      </c>
      <c r="B1958" t="str">
        <f>IFERROR(__xludf.DUMMYFUNCTION("""COMPUTED_VALUE"""),"")</f>
        <v/>
      </c>
      <c r="C1958" s="3" t="str">
        <f>IFERROR(__xludf.DUMMYFUNCTION("""COMPUTED_VALUE"""),"Model Mis-specification and Inverse Reinforcement Learning")</f>
        <v>Model Mis-specification and Inverse Reinforcement Learning</v>
      </c>
      <c r="D1958" t="str">
        <f>IFERROR(__xludf.DUMMYFUNCTION("""COMPUTED_VALUE"""),"Owain Evans and Jacob Steinhardt")</f>
        <v>Owain Evans and Jacob Steinhardt</v>
      </c>
      <c r="E1958" t="str">
        <f>IFERROR(__xludf.DUMMYFUNCTION("""COMPUTED_VALUE"""),"Alignment Forum")</f>
        <v>Alignment Forum</v>
      </c>
      <c r="F1958">
        <f>IFERROR(__xludf.DUMMYFUNCTION("""COMPUTED_VALUE"""),2018.0)</f>
        <v>2018</v>
      </c>
      <c r="H1958" s="3" t="str">
        <f>IFERROR(__xludf.DUMMYFUNCTION("""COMPUTED_VALUE"""),"AN #32")</f>
        <v>AN #32</v>
      </c>
      <c r="I1958" t="str">
        <f>IFERROR(__xludf.DUMMYFUNCTION("""COMPUTED_VALUE"""),"Rohin")</f>
        <v>Rohin</v>
      </c>
      <c r="J1958" t="str">
        <f>IFERROR(__xludf.DUMMYFUNCTION("""COMPUTED_VALUE"""),"While the previous post focused on mis-specification in general, this one looks at inverse reinforcement learning (IRL) in particular. In IRL, the latent variable is the utility function, which predicts the observed variable, behavior. They identify three"&amp;" main categories where mis-specification could harm IRL. First, IRL could misunderstand the actions available to the human. For example, if I accidentally hit someone else due to a reflex, but IRL doesn't realize it's a reflex and thinks I could have chos"&amp;"en not to do that, it would infer I don't like the other person. In addition, inferring actions is hard, since in many cases we would have to infer actions from video frames, which is a challenging ML problem. Second, IRL could misunderstand what informat"&amp;"ion and biases are available to the human. If I go to a cafe when it is closed, but IRL thinks that I know it's closed, it's might incorrectly infer a preference for taking a walk. Similarly, if it doesn't know about the planning bias, it might infer that"&amp;" humans don't care about deadlines. Third, IRL may not realize that humans are making long-term plans, especially if the data they are trained on is short and episodic (a form of mis-specification that seems quite likely). If you see a student studying al"&amp;"l the time, you might infer that they like studying, instead of that they want a good grade. Indeed, this inference probably gets you 99% accuracy, since the student does in fact spend a lot of time studying. The general issue is that large changes in the"&amp;" model of the human might only lead to small changes in predictive accuracy, and this gets worse with longer-term plans.")</f>
        <v>While the previous post focused on mis-specification in general, this one looks at inverse reinforcement learning (IRL) in particular. In IRL, the latent variable is the utility function, which predicts the observed variable, behavior. They identify three main categories where mis-specification could harm IRL. First, IRL could misunderstand the actions available to the human. For example, if I accidentally hit someone else due to a reflex, but IRL doesn't realize it's a reflex and thinks I could have chosen not to do that, it would infer I don't like the other person. In addition, inferring actions is hard, since in many cases we would have to infer actions from video frames, which is a challenging ML problem. Second, IRL could misunderstand what information and biases are available to the human. If I go to a cafe when it is closed, but IRL thinks that I know it's closed, it's might incorrectly infer a preference for taking a walk. Similarly, if it doesn't know about the planning bias, it might infer that humans don't care about deadlines. Third, IRL may not realize that humans are making long-term plans, especially if the data they are trained on is short and episodic (a form of mis-specification that seems quite likely). If you see a student studying all the time, you might infer that they like studying, instead of that they want a good grade. Indeed, this inference probably gets you 99% accuracy, since the student does in fact spend a lot of time studying. The general issue is that large changes in the model of the human might only lead to small changes in predictive accuracy, and this gets worse with longer-term plans.</v>
      </c>
    </row>
    <row r="1959">
      <c r="A1959" t="str">
        <f>IFERROR(__xludf.DUMMYFUNCTION("""COMPUTED_VALUE"""),"Value learning sequence")</f>
        <v>Value learning sequence</v>
      </c>
      <c r="B1959" t="str">
        <f>IFERROR(__xludf.DUMMYFUNCTION("""COMPUTED_VALUE"""),"")</f>
        <v/>
      </c>
      <c r="C1959" s="3" t="str">
        <f>IFERROR(__xludf.DUMMYFUNCTION("""COMPUTED_VALUE"""),"Humans can be assigned any values whatsoever…")</f>
        <v>Humans can be assigned any values whatsoever…</v>
      </c>
      <c r="D1959" t="str">
        <f>IFERROR(__xludf.DUMMYFUNCTION("""COMPUTED_VALUE"""),"Stuart Armstrong")</f>
        <v>Stuart Armstrong</v>
      </c>
      <c r="E1959" t="str">
        <f>IFERROR(__xludf.DUMMYFUNCTION("""COMPUTED_VALUE"""),"Alignment Forum")</f>
        <v>Alignment Forum</v>
      </c>
      <c r="F1959">
        <f>IFERROR(__xludf.DUMMYFUNCTION("""COMPUTED_VALUE"""),2018.0)</f>
        <v>2018</v>
      </c>
      <c r="H1959" s="3" t="str">
        <f>IFERROR(__xludf.DUMMYFUNCTION("""COMPUTED_VALUE"""),"AN #31")</f>
        <v>AN #31</v>
      </c>
      <c r="I1959" t="str">
        <f>IFERROR(__xludf.DUMMYFUNCTION("""COMPUTED_VALUE"""),"Rohin")</f>
        <v>Rohin</v>
      </c>
      <c r="J1959" t="str">
        <f>IFERROR(__xludf.DUMMYFUNCTION("""COMPUTED_VALUE"""),"This post formalizes the thinking in the previous post. Since we need to model human irrationality in order to surpass human performance, we can formalize the human's planning algorithm p, which takes as input a reward or utility function R, and produces "&amp;"a policy pi = p(R). Within this formalism, we would like to infer p and R for a human simultaneously, and then optimize R alone. However, the only constraint we have is that p(R) = pi, and there are many pairs of p and R that work besides the ""reasonable"&amp;""" p and R that we are trying to infer. For example, p could be expected utility maximization and R could place reward 1 on the (history, action) pairs in the policy and reward 0 on any pair not in the policy. And for every pair, we can define a new pair "&amp;"(-p, -R) which negates the reward, with (-p)(R) defined to be p(-R), that is the planner negates the reward (returning it to its original form) before using it. We could also have R = 0 and p be the constant function that always outputs the policy pi. All"&amp;" of these pairs reproduce the human policy pi, but if you throw away the planner p and optimize the reward R alone, you will get very different results. You might think that you could avoid this impossibility result by using a simplicity prior, but at lea"&amp;"st a Kolmogorov simplicity prior barely helps.")</f>
        <v>This post formalizes the thinking in the previous post. Since we need to model human irrationality in order to surpass human performance, we can formalize the human's planning algorithm p, which takes as input a reward or utility function R, and produces a policy pi = p(R). Within this formalism, we would like to infer p and R for a human simultaneously, and then optimize R alone. However, the only constraint we have is that p(R) = pi, and there are many pairs of p and R that work besides the "reasonable" p and R that we are trying to infer. For example, p could be expected utility maximization and R could place reward 1 on the (history, action) pairs in the policy and reward 0 on any pair not in the policy. And for every pair, we can define a new pair (-p, -R) which negates the reward, with (-p)(R) defined to be p(-R), that is the planner negates the reward (returning it to its original form) before using it. We could also have R = 0 and p be the constant function that always outputs the policy pi. All of these pairs reproduce the human policy pi, but if you throw away the planner p and optimize the reward R alone, you will get very different results. You might think that you could avoid this impossibility result by using a simplicity prior, but at least a Kolmogorov simplicity prior barely helps.</v>
      </c>
    </row>
    <row r="1960">
      <c r="A1960" t="str">
        <f>IFERROR(__xludf.DUMMYFUNCTION("""COMPUTED_VALUE"""),"Value learning sequence")</f>
        <v>Value learning sequence</v>
      </c>
      <c r="B1960" t="str">
        <f>IFERROR(__xludf.DUMMYFUNCTION("""COMPUTED_VALUE"""),"")</f>
        <v/>
      </c>
      <c r="C1960" s="3" t="str">
        <f>IFERROR(__xludf.DUMMYFUNCTION("""COMPUTED_VALUE"""),"Preface to the Sequence on Value Learning")</f>
        <v>Preface to the Sequence on Value Learning</v>
      </c>
      <c r="D1960" t="str">
        <f>IFERROR(__xludf.DUMMYFUNCTION("""COMPUTED_VALUE"""),"Rohin Shah")</f>
        <v>Rohin Shah</v>
      </c>
      <c r="E1960" t="str">
        <f>IFERROR(__xludf.DUMMYFUNCTION("""COMPUTED_VALUE"""),"Alignment Forum")</f>
        <v>Alignment Forum</v>
      </c>
      <c r="F1960">
        <f>IFERROR(__xludf.DUMMYFUNCTION("""COMPUTED_VALUE"""),2018.0)</f>
        <v>2018</v>
      </c>
      <c r="H1960" s="3" t="str">
        <f>IFERROR(__xludf.DUMMYFUNCTION("""COMPUTED_VALUE"""),"AN #31")</f>
        <v>AN #31</v>
      </c>
      <c r="I1960" t="str">
        <f>IFERROR(__xludf.DUMMYFUNCTION("""COMPUTED_VALUE"""),"Rohin")</f>
        <v>Rohin</v>
      </c>
      <c r="J1960" t="str">
        <f>IFERROR(__xludf.DUMMYFUNCTION("""COMPUTED_VALUE"""),"This is a preface, read it if you're going to read the full posts, but not if you're only going to read these summaries.")</f>
        <v>This is a preface, read it if you're going to read the full posts, but not if you're only going to read these summaries.</v>
      </c>
    </row>
    <row r="1961">
      <c r="A1961" t="str">
        <f>IFERROR(__xludf.DUMMYFUNCTION("""COMPUTED_VALUE"""),"Value learning sequence")</f>
        <v>Value learning sequence</v>
      </c>
      <c r="B1961" t="str">
        <f>IFERROR(__xludf.DUMMYFUNCTION("""COMPUTED_VALUE"""),"")</f>
        <v/>
      </c>
      <c r="C1961" s="3" t="str">
        <f>IFERROR(__xludf.DUMMYFUNCTION("""COMPUTED_VALUE"""),"The easy goal inference problem is still hard")</f>
        <v>The easy goal inference problem is still hard</v>
      </c>
      <c r="D1961" t="str">
        <f>IFERROR(__xludf.DUMMYFUNCTION("""COMPUTED_VALUE"""),"Paul Christiano")</f>
        <v>Paul Christiano</v>
      </c>
      <c r="E1961" t="str">
        <f>IFERROR(__xludf.DUMMYFUNCTION("""COMPUTED_VALUE"""),"Alignment Forum")</f>
        <v>Alignment Forum</v>
      </c>
      <c r="F1961">
        <f>IFERROR(__xludf.DUMMYFUNCTION("""COMPUTED_VALUE"""),2018.0)</f>
        <v>2018</v>
      </c>
      <c r="H1961" s="3" t="str">
        <f>IFERROR(__xludf.DUMMYFUNCTION("""COMPUTED_VALUE"""),"AN #31")</f>
        <v>AN #31</v>
      </c>
      <c r="I1961" t="str">
        <f>IFERROR(__xludf.DUMMYFUNCTION("""COMPUTED_VALUE"""),"Rohin")</f>
        <v>Rohin</v>
      </c>
      <c r="J1961" t="str">
        <f>IFERROR(__xludf.DUMMYFUNCTION("""COMPUTED_VALUE"""),"One concrete way of thinking about ambitious value learning is to think about the case where we have the full human policy, that is, we know how a particular human responds to all possible inputs (life experiences, memories, etc). In this case, it is _sti"&amp;"ll_ hard to infer a utility function from the policy. If we infer a utility function assuming that humans are optimal, then an AI system that maximizes this utility function will recover human behavior, but will not surpass it. In order to surpass human p"&amp;"erformance, we need to accurately model the _mistakes_ a human makes, and correct for them when inferring a utility function. It's not clear how to get this -- the usual approach in machine learning is to choose more accurate models, but in this case even"&amp;" the most accurate model only gets us to human imitation.")</f>
        <v>One concrete way of thinking about ambitious value learning is to think about the case where we have the full human policy, that is, we know how a particular human responds to all possible inputs (life experiences, memories, etc). In this case, it is _still_ hard to infer a utility function from the policy. If we infer a utility function assuming that humans are optimal, then an AI system that maximizes this utility function will recover human behavior, but will not surpass it. In order to surpass human performance, we need to accurately model the _mistakes_ a human makes, and correct for them when inferring a utility function. It's not clear how to get this -- the usual approach in machine learning is to choose more accurate models, but in this case even the most accurate model only gets us to human imitation.</v>
      </c>
    </row>
    <row r="1962">
      <c r="A1962" t="str">
        <f>IFERROR(__xludf.DUMMYFUNCTION("""COMPUTED_VALUE"""),"Value learning sequence")</f>
        <v>Value learning sequence</v>
      </c>
      <c r="B1962" t="str">
        <f>IFERROR(__xludf.DUMMYFUNCTION("""COMPUTED_VALUE"""),"")</f>
        <v/>
      </c>
      <c r="C1962" s="3" t="str">
        <f>IFERROR(__xludf.DUMMYFUNCTION("""COMPUTED_VALUE"""),"What is ambitious value learning?")</f>
        <v>What is ambitious value learning?</v>
      </c>
      <c r="D1962" t="str">
        <f>IFERROR(__xludf.DUMMYFUNCTION("""COMPUTED_VALUE"""),"Rohin Shah")</f>
        <v>Rohin Shah</v>
      </c>
      <c r="E1962" t="str">
        <f>IFERROR(__xludf.DUMMYFUNCTION("""COMPUTED_VALUE"""),"Alignment Forum")</f>
        <v>Alignment Forum</v>
      </c>
      <c r="F1962">
        <f>IFERROR(__xludf.DUMMYFUNCTION("""COMPUTED_VALUE"""),2018.0)</f>
        <v>2018</v>
      </c>
      <c r="H1962" s="3" t="str">
        <f>IFERROR(__xludf.DUMMYFUNCTION("""COMPUTED_VALUE"""),"AN #31")</f>
        <v>AN #31</v>
      </c>
      <c r="I1962" t="str">
        <f>IFERROR(__xludf.DUMMYFUNCTION("""COMPUTED_VALUE"""),"Rohin")</f>
        <v>Rohin</v>
      </c>
      <c r="J1962" t="str">
        <f>IFERROR(__xludf.DUMMYFUNCTION("""COMPUTED_VALUE"""),"The specification problem is the problem of _defining_ the behavior we want out of an AI system. If we use the common model of a superintelligent AI maximizing some explicit utility function, this reduces to the problem of defining a utility function whos"&amp;"e optimum is achieved by behavior that we want. We know that our utility function is too complex to write down (if it even exists), but perhaps we can learn it from data about human behavior? This is the idea behind _ambitious_ value learning -- to learn "&amp;"a utility function from human behavior that can be safely maximized. Note that since we are targeting the _specification_ problem, we only want to define the behavior, so we can assume infinite compute, infinite data, perfect maximization, etc.")</f>
        <v>The specification problem is the problem of _defining_ the behavior we want out of an AI system. If we use the common model of a superintelligent AI maximizing some explicit utility function, this reduces to the problem of defining a utility function whose optimum is achieved by behavior that we want. We know that our utility function is too complex to write down (if it even exists), but perhaps we can learn it from data about human behavior? This is the idea behind _ambitious_ value learning -- to learn a utility function from human behavior that can be safely maximized. Note that since we are targeting the _specification_ problem, we only want to define the behavior, so we can assume infinite compute, infinite data, perfect maximization, etc.</v>
      </c>
    </row>
    <row r="1963">
      <c r="A1963" t="str">
        <f>IFERROR(__xludf.DUMMYFUNCTION("""COMPUTED_VALUE"""),"Verification")</f>
        <v>Verification</v>
      </c>
      <c r="B1963" t="str">
        <f>IFERROR(__xludf.DUMMYFUNCTION("""COMPUTED_VALUE"""),"Highlight")</f>
        <v>Highlight</v>
      </c>
      <c r="C1963" s="3" t="str">
        <f>IFERROR(__xludf.DUMMYFUNCTION("""COMPUTED_VALUE"""),"A Dual Approach to Scalable Verification of Deep Networks")</f>
        <v>A Dual Approach to Scalable Verification of Deep Networks</v>
      </c>
      <c r="D1963" t="str">
        <f>IFERROR(__xludf.DUMMYFUNCTION("""COMPUTED_VALUE"""),"Krishnamurthy (Dj)Dvijotham, Robert Stanforth, Sven Gowal, Timothy Mann, Pushmeet Kohli")</f>
        <v>Krishnamurthy (Dj)Dvijotham, Robert Stanforth, Sven Gowal, Timothy Mann, Pushmeet Kohli</v>
      </c>
      <c r="E1963" t="str">
        <f>IFERROR(__xludf.DUMMYFUNCTION("""COMPUTED_VALUE"""),"Conference on Uncertainty in Artificial Intelligence, 2018")</f>
        <v>Conference on Uncertainty in Artificial Intelligence, 2018</v>
      </c>
      <c r="F1963">
        <f>IFERROR(__xludf.DUMMYFUNCTION("""COMPUTED_VALUE"""),2018.0)</f>
        <v>2018</v>
      </c>
      <c r="H1963" s="3" t="str">
        <f>IFERROR(__xludf.DUMMYFUNCTION("""COMPUTED_VALUE"""),"AN #19")</f>
        <v>AN #19</v>
      </c>
      <c r="I1963" t="str">
        <f>IFERROR(__xludf.DUMMYFUNCTION("""COMPUTED_VALUE"""),"Rohin")</f>
        <v>Rohin</v>
      </c>
      <c r="J1963" t="str">
        <f>IFERROR(__xludf.DUMMYFUNCTION("""COMPUTED_VALUE"""),"This paper tackles the same problem as the previous one, but can work on general feedforward and recurrent neural nets, though they show the math specifically for nets with fully connected layers and componentwise activations. They start by defining an op"&amp;"timization problem, where the property to be verified is encoded as the optimization objective, and the mechanics of the neural net are encoded as equality constraints. If the optimal value is negative, then the property has been verified. The key idea to"&amp;" solving this problem is to break down the hard problem of understanding a sequence of linear layers followed by nonlinearities into multiple independent problems each involving a single layer and a nonlinearity. They do this by computing bounds on the va"&amp;"lues coming out of each layer (both before and after activations), and allowing the constraints to be satisfied with some slack, with the slack variables going into the objective with Lagrange multipliers. This dual problem satisfies weak duality -- the s"&amp;"olution to the dual problem for any setting of the Lagrange multipliers constitutes an upper bound on the solution to the original problem. If that upper bound is negative, then we have verified the property. They show how to solve the dual problem -- thi"&amp;"s is easy now that the slack variables allow us to decouple the layers from each other. They can then compute a tighter upper bound by optimizing over the Lagrange multipliers (which is a convex optimization problem, and can be done using standard techniq"&amp;"ues). In experiments, they show that the computed bounds on MNIST are reasonably good for very small perturbations, even on networks with 2-3 layers.")</f>
        <v>This paper tackles the same problem as the previous one, but can work on general feedforward and recurrent neural nets, though they show the math specifically for nets with fully connected layers and componentwise activations. They start by defining an optimization problem, where the property to be verified is encoded as the optimization objective, and the mechanics of the neural net are encoded as equality constraints. If the optimal value is negative, then the property has been verified. The key idea to solving this problem is to break down the hard problem of understanding a sequence of linear layers followed by nonlinearities into multiple independent problems each involving a single layer and a nonlinearity. They do this by computing bounds on the values coming out of each layer (both before and after activations), and allowing the constraints to be satisfied with some slack, with the slack variables going into the objective with Lagrange multipliers. This dual problem satisfies weak duality -- the solution to the dual problem for any setting of the Lagrange multipliers constitutes an upper bound on the solution to the original problem. If that upper bound is negative, then we have verified the property. They show how to solve the dual problem -- this is easy now that the slack variables allow us to decouple the layers from each other. They can then compute a tighter upper bound by optimizing over the Lagrange multipliers (which is a convex optimization problem, and can be done using standard techniques). In experiments, they show that the computed bounds on MNIST are reasonably good for very small perturbations, even on networks with 2-3 layers.</v>
      </c>
      <c r="K1963" t="str">
        <f>IFERROR(__xludf.DUMMYFUNCTION("""COMPUTED_VALUE"""),"Lots of AI alignment researchers talk about provable guarantees from our AI system, that are quite broad and comprehensive, even if not a proof of ""the AI is aligned and will not cause catastrophe"". Both this and the previous paper seem like an advancem"&amp;"ent in our ability to prove things about neural nets, and so could help with that goal. My probably-controversial opinion is that in the long term the harder problem is actually figuring out what you want to prove, and writing down a formal specification "&amp;"of it in a form that is amenable to formal verification that will generalize to the real world, if you want to go down that path. To be clear, I'm excited about this research, both because it can be used both to solve problems that affect current AI syste"&amp;"ms (eg. to verify that a neural net on a plane will never crash under a mostly-realistic model of the world) and because it can be used as a tool for developing very capable, safer AI systems in the future -- I just don't expect it to be the main ingredie"&amp;"nt that gives us confidence that our AI systems are aligned with us.
On the methods themselves, it looks like the Raghunathan paper can achieve much tighter bounds if you use their training procedure, which can optimize the neural net weights in tandem w"&amp;"ith the certificate of robustness -- they compute a bound of 35% on MNIST with perturbations of up to size 26 (where the maximum is 256). However, there are many restrictions on the applicability of the method. The Dvijotham paper lifts many of these rest"&amp;"rictions (multilayer neural nets instead of just one hidden layer, any training procedure allowed) but gets much looser bounds as a result -- the bounds are quite tight at perturbations of size 1 or 2, but by perturbations of size 7-10 the bounds are triv"&amp;"ial (i.e. a bound of 100%). The training procedure that Raghunathan et al use is crucial -- without it, their algorithm finds non-trivial bounds on only a single small neural net, for perturbations of size at most 1.")</f>
        <v>Lots of AI alignment researchers talk about provable guarantees from our AI system, that are quite broad and comprehensive, even if not a proof of "the AI is aligned and will not cause catastrophe". Both this and the previous paper seem like an advancement in our ability to prove things about neural nets, and so could help with that goal. My probably-controversial opinion is that in the long term the harder problem is actually figuring out what you want to prove, and writing down a formal specification of it in a form that is amenable to formal verification that will generalize to the real world, if you want to go down that path. To be clear, I'm excited about this research, both because it can be used both to solve problems that affect current AI systems (eg. to verify that a neural net on a plane will never crash under a mostly-realistic model of the world) and because it can be used as a tool for developing very capable, safer AI systems in the future -- I just don't expect it to be the main ingredient that gives us confidence that our AI systems are aligned with us.
On the methods themselves, it looks like the Raghunathan paper can achieve much tighter bounds if you use their training procedure, which can optimize the neural net weights in tandem with the certificate of robustness -- they compute a bound of 35% on MNIST with perturbations of up to size 26 (where the maximum is 256). However, there are many restrictions on the applicability of the method. The Dvijotham paper lifts many of these restrictions (multilayer neural nets instead of just one hidden layer, any training procedure allowed) but gets much looser bounds as a result -- the bounds are quite tight at perturbations of size 1 or 2, but by perturbations of size 7-10 the bounds are trivial (i.e. a bound of 100%). The training procedure that Raghunathan et al use is crucial -- without it, their algorithm finds non-trivial bounds on only a single small neural net, for perturbations of size at most 1.</v>
      </c>
    </row>
    <row r="1964">
      <c r="A1964" t="str">
        <f>IFERROR(__xludf.DUMMYFUNCTION("""COMPUTED_VALUE"""),"Verification")</f>
        <v>Verification</v>
      </c>
      <c r="B1964" t="str">
        <f>IFERROR(__xludf.DUMMYFUNCTION("""COMPUTED_VALUE"""),"Highlight")</f>
        <v>Highlight</v>
      </c>
      <c r="C1964" s="3" t="str">
        <f>IFERROR(__xludf.DUMMYFUNCTION("""COMPUTED_VALUE"""),"Certified Defenses against Adversarial Examples")</f>
        <v>Certified Defenses against Adversarial Examples</v>
      </c>
      <c r="D1964" t="str">
        <f>IFERROR(__xludf.DUMMYFUNCTION("""COMPUTED_VALUE"""),"Aditi Raghunathan, Jacob Steinhardt, Percy Liang")</f>
        <v>Aditi Raghunathan, Jacob Steinhardt, Percy Liang</v>
      </c>
      <c r="E1964" t="str">
        <f>IFERROR(__xludf.DUMMYFUNCTION("""COMPUTED_VALUE"""),"arXiv")</f>
        <v>arXiv</v>
      </c>
      <c r="F1964">
        <f>IFERROR(__xludf.DUMMYFUNCTION("""COMPUTED_VALUE"""),2018.0)</f>
        <v>2018</v>
      </c>
      <c r="H1964" s="3" t="str">
        <f>IFERROR(__xludf.DUMMYFUNCTION("""COMPUTED_VALUE"""),"AN #19")</f>
        <v>AN #19</v>
      </c>
      <c r="I1964" t="str">
        <f>IFERROR(__xludf.DUMMYFUNCTION("""COMPUTED_VALUE"""),"Rohin")</f>
        <v>Rohin</v>
      </c>
      <c r="J1964" t="str">
        <f>IFERROR(__xludf.DUMMYFUNCTION("""COMPUTED_VALUE"""),"Even when defenses are developed to make neural nets robust against adversarial examples, they are usually broken soon after by stronger attacks. Perhaps we could prove once and for all that the neural net is robust to adversarial examples? The abstract s"&amp;"ummarizes the approach well: ""[W]e study this problem for neural networks with one hidden layer. We first propose a method based on a semidefinite relaxation that outputs a certificate that for a given network and test input, no attack can force the erro"&amp;"r to exceed a certain value. Second, as this certificate is differentiable, we jointly optimize it with the network parameters, providing an adaptive regularizer that encourages robustness against all attacks. On MNIST, our approach produces a network and"&amp;" a certificate that no attack that perturbs each pixel by at most \epsilon = 0.1 can cause more than 35% test error.""
To compute the certificate, they consider the optimal attack A. Given a particular input x, the optimal attack A is the one that change"&amp;"s f(A(x)) to a different class, where f is the ML model, and A(x) is restricted to not change x too much. They leverage the structure of f (linear models and neural nets with one hidden layer) and the restrictions on A to compute a bound on f(A(x)) in ter"&amp;"ms of x. So, for each data point in the training set, the bound either says “guaranteed that it can’t be adversarially attacked” or “might be possible to adversarially attack it”. Averaging this over the training set or test set gives you an estimate of a"&amp;"n upper bound on the optimal adversarial attack success rate.")</f>
        <v>Even when defenses are developed to make neural nets robust against adversarial examples, they are usually broken soon after by stronger attacks. Perhaps we could prove once and for all that the neural net is robust to adversarial examples? The abstract summarizes the approach well: "[W]e study this problem for neural networks with one hidden layer. We first propose a method based on a semidefinite relaxation that outputs a certificate that for a given network and test input, no attack can force the error to exceed a certain value. Second, as this certificate is differentiable, we jointly optimize it with the network parameters, providing an adaptive regularizer that encourages robustness against all attacks. On MNIST, our approach produces a network and a certificate that no attack that perturbs each pixel by at most \epsilon = 0.1 can cause more than 35% test error."
To compute the certificate, they consider the optimal attack A. Given a particular input x, the optimal attack A is the one that changes f(A(x)) to a different class, where f is the ML model, and A(x) is restricted to not change x too much. They leverage the structure of f (linear models and neural nets with one hidden layer) and the restrictions on A to compute a bound on f(A(x)) in terms of x. So, for each data point in the training set, the bound either says “guaranteed that it can’t be adversarially attacked” or “might be possible to adversarially attack it”. Averaging this over the training set or test set gives you an estimate of an upper bound on the optimal adversarial attack success rate.</v>
      </c>
      <c r="K1964" t="str">
        <f>IFERROR(__xludf.DUMMYFUNCTION("""COMPUTED_VALUE"""),"See the next paper.")</f>
        <v>See the next paper.</v>
      </c>
    </row>
    <row r="1965">
      <c r="A1965" t="str">
        <f>IFERROR(__xludf.DUMMYFUNCTION("""COMPUTED_VALUE"""),"Verification")</f>
        <v>Verification</v>
      </c>
      <c r="B1965" t="str">
        <f>IFERROR(__xludf.DUMMYFUNCTION("""COMPUTED_VALUE"""),"Highlight")</f>
        <v>Highlight</v>
      </c>
      <c r="C1965" s="3" t="str">
        <f>IFERROR(__xludf.DUMMYFUNCTION("""COMPUTED_VALUE"""),"Neurosymbolic Reinforcement Learning with Formally Verified Exploration")</f>
        <v>Neurosymbolic Reinforcement Learning with Formally Verified Exploration</v>
      </c>
      <c r="D1965" t="str">
        <f>IFERROR(__xludf.DUMMYFUNCTION("""COMPUTED_VALUE"""),"Greg Anderson, Abhinav Verma, Isil Dillig, Swarat Chaudhuri")</f>
        <v>Greg Anderson, Abhinav Verma, Isil Dillig, Swarat Chaudhuri</v>
      </c>
      <c r="E1965" t="str">
        <f>IFERROR(__xludf.DUMMYFUNCTION("""COMPUTED_VALUE"""),"arXiv")</f>
        <v>arXiv</v>
      </c>
      <c r="F1965">
        <f>IFERROR(__xludf.DUMMYFUNCTION("""COMPUTED_VALUE"""),2020.0)</f>
        <v>2020</v>
      </c>
      <c r="H1965" s="3" t="str">
        <f>IFERROR(__xludf.DUMMYFUNCTION("""COMPUTED_VALUE"""),"AN #124")</f>
        <v>AN #124</v>
      </c>
      <c r="I1965" t="str">
        <f>IFERROR(__xludf.DUMMYFUNCTION("""COMPUTED_VALUE"""),"Rohin")</f>
        <v>Rohin</v>
      </c>
      <c r="J1965" t="str">
        <f>IFERROR(__xludf.DUMMYFUNCTION("""COMPUTED_VALUE"""),"A typical approach to formally verified safe exploration in RL is to compute a _shield_, which identifies a safe set of states and actions. After this shield is computed, it is “wrapped” around the environment to ensure that if a potentially unsafe action"&amp;" is about to be taken, it is replaced with a safe one. Then, a policy learning algorithm is applied as normal to learn a good policy.
The key insight of this paper is to compute shields for specific _policies_, rather than creating a one-time shield that"&amp;" must apply to the entire state space. Since any given policy will only visit a small fraction of the state space, the shields are easier to compute and can be more permissive.
They assume access to a _worst-case dynamics model_, which given a state and "&amp;"action outputs a _set_ of states that could be visited. Given a policy π, an _inductive safety invariant_ is a set of safe states that includes all possible initial states and is closed under worst-case transitions: if you start at a state in the set, for"&amp;" any action that π suggests and for any state from the worst-case transition dynamics, that new state will still be in the set. Our algorithm will ensure that any policy we execute will have a corresponding inductive safety invariant.
Formal verification"&amp;" techniques allow us to find inductive safety invariants for restricted classes of policies. This paper uses the space of deterministic, piecewise linear policies as its set of symbolic policies. But how do we apply this to neural nets? The key idea is to"&amp;" start with a safe symbolic policy, convert it to a neurosymbolic policy, take a neural net gradient step, convert back to a safe symbolic policy, and repeat until done. Let’s go over each of these steps.
First, let’s suppose we have a symbolic policy g "&amp;"with inductive safety invariant ø. Then for any neural net f, we construct the policy h = “f(s) if no matter what we stay within ø, otherwise g(s)”. It is easy to see that ø is also an inductive safety invariant for h. Which f should we use to create h? T"&amp;"he authors train a neural net to imitate g, and use that as their f. (Note that imitating g only requires executing g in the environment, and we know that g is safe.)
Now that we have our neurosymbolic policy h, we need to take gradient steps on it. We c"&amp;"ollect data in the environment using h, but then for the gradient we ignore the symbolic part, and take a gradient step as though the data were collected using f. (It seems they used an on-policy algorithm for this, introducing bias; I am not sure why the"&amp;"y didn’t simply use an off-policy algorithm.) This produces a new neurosymbolic policy h’ that is still safe (since g and ø are unchanged, and that’s what guarantees safety).
Finally, we need to convert h’ back into a symbolic policy g’. This is done by "&amp;"a version of imitation learning that works in the symbolic policy space, where a new inductive safety invariant for g’ is found using formal verification techniques.
To start off the whole process, we need an initial symbolic policy, which must be constr"&amp;"ucted by hand. The authors show using experiments in simple continuous control environments that this method can learn high-reward policies without ever having a safety violation.")</f>
        <v>A typical approach to formally verified safe exploration in RL is to compute a _shield_, which identifies a safe set of states and actions. After this shield is computed, it is “wrapped” around the environment to ensure that if a potentially unsafe action is about to be taken, it is replaced with a safe one. Then, a policy learning algorithm is applied as normal to learn a good policy.
The key insight of this paper is to compute shields for specific _policies_, rather than creating a one-time shield that must apply to the entire state space. Since any given policy will only visit a small fraction of the state space, the shields are easier to compute and can be more permissive.
They assume access to a _worst-case dynamics model_, which given a state and action outputs a _set_ of states that could be visited. Given a policy π, an _inductive safety invariant_ is a set of safe states that includes all possible initial states and is closed under worst-case transitions: if you start at a state in the set, for any action that π suggests and for any state from the worst-case transition dynamics, that new state will still be in the set. Our algorithm will ensure that any policy we execute will have a corresponding inductive safety invariant.
Formal verification techniques allow us to find inductive safety invariants for restricted classes of policies. This paper uses the space of deterministic, piecewise linear policies as its set of symbolic policies. But how do we apply this to neural nets? The key idea is to start with a safe symbolic policy, convert it to a neurosymbolic policy, take a neural net gradient step, convert back to a safe symbolic policy, and repeat until done. Let’s go over each of these steps.
First, let’s suppose we have a symbolic policy g with inductive safety invariant ø. Then for any neural net f, we construct the policy h = “f(s) if no matter what we stay within ø, otherwise g(s)”. It is easy to see that ø is also an inductive safety invariant for h. Which f should we use to create h? The authors train a neural net to imitate g, and use that as their f. (Note that imitating g only requires executing g in the environment, and we know that g is safe.)
Now that we have our neurosymbolic policy h, we need to take gradient steps on it. We collect data in the environment using h, but then for the gradient we ignore the symbolic part, and take a gradient step as though the data were collected using f. (It seems they used an on-policy algorithm for this, introducing bias; I am not sure why they didn’t simply use an off-policy algorithm.) This produces a new neurosymbolic policy h’ that is still safe (since g and ø are unchanged, and that’s what guarantees safety).
Finally, we need to convert h’ back into a symbolic policy g’. This is done by a version of imitation learning that works in the symbolic policy space, where a new inductive safety invariant for g’ is found using formal verification techniques.
To start off the whole process, we need an initial symbolic policy, which must be constructed by hand. The authors show using experiments in simple continuous control environments that this method can learn high-reward policies without ever having a safety violation.</v>
      </c>
      <c r="K1965" t="str">
        <f>IFERROR(__xludf.DUMMYFUNCTION("""COMPUTED_VALUE"""),"I really like this as an example of combining the performance of neural networks with the robustness of symbolic approaches. I especially like the fact that the shield is specialized to the current policy and updated over time: I think ML scales so well p"&amp;"artly because it only deals with a tiny portion of the input space and can completely ignore the vast majority of possible inputs, and so if you want to add anything on top of ML you need to ensure you preserve this property to ensure scalability. Previou"&amp;"s approaches required a shield that is correct across all possible states, failing to preserve this property; in contrast, this approach only requires a shield that is correct for the sequence of learned policies (on whichever states they visit).
I shoul"&amp;"d note that a large portion of why I like this paper is that it feels like it elegantly fits in _both_ the formal verification _and_ the ML fields. (I used to work in programming languages, of which formal verification is a subfield.) On the formal verifi"&amp;"cation side, the guarantees are clean and simple, and the techniques used are canonical. On the ML side, I mentioned above why I like the fact that the shield is policy-specific and updated over time.
As I’ve said before, I think the real challenge in fo"&amp;"rmal verification for AI alignment is how to handle fuzzy specifications. I think this paper shows a path forward: since the safety is established by an inductive invariant that can change over time, we could potentially use human feedback to establish th"&amp;"ese inductive invariants and update them over time, without requiring a human to fully specify at the outset exactly what is safe and what isn’t. You could think of it as an expanding whitelist of states which the policy is allowed to visit.")</f>
        <v>I really like this as an example of combining the performance of neural networks with the robustness of symbolic approaches. I especially like the fact that the shield is specialized to the current policy and updated over time: I think ML scales so well partly because it only deals with a tiny portion of the input space and can completely ignore the vast majority of possible inputs, and so if you want to add anything on top of ML you need to ensure you preserve this property to ensure scalability. Previous approaches required a shield that is correct across all possible states, failing to preserve this property; in contrast, this approach only requires a shield that is correct for the sequence of learned policies (on whichever states they visit).
I should note that a large portion of why I like this paper is that it feels like it elegantly fits in _both_ the formal verification _and_ the ML fields. (I used to work in programming languages, of which formal verification is a subfield.) On the formal verification side, the guarantees are clean and simple, and the techniques used are canonical. On the ML side, I mentioned above why I like the fact that the shield is policy-specific and updated over time.
As I’ve said before, I think the real challenge in formal verification for AI alignment is how to handle fuzzy specifications. I think this paper shows a path forward: since the safety is established by an inductive invariant that can change over time, we could potentially use human feedback to establish these inductive invariants and update them over time, without requiring a human to fully specify at the outset exactly what is safe and what isn’t. You could think of it as an expanding whitelist of states which the policy is allowed to visit.</v>
      </c>
    </row>
    <row r="1966">
      <c r="A1966" t="str">
        <f>IFERROR(__xludf.DUMMYFUNCTION("""COMPUTED_VALUE"""),"Verification")</f>
        <v>Verification</v>
      </c>
      <c r="B1966" t="str">
        <f>IFERROR(__xludf.DUMMYFUNCTION("""COMPUTED_VALUE"""),"")</f>
        <v/>
      </c>
      <c r="C1966" s="3" t="str">
        <f>IFERROR(__xludf.DUMMYFUNCTION("""COMPUTED_VALUE"""),"Certified Adversarial Robustness via Randomized Smoothing")</f>
        <v>Certified Adversarial Robustness via Randomized Smoothing</v>
      </c>
      <c r="D1966" t="str">
        <f>IFERROR(__xludf.DUMMYFUNCTION("""COMPUTED_VALUE"""),"Jeremy M Cohen, Elan Rosenfeld, J. Zico Kolter")</f>
        <v>Jeremy M Cohen, Elan Rosenfeld, J. Zico Kolter</v>
      </c>
      <c r="E1966" t="str">
        <f>IFERROR(__xludf.DUMMYFUNCTION("""COMPUTED_VALUE"""),"arXiv")</f>
        <v>arXiv</v>
      </c>
      <c r="F1966">
        <f>IFERROR(__xludf.DUMMYFUNCTION("""COMPUTED_VALUE"""),2019.0)</f>
        <v>2019</v>
      </c>
      <c r="H1966" s="3" t="str">
        <f>IFERROR(__xludf.DUMMYFUNCTION("""COMPUTED_VALUE"""),"AN #46")</f>
        <v>AN #46</v>
      </c>
    </row>
    <row r="1967">
      <c r="A1967" t="str">
        <f>IFERROR(__xludf.DUMMYFUNCTION("""COMPUTED_VALUE"""),"Verification")</f>
        <v>Verification</v>
      </c>
      <c r="B1967" t="str">
        <f>IFERROR(__xludf.DUMMYFUNCTION("""COMPUTED_VALUE"""),"")</f>
        <v/>
      </c>
      <c r="C1967" s="3" t="str">
        <f>IFERROR(__xludf.DUMMYFUNCTION("""COMPUTED_VALUE"""),"Evaluating Robustness of Neural Networks with Mixed Integer Programming")</f>
        <v>Evaluating Robustness of Neural Networks with Mixed Integer Programming</v>
      </c>
      <c r="D1967" t="str">
        <f>IFERROR(__xludf.DUMMYFUNCTION("""COMPUTED_VALUE"""),"Vincent Tjeng, Kai Xiao, Russ Tedrake")</f>
        <v>Vincent Tjeng, Kai Xiao, Russ Tedrake</v>
      </c>
      <c r="E1967" t="str">
        <f>IFERROR(__xludf.DUMMYFUNCTION("""COMPUTED_VALUE"""),"arXiv")</f>
        <v>arXiv</v>
      </c>
      <c r="F1967">
        <f>IFERROR(__xludf.DUMMYFUNCTION("""COMPUTED_VALUE"""),2018.0)</f>
        <v>2018</v>
      </c>
      <c r="H1967" s="3" t="str">
        <f>IFERROR(__xludf.DUMMYFUNCTION("""COMPUTED_VALUE"""),"AN #33")</f>
        <v>AN #33</v>
      </c>
      <c r="I1967" t="str">
        <f>IFERROR(__xludf.DUMMYFUNCTION("""COMPUTED_VALUE"""),"Rohin")</f>
        <v>Rohin</v>
      </c>
      <c r="J1967" t="str">
        <f>IFERROR(__xludf.DUMMYFUNCTION("""COMPUTED_VALUE"""),"I've only read the abstract so far, but this paper claims to find the _exact_ adversarial accuracy of an MNIST classifier within an L infinity norm ball of radius 0.1, which would be a big step forward in the state of the art for verification.")</f>
        <v>I've only read the abstract so far, but this paper claims to find the _exact_ adversarial accuracy of an MNIST classifier within an L infinity norm ball of radius 0.1, which would be a big step forward in the state of the art for verification.</v>
      </c>
    </row>
    <row r="1968">
      <c r="A1968" t="str">
        <f>IFERROR(__xludf.DUMMYFUNCTION("""COMPUTED_VALUE"""),"Verification")</f>
        <v>Verification</v>
      </c>
      <c r="B1968" t="str">
        <f>IFERROR(__xludf.DUMMYFUNCTION("""COMPUTED_VALUE"""),"")</f>
        <v/>
      </c>
      <c r="C1968" s="3" t="str">
        <f>IFERROR(__xludf.DUMMYFUNCTION("""COMPUTED_VALUE"""),"An Inductive Synthesis Framework for Verifiable Reinforcement Learning")</f>
        <v>An Inductive Synthesis Framework for Verifiable Reinforcement Learning</v>
      </c>
      <c r="D1968" t="str">
        <f>IFERROR(__xludf.DUMMYFUNCTION("""COMPUTED_VALUE"""),"He Zhu, Zikang Xiong, Stephen Magill, Suresh Jagannathan")</f>
        <v>He Zhu, Zikang Xiong, Stephen Magill, Suresh Jagannathan</v>
      </c>
      <c r="E1968" t="str">
        <f>IFERROR(__xludf.DUMMYFUNCTION("""COMPUTED_VALUE"""),"PLDI 2019")</f>
        <v>PLDI 2019</v>
      </c>
      <c r="F1968">
        <f>IFERROR(__xludf.DUMMYFUNCTION("""COMPUTED_VALUE"""),2019.0)</f>
        <v>2019</v>
      </c>
      <c r="H1968" s="3" t="str">
        <f>IFERROR(__xludf.DUMMYFUNCTION("""COMPUTED_VALUE"""),"AN #124")</f>
        <v>AN #124</v>
      </c>
      <c r="I1968" t="str">
        <f>IFERROR(__xludf.DUMMYFUNCTION("""COMPUTED_VALUE"""),"Rohin")</f>
        <v>Rohin</v>
      </c>
      <c r="J1968" t="str">
        <f>IFERROR(__xludf.DUMMYFUNCTION("""COMPUTED_VALUE"""),"This older paper has a pretty similar idea to the one in the highlighted paper. In order to compute a safety shield for a neural network RL agent, we first transform the neural network into a simpler more symbolic policy, prove safety of the symbolic poli"&amp;"cy, and then use the generated inductive safety invariant as a shield. This paper also uses deterministic piecewise linear policies as its space of symbolic policies. It only proves safety of the final learned RL policy, and so only guarantees safety at d"&amp;"eployment, not at training time. (In other words, it does not guarantee safe exploration, and instead assumes that you are training in simulation so that safety is not a concern.)")</f>
        <v>This older paper has a pretty similar idea to the one in the highlighted paper. In order to compute a safety shield for a neural network RL agent, we first transform the neural network into a simpler more symbolic policy, prove safety of the symbolic policy, and then use the generated inductive safety invariant as a shield. This paper also uses deterministic piecewise linear policies as its space of symbolic policies. It only proves safety of the final learned RL policy, and so only guarantees safety at deployment, not at training time. (In other words, it does not guarantee safe exploration, and instead assumes that you are training in simulation so that safety is not a concern.)</v>
      </c>
      <c r="K1968" t="str">
        <f>IFERROR(__xludf.DUMMYFUNCTION("""COMPUTED_VALUE"""),"Since this paper was published at PLDI, it is both longer and goes into a lot more of the details of how to actually perform each of these steps, as well as showing it with a running example on the inverted pendulum (where safety is defined as not going b"&amp;"eyond a certain angle). I’m not going to summarize them here but anyone interested in these technical details should check out this paper before the highlighted one (which is constrained by ML page limits and can’t explain the techniques very well).
Just"&amp;" as a reminder that learning programs does not automatically confer interpretability, I present to you the symbolic policy learned by their method for the inverted pendulum:
&amp;&amp;IMAGE HERE&amp;&amp;")</f>
        <v>Since this paper was published at PLDI, it is both longer and goes into a lot more of the details of how to actually perform each of these steps, as well as showing it with a running example on the inverted pendulum (where safety is defined as not going beyond a certain angle). I’m not going to summarize them here but anyone interested in these technical details should check out this paper before the highlighted one (which is constrained by ML page limits and can’t explain the techniques very well).
Just as a reminder that learning programs does not automatically confer interpretability, I present to you the symbolic policy learned by their method for the inverted pendulum:
&amp;&amp;IMAGE HERE&amp;&amp;</v>
      </c>
    </row>
    <row r="1969">
      <c r="A1969" t="str">
        <f>IFERROR(__xludf.DUMMYFUNCTION("""COMPUTED_VALUE"""),"Verification")</f>
        <v>Verification</v>
      </c>
      <c r="B1969" t="str">
        <f>IFERROR(__xludf.DUMMYFUNCTION("""COMPUTED_VALUE"""),"")</f>
        <v/>
      </c>
      <c r="C1969" s="3" t="str">
        <f>IFERROR(__xludf.DUMMYFUNCTION("""COMPUTED_VALUE"""),"Enabling certification of verification-agnostic networks via memory-efficient semidefinite programming")</f>
        <v>Enabling certification of verification-agnostic networks via memory-efficient semidefinite programming</v>
      </c>
      <c r="D1969" t="str">
        <f>IFERROR(__xludf.DUMMYFUNCTION("""COMPUTED_VALUE"""),"Sumanth Dathathri*, Krishnamurthy Dvijotham*, Alexey Kurakin*, Aditi Raghunathan*, Jonathan Uesato*, Rudy Bunel, Shreya Shankar, Jacob Steinhardt, Ian Goodfellow, Percy Liang, Pushmeet Kohli")</f>
        <v>Sumanth Dathathri*, Krishnamurthy Dvijotham*, Alexey Kurakin*, Aditi Raghunathan*, Jonathan Uesato*, Rudy Bunel, Shreya Shankar, Jacob Steinhardt, Ian Goodfellow, Percy Liang, Pushmeet Kohli</v>
      </c>
      <c r="E1969" t="str">
        <f>IFERROR(__xludf.DUMMYFUNCTION("""COMPUTED_VALUE"""),"arXiv")</f>
        <v>arXiv</v>
      </c>
      <c r="F1969">
        <f>IFERROR(__xludf.DUMMYFUNCTION("""COMPUTED_VALUE"""),2020.0)</f>
        <v>2020</v>
      </c>
      <c r="H1969" s="3" t="str">
        <f>IFERROR(__xludf.DUMMYFUNCTION("""COMPUTED_VALUE"""),"AN #124")</f>
        <v>AN #124</v>
      </c>
      <c r="I1969" t="str">
        <f>IFERROR(__xludf.DUMMYFUNCTION("""COMPUTED_VALUE"""),"Rohin")</f>
        <v>Rohin</v>
      </c>
      <c r="J1969" t="str">
        <f>IFERROR(__xludf.DUMMYFUNCTION("""COMPUTED_VALUE"""),"In parallel with extending verification to sequential settings, as well as learning what specifications to verify, we also need to make verification significantly cheaper in order for it to be feasible to apply it to large neural networks. So far, we have"&amp;" only been able to achieve one of two very desirable properties at a time:
1. The method can scale up to large, independently trained networks. (This has been achieved by methods using linear (LP) relaxations like &lt;@this one@&gt;(@A Dual Approach to Scalabl"&amp;"e Verification of Deep Networks@).)
2. The method produces tight bounds and thus avoids producing vacuous results. (Achieved by using relaxations based on semidefinite programming (SDP) instead of linear ones.)
This paper shows how you can massage the SD"&amp;"P version such that the resulting algorithm becomes scalable, changing the runtime and memory requirements from O(n^6) and O(n^4) to O(n) per iteration. The resulting algorithm can be applied to larger neural nets than previous SDP approaches and gives mu"&amp;"ch tighter bounds than LP approaches. For example, on an adversarially trained CNN for MNIST (which SDP algorithms haven’t previously been applied to), they can verify 87.8% adversarial accuracy, while LP methods can only verify 0.4%.")</f>
        <v>In parallel with extending verification to sequential settings, as well as learning what specifications to verify, we also need to make verification significantly cheaper in order for it to be feasible to apply it to large neural networks. So far, we have only been able to achieve one of two very desirable properties at a time:
1. The method can scale up to large, independently trained networks. (This has been achieved by methods using linear (LP) relaxations like &lt;@this one@&gt;(@A Dual Approach to Scalable Verification of Deep Networks@).)
2. The method produces tight bounds and thus avoids producing vacuous results. (Achieved by using relaxations based on semidefinite programming (SDP) instead of linear ones.)
This paper shows how you can massage the SDP version such that the resulting algorithm becomes scalable, changing the runtime and memory requirements from O(n^6) and O(n^4) to O(n) per iteration. The resulting algorithm can be applied to larger neural nets than previous SDP approaches and gives much tighter bounds than LP approaches. For example, on an adversarially trained CNN for MNIST (which SDP algorithms haven’t previously been applied to), they can verify 87.8% adversarial accuracy, while LP methods can only verify 0.4%.</v>
      </c>
    </row>
    <row r="1970">
      <c r="A1970" t="str">
        <f>IFERROR(__xludf.DUMMYFUNCTION("""COMPUTED_VALUE"""),"Verification")</f>
        <v>Verification</v>
      </c>
      <c r="B1970" t="str">
        <f>IFERROR(__xludf.DUMMYFUNCTION("""COMPUTED_VALUE"""),"")</f>
        <v/>
      </c>
      <c r="C1970" s="3" t="str">
        <f>IFERROR(__xludf.DUMMYFUNCTION("""COMPUTED_VALUE"""),"Ethical Mission Definition and Execution for Maritime Robots Under Human Supervision")</f>
        <v>Ethical Mission Definition and Execution for Maritime Robots Under Human Supervision</v>
      </c>
      <c r="D1970" t="str">
        <f>IFERROR(__xludf.DUMMYFUNCTION("""COMPUTED_VALUE"""),"Don Brutzman, Curtis L. Blais, Duane T. Davis, Robert B. McGhee")</f>
        <v>Don Brutzman, Curtis L. Blais, Duane T. Davis, Robert B. McGhee</v>
      </c>
      <c r="E1970" t="str">
        <f>IFERROR(__xludf.DUMMYFUNCTION("""COMPUTED_VALUE"""),"IEEE Journal of Oceanic Engineering")</f>
        <v>IEEE Journal of Oceanic Engineering</v>
      </c>
      <c r="F1970">
        <f>IFERROR(__xludf.DUMMYFUNCTION("""COMPUTED_VALUE"""),2018.0)</f>
        <v>2018</v>
      </c>
      <c r="G1970" t="str">
        <f>IFERROR(__xludf.DUMMYFUNCTION("""COMPUTED_VALUE"""),"Jon Rodriguez")</f>
        <v>Jon Rodriguez</v>
      </c>
      <c r="H1970" s="3" t="str">
        <f>IFERROR(__xludf.DUMMYFUNCTION("""COMPUTED_VALUE"""),"AN #98")</f>
        <v>AN #98</v>
      </c>
      <c r="I1970" t="str">
        <f>IFERROR(__xludf.DUMMYFUNCTION("""COMPUTED_VALUE"""),"Rohin")</f>
        <v>Rohin</v>
      </c>
      <c r="J1970" t="str">
        <f>IFERROR(__xludf.DUMMYFUNCTION("""COMPUTED_VALUE"""),"While underwater robots can perform missions that humans cannot, they cannot be held liable for their actions. Our society requires that someone be responsible for (and can be held liable for) the actions of any such robot, leading to a form of the specif"&amp;"ication problem: how do we program robots such that it is reasonable to hold their operators accountable for their actions?
This paper divides mission execution into three main parts: the execution level (hardware control), the tactical level (low-level "&amp;"behaviors), and the strategic level (what the robot should do). It proposes that, at the strategic level, we use formal methods to specify what the robot should do. The language should be expressive enough to be useful, while still keeping it sufficiently"&amp;" limited to allow exhaustive testing. They propose using state machines augmented with constraints. The constraints can be used to specify things like ""the robot must stay at least 10m away from obstacles"". The state machine decides which behaviors to e"&amp;"xecute, and each such behavior can have three results: success, failure, or exception (in the case that a constraint would have been violated had the behavior continued operating).")</f>
        <v>While underwater robots can perform missions that humans cannot, they cannot be held liable for their actions. Our society requires that someone be responsible for (and can be held liable for) the actions of any such robot, leading to a form of the specification problem: how do we program robots such that it is reasonable to hold their operators accountable for their actions?
This paper divides mission execution into three main parts: the execution level (hardware control), the tactical level (low-level behaviors), and the strategic level (what the robot should do). It proposes that, at the strategic level, we use formal methods to specify what the robot should do. The language should be expressive enough to be useful, while still keeping it sufficiently limited to allow exhaustive testing. They propose using state machines augmented with constraints. The constraints can be used to specify things like "the robot must stay at least 10m away from obstacles". The state machine decides which behaviors to execute, and each such behavior can have three results: success, failure, or exception (in the case that a constraint would have been violated had the behavior continued operating).</v>
      </c>
      <c r="K1970" t="str">
        <f>IFERROR(__xludf.DUMMYFUNCTION("""COMPUTED_VALUE"""),"It's interesting to see other groups also aiming to have what are essentially robustness guarantees, but motivated instead from the perspective of responsibility and liability. The actual method seems reasonable for the impoverished systems we have today,"&amp;" where we must specify everything that we want the system to do.")</f>
        <v>It's interesting to see other groups also aiming to have what are essentially robustness guarantees, but motivated instead from the perspective of responsibility and liability. The actual method seems reasonable for the impoverished systems we have today, where we must specify everything that we want the system to do.</v>
      </c>
    </row>
    <row r="1971">
      <c r="A1971" t="str">
        <f>IFERROR(__xludf.DUMMYFUNCTION("""COMPUTED_VALUE"""),"Verification")</f>
        <v>Verification</v>
      </c>
      <c r="B1971" t="str">
        <f>IFERROR(__xludf.DUMMYFUNCTION("""COMPUTED_VALUE"""),"")</f>
        <v/>
      </c>
      <c r="C1971" s="3" t="str">
        <f>IFERROR(__xludf.DUMMYFUNCTION("""COMPUTED_VALUE"""),"Training verified learners with learned verifiers")</f>
        <v>Training verified learners with learned verifiers</v>
      </c>
      <c r="D1971" t="str">
        <f>IFERROR(__xludf.DUMMYFUNCTION("""COMPUTED_VALUE"""),"Krishnamurthy Dvijotham, Sven Gowal, Robert Stanforth, Relja Arandjelovic, Brendan O'Donoghue, Jonathan Uesato, Pushmeet Kohli")</f>
        <v>Krishnamurthy Dvijotham, Sven Gowal, Robert Stanforth, Relja Arandjelovic, Brendan O'Donoghue, Jonathan Uesato, Pushmeet Kohli</v>
      </c>
      <c r="E1971" t="str">
        <f>IFERROR(__xludf.DUMMYFUNCTION("""COMPUTED_VALUE"""),"arXiv")</f>
        <v>arXiv</v>
      </c>
      <c r="F1971">
        <f>IFERROR(__xludf.DUMMYFUNCTION("""COMPUTED_VALUE"""),2018.0)</f>
        <v>2018</v>
      </c>
      <c r="H1971" s="3" t="str">
        <f>IFERROR(__xludf.DUMMYFUNCTION("""COMPUTED_VALUE"""),"AN #9")</f>
        <v>AN #9</v>
      </c>
    </row>
    <row r="1972">
      <c r="A1972" t="str">
        <f>IFERROR(__xludf.DUMMYFUNCTION("""COMPUTED_VALUE"""),"Verification")</f>
        <v>Verification</v>
      </c>
      <c r="B1972" t="str">
        <f>IFERROR(__xludf.DUMMYFUNCTION("""COMPUTED_VALUE"""),"")</f>
        <v/>
      </c>
      <c r="C1972" s="3" t="str">
        <f>IFERROR(__xludf.DUMMYFUNCTION("""COMPUTED_VALUE"""),"Verification and Transparency")</f>
        <v>Verification and Transparency</v>
      </c>
      <c r="D1972" t="str">
        <f>IFERROR(__xludf.DUMMYFUNCTION("""COMPUTED_VALUE"""),"Daniel Filan")</f>
        <v>Daniel Filan</v>
      </c>
      <c r="E1972" t="str">
        <f>IFERROR(__xludf.DUMMYFUNCTION("""COMPUTED_VALUE"""),"Alignment Forum")</f>
        <v>Alignment Forum</v>
      </c>
      <c r="F1972">
        <f>IFERROR(__xludf.DUMMYFUNCTION("""COMPUTED_VALUE"""),2019.0)</f>
        <v>2019</v>
      </c>
      <c r="H1972" s="3" t="str">
        <f>IFERROR(__xludf.DUMMYFUNCTION("""COMPUTED_VALUE"""),"AN #76")</f>
        <v>AN #76</v>
      </c>
      <c r="I1972" t="str">
        <f>IFERROR(__xludf.DUMMYFUNCTION("""COMPUTED_VALUE"""),"Rohin")</f>
        <v>Rohin</v>
      </c>
      <c r="J1972" t="str">
        <f>IFERROR(__xludf.DUMMYFUNCTION("""COMPUTED_VALUE"""),"This post points out that verification and transparency have similar goals. Transparency produces an artefact that allows the user to answer questions about the system under investigation (e.g. ""why did the neural net predict that this was a tennis ball?"&amp;"""). Verification on the other hand allows the user to pose a question, and then automatically answers that question (e.g. ""is there an adversarial example for this image?"").")</f>
        <v>This post points out that verification and transparency have similar goals. Transparency produces an artefact that allows the user to answer questions about the system under investigation (e.g. "why did the neural net predict that this was a tennis ball?"). Verification on the other hand allows the user to pose a question, and then automatically answers that question (e.g. "is there an adversarial example for this image?").</v>
      </c>
    </row>
    <row r="1973">
      <c r="A1973" t="str">
        <f>IFERROR(__xludf.DUMMYFUNCTION("""COMPUTED_VALUE"""),"Verification")</f>
        <v>Verification</v>
      </c>
      <c r="B1973" t="str">
        <f>IFERROR(__xludf.DUMMYFUNCTION("""COMPUTED_VALUE"""),"")</f>
        <v/>
      </c>
      <c r="C1973" s="3" t="str">
        <f>IFERROR(__xludf.DUMMYFUNCTION("""COMPUTED_VALUE"""),"Optimization + Abstraction: A Synergistic Approach for Analyzing Neural Network Robustness")</f>
        <v>Optimization + Abstraction: A Synergistic Approach for Analyzing Neural Network Robustness</v>
      </c>
      <c r="D1973" t="str">
        <f>IFERROR(__xludf.DUMMYFUNCTION("""COMPUTED_VALUE"""),"Greg Anderson, Shankara Pailoor, Isil Dillig, Swarat Chaudhuri")</f>
        <v>Greg Anderson, Shankara Pailoor, Isil Dillig, Swarat Chaudhuri</v>
      </c>
      <c r="E1973" t="str">
        <f>IFERROR(__xludf.DUMMYFUNCTION("""COMPUTED_VALUE"""),"arXiv")</f>
        <v>arXiv</v>
      </c>
      <c r="F1973">
        <f>IFERROR(__xludf.DUMMYFUNCTION("""COMPUTED_VALUE"""),2019.0)</f>
        <v>2019</v>
      </c>
      <c r="H1973" s="3" t="str">
        <f>IFERROR(__xludf.DUMMYFUNCTION("""COMPUTED_VALUE"""),"AN #54")</f>
        <v>AN #54</v>
      </c>
    </row>
    <row r="1974">
      <c r="A1974" t="str">
        <f>IFERROR(__xludf.DUMMYFUNCTION("""COMPUTED_VALUE"""),"Verification")</f>
        <v>Verification</v>
      </c>
      <c r="B1974" t="str">
        <f>IFERROR(__xludf.DUMMYFUNCTION("""COMPUTED_VALUE"""),"")</f>
        <v/>
      </c>
      <c r="C1974" s="3" t="str">
        <f>IFERROR(__xludf.DUMMYFUNCTION("""COMPUTED_VALUE"""),"Algorithms for Verifying Deep Neural Networks")</f>
        <v>Algorithms for Verifying Deep Neural Networks</v>
      </c>
      <c r="D1974" t="str">
        <f>IFERROR(__xludf.DUMMYFUNCTION("""COMPUTED_VALUE"""),"Changliu Liu, Tomer Arnon, Christopher Lazarus, Clark Barrett, Mykel J. Kochenderfer")</f>
        <v>Changliu Liu, Tomer Arnon, Christopher Lazarus, Clark Barrett, Mykel J. Kochenderfer</v>
      </c>
      <c r="E1974" t="str">
        <f>IFERROR(__xludf.DUMMYFUNCTION("""COMPUTED_VALUE"""),"arXiv")</f>
        <v>arXiv</v>
      </c>
      <c r="F1974">
        <f>IFERROR(__xludf.DUMMYFUNCTION("""COMPUTED_VALUE"""),2019.0)</f>
        <v>2019</v>
      </c>
      <c r="H1974" s="3" t="str">
        <f>IFERROR(__xludf.DUMMYFUNCTION("""COMPUTED_VALUE"""),"AN #52")</f>
        <v>AN #52</v>
      </c>
      <c r="I1974" t="str">
        <f>IFERROR(__xludf.DUMMYFUNCTION("""COMPUTED_VALUE"""),"Rohin")</f>
        <v>Rohin</v>
      </c>
      <c r="J1974" t="str">
        <f>IFERROR(__xludf.DUMMYFUNCTION("""COMPUTED_VALUE"""),"This is a survey paper about verification of properties of deep neural nets.")</f>
        <v>This is a survey paper about verification of properties of deep neural nets.</v>
      </c>
    </row>
    <row r="1975">
      <c r="A1975" t="str">
        <f>IFERROR(__xludf.DUMMYFUNCTION("""COMPUTED_VALUE"""),"Verification")</f>
        <v>Verification</v>
      </c>
      <c r="B1975" t="str">
        <f>IFERROR(__xludf.DUMMYFUNCTION("""COMPUTED_VALUE"""),"")</f>
        <v/>
      </c>
      <c r="C1975" s="3" t="str">
        <f>IFERROR(__xludf.DUMMYFUNCTION("""COMPUTED_VALUE"""),"On a Formal Model of Safe and Scalable Self-driving Cars")</f>
        <v>On a Formal Model of Safe and Scalable Self-driving Cars</v>
      </c>
      <c r="D1975" t="str">
        <f>IFERROR(__xludf.DUMMYFUNCTION("""COMPUTED_VALUE"""),"Shai Shalev-Shwartz, Shaked Shammah, Amnon Shashua")</f>
        <v>Shai Shalev-Shwartz, Shaked Shammah, Amnon Shashua</v>
      </c>
      <c r="E1975" t="str">
        <f>IFERROR(__xludf.DUMMYFUNCTION("""COMPUTED_VALUE"""),"AAAI 2019")</f>
        <v>AAAI 2019</v>
      </c>
      <c r="F1975">
        <f>IFERROR(__xludf.DUMMYFUNCTION("""COMPUTED_VALUE"""),2018.0)</f>
        <v>2018</v>
      </c>
      <c r="H1975" s="3" t="str">
        <f>IFERROR(__xludf.DUMMYFUNCTION("""COMPUTED_VALUE"""),"AN #33")</f>
        <v>AN #33</v>
      </c>
    </row>
    <row r="1976">
      <c r="A1976" t="str">
        <f>IFERROR(__xludf.DUMMYFUNCTION("""COMPUTED_VALUE"""),"Verification")</f>
        <v>Verification</v>
      </c>
      <c r="B1976" t="str">
        <f>IFERROR(__xludf.DUMMYFUNCTION("""COMPUTED_VALUE"""),"")</f>
        <v/>
      </c>
      <c r="C1976" s="3" t="str">
        <f>IFERROR(__xludf.DUMMYFUNCTION("""COMPUTED_VALUE"""),"On the Effectiveness of Interval Bound Propagation for Training Verifiably Robust Models")</f>
        <v>On the Effectiveness of Interval Bound Propagation for Training Verifiably Robust Models</v>
      </c>
      <c r="D1976" t="str">
        <f>IFERROR(__xludf.DUMMYFUNCTION("""COMPUTED_VALUE"""),"Sven Gowal, Krishnamurthy Dvijotham, Robert Stanforth, Rudy Bunel, Chongli Qin, Jonathan Uesato, Relja Arandjelovic, Timothy Mann, Pushmeet Kohli")</f>
        <v>Sven Gowal, Krishnamurthy Dvijotham, Robert Stanforth, Rudy Bunel, Chongli Qin, Jonathan Uesato, Relja Arandjelovic, Timothy Mann, Pushmeet Kohli</v>
      </c>
      <c r="E1976" t="str">
        <f>IFERROR(__xludf.DUMMYFUNCTION("""COMPUTED_VALUE"""),"arXiv")</f>
        <v>arXiv</v>
      </c>
      <c r="F1976">
        <f>IFERROR(__xludf.DUMMYFUNCTION("""COMPUTED_VALUE"""),2018.0)</f>
        <v>2018</v>
      </c>
      <c r="H1976" s="3" t="str">
        <f>IFERROR(__xludf.DUMMYFUNCTION("""COMPUTED_VALUE"""),"AN #31")</f>
        <v>AN #31</v>
      </c>
    </row>
    <row r="1977">
      <c r="A1977" t="str">
        <f>IFERROR(__xludf.DUMMYFUNCTION("""COMPUTED_VALUE"""),"Verification")</f>
        <v>Verification</v>
      </c>
      <c r="B1977" t="str">
        <f>IFERROR(__xludf.DUMMYFUNCTION("""COMPUTED_VALUE"""),"")</f>
        <v/>
      </c>
      <c r="C1977" s="3" t="str">
        <f>IFERROR(__xludf.DUMMYFUNCTION("""COMPUTED_VALUE"""),"Verification for Machine Learning, Autonomy, and Neural Networks Survey")</f>
        <v>Verification for Machine Learning, Autonomy, and Neural Networks Survey</v>
      </c>
      <c r="D1977" t="str">
        <f>IFERROR(__xludf.DUMMYFUNCTION("""COMPUTED_VALUE"""),"Weiming Xiang, Patrick Musau, Ayana A. Wild, Diego Manzanas Lopez, Nathaniel Hamilton, Xiaodong Yang, Joel Rosenfeld, Taylor T. Johnson")</f>
        <v>Weiming Xiang, Patrick Musau, Ayana A. Wild, Diego Manzanas Lopez, Nathaniel Hamilton, Xiaodong Yang, Joel Rosenfeld, Taylor T. Johnson</v>
      </c>
      <c r="E1977" t="str">
        <f>IFERROR(__xludf.DUMMYFUNCTION("""COMPUTED_VALUE"""),"NIPS 2018")</f>
        <v>NIPS 2018</v>
      </c>
      <c r="F1977">
        <f>IFERROR(__xludf.DUMMYFUNCTION("""COMPUTED_VALUE"""),2018.0)</f>
        <v>2018</v>
      </c>
      <c r="H1977" s="3" t="str">
        <f>IFERROR(__xludf.DUMMYFUNCTION("""COMPUTED_VALUE"""),"AN #28")</f>
        <v>AN #28</v>
      </c>
    </row>
    <row r="1978">
      <c r="A1978" t="str">
        <f>IFERROR(__xludf.DUMMYFUNCTION("""COMPUTED_VALUE"""),"Verification")</f>
        <v>Verification</v>
      </c>
      <c r="B1978" t="str">
        <f>IFERROR(__xludf.DUMMYFUNCTION("""COMPUTED_VALUE"""),"")</f>
        <v/>
      </c>
      <c r="C1978" s="3" t="str">
        <f>IFERROR(__xludf.DUMMYFUNCTION("""COMPUTED_VALUE"""),"Training for Faster Adversarial Robustness Verification via Inducing ReLU Stability")</f>
        <v>Training for Faster Adversarial Robustness Verification via Inducing ReLU Stability</v>
      </c>
      <c r="D1978" t="str">
        <f>IFERROR(__xludf.DUMMYFUNCTION("""COMPUTED_VALUE"""),"Kai Y. Xiao, Vincent Tjeng, Nur Muhammad Shafiullah, Aleksander Madry")</f>
        <v>Kai Y. Xiao, Vincent Tjeng, Nur Muhammad Shafiullah, Aleksander Madry</v>
      </c>
      <c r="E1978" t="str">
        <f>IFERROR(__xludf.DUMMYFUNCTION("""COMPUTED_VALUE"""),"ICLR 2019")</f>
        <v>ICLR 2019</v>
      </c>
      <c r="F1978">
        <f>IFERROR(__xludf.DUMMYFUNCTION("""COMPUTED_VALUE"""),2018.0)</f>
        <v>2018</v>
      </c>
      <c r="H1978" s="3" t="str">
        <f>IFERROR(__xludf.DUMMYFUNCTION("""COMPUTED_VALUE"""),"AN #25")</f>
        <v>AN #25</v>
      </c>
      <c r="I1978" t="str">
        <f>IFERROR(__xludf.DUMMYFUNCTION("""COMPUTED_VALUE"""),"Rohin")</f>
        <v>Rohin</v>
      </c>
      <c r="J1978" t="str">
        <f>IFERROR(__xludf.DUMMYFUNCTION("""COMPUTED_VALUE"""),"The idea behind verification is to consider all possible inputs at the same time, and show that no matter what the input is, a particular property is satisfied. In ML, this is typically applied to adversarial examples, where inputs are constrained to be w"&amp;"ithin the L-infinity norm ball of dataset examples. Prior papers on verification (covered in [AN #19](https://mailchi.mp/4b19d2caa5a9/alignment-newsletter-19)) solve a computationally easier relaxation of the verification problem, that gives a lower bound"&amp;" on the performance of the classifier. This paper aims to use exact verification, since it can compute the exact adversarial performance of the classifier on the test set, and to figure out how to improve its performance.
One easy place to start is to en"&amp;"courage weights to be zero, since these can be pruned from the problem fed in to the constraint solver. (Or more likely, they feed it in anyway, but the constraint solver immediately gets rid of them -- constraint solvers are pretty smart.) This can be do"&amp;"ne using L1 regularization and pruning small weights. This already gives two orders of magnitude of speedup, making it able to verify that there is no adversarial attack with ϵ = 0.1 on a particular MNIST digit in 11 seconds on average.
Next, they note t"&amp;"hat verification with linear constraints and functions is easy -- the challenging aspect is the Relu units that force the verifier to branch into two cases. (Since relu(x) = max(x, 0), it is the identity function when x is positive, and the zero function "&amp;"otherwise.) So why not try to ensure that the Relu units are also linear? Obviously we can't just make all the Relu units linear -- the whole point of them is to introduce nonlinearity to make the neural net more expressive. But as a start, we can look at"&amp;" the behavior of the Relu units on the examples we have, and if they are almost always active (inputs are positive) or almost always inactive (inputs are negative), then we replace them with the corresponding linear function (identity and zero, respective"&amp;"ly), which is easier to verify. This gets another ~2x speedup.
But what if we could also change the training procedure? Maybe we could augment the loss so that the Relu units are either decisively active or decisively inactive on any dataset example. The"&amp;"y propose that _during training_ we consider the L-infinity norm ball around each example, use that to create intervals that each pixel must be in, and then make a forward pass through the neural net using interval arithmetic (which is fast but inexact). "&amp;"Then, we add a term to the loss that incentivizes the interval for the input to each Relu to exclude zero (so that the Relu is either always active or always inactive). They call this the Relu Stability loss, or RS loss.
This leads to a further 4-13x spe"&amp;"edup with similar test set accuracy. They then also test on MNIST with ϵ = 0.2, 0.3 and CIFAR with ϵ = 2/255, 8/255. It leads to speedup in all cases, with similar test set accuracy on MNIST but reduced accuracy on CIFAR. The provable accuracy goes up, bu"&amp;"t this is probably because when there's no RS loss, more images time out in verification, not because the network becomes better at classification. Other verification methods do get better provable accuracies on CIFAR, even though in principle they could "&amp;"fail to detect that a safe example is safe. This could be because their method times out frequently, or because their method degrades the neural net classifier -- it's hard to tell since they don't report number of timeouts.")</f>
        <v>The idea behind verification is to consider all possible inputs at the same time, and show that no matter what the input is, a particular property is satisfied. In ML, this is typically applied to adversarial examples, where inputs are constrained to be within the L-infinity norm ball of dataset examples. Prior papers on verification (covered in [AN #19](https://mailchi.mp/4b19d2caa5a9/alignment-newsletter-19)) solve a computationally easier relaxation of the verification problem, that gives a lower bound on the performance of the classifier. This paper aims to use exact verification, since it can compute the exact adversarial performance of the classifier on the test set, and to figure out how to improve its performance.
One easy place to start is to encourage weights to be zero, since these can be pruned from the problem fed in to the constraint solver. (Or more likely, they feed it in anyway, but the constraint solver immediately gets rid of them -- constraint solvers are pretty smart.) This can be done using L1 regularization and pruning small weights. This already gives two orders of magnitude of speedup, making it able to verify that there is no adversarial attack with ϵ = 0.1 on a particular MNIST digit in 11 seconds on average.
Next, they note that verification with linear constraints and functions is easy -- the challenging aspect is the Relu units that force the verifier to branch into two cases. (Since relu(x) = max(x, 0), it is the identity function when x is positive, and the zero function otherwise.) So why not try to ensure that the Relu units are also linear? Obviously we can't just make all the Relu units linear -- the whole point of them is to introduce nonlinearity to make the neural net more expressive. But as a start, we can look at the behavior of the Relu units on the examples we have, and if they are almost always active (inputs are positive) or almost always inactive (inputs are negative), then we replace them with the corresponding linear function (identity and zero, respectively), which is easier to verify. This gets another ~2x speedup.
But what if we could also change the training procedure? Maybe we could augment the loss so that the Relu units are either decisively active or decisively inactive on any dataset example. They propose that _during training_ we consider the L-infinity norm ball around each example, use that to create intervals that each pixel must be in, and then make a forward pass through the neural net using interval arithmetic (which is fast but inexact). Then, we add a term to the loss that incentivizes the interval for the input to each Relu to exclude zero (so that the Relu is either always active or always inactive). They call this the Relu Stability loss, or RS loss.
This leads to a further 4-13x speedup with similar test set accuracy. They then also test on MNIST with ϵ = 0.2, 0.3 and CIFAR with ϵ = 2/255, 8/255. It leads to speedup in all cases, with similar test set accuracy on MNIST but reduced accuracy on CIFAR. The provable accuracy goes up, but this is probably because when there's no RS loss, more images time out in verification, not because the network becomes better at classification. Other verification methods do get better provable accuracies on CIFAR, even though in principle they could fail to detect that a safe example is safe. This could be because their method times out frequently, or because their method degrades the neural net classifier -- it's hard to tell since they don't report number of timeouts.</v>
      </c>
      <c r="K1978" t="str">
        <f>IFERROR(__xludf.DUMMYFUNCTION("""COMPUTED_VALUE"""),"As with the previous papers on verification, I'm excited in the improvement in our capability to prove things about neural nets. I do think that the more important problem is how to even state properties that we care about in a way that we could begin to "&amp;"prove them. For example, [last week](https://mailchi.mp/d7b5059d64ed/alignment-newsletter-24) we saw the unrestricted adversarial examples challenge, where humans are the judge of what a legal example is -- how can we formalize that for a verification app"&amp;"roach?
On this paper specifically, I wish they had included the number of timeouts that their method has -- it's hard to interpret the provable accuracy numbers without that. Based on the numbers in the paper, I'm guessing this method is still much more "&amp;"computationally expensive than other methods. If so, I'm not sure what benefit it gives over them -- presumably it's that we can compute the exact adversarial accuracy, but if we don't have enough compute, such that other methods can prove better lower bo"&amp;"unds anyway, then it doesn't seem worth it.")</f>
        <v>As with the previous papers on verification, I'm excited in the improvement in our capability to prove things about neural nets. I do think that the more important problem is how to even state properties that we care about in a way that we could begin to prove them. For example, [last week](https://mailchi.mp/d7b5059d64ed/alignment-newsletter-24) we saw the unrestricted adversarial examples challenge, where humans are the judge of what a legal example is -- how can we formalize that for a verification approach?
On this paper specifically, I wish they had included the number of timeouts that their method has -- it's hard to interpret the provable accuracy numbers without that. Based on the numbers in the paper, I'm guessing this method is still much more computationally expensive than other methods. If so, I'm not sure what benefit it gives over them -- presumably it's that we can compute the exact adversarial accuracy, but if we don't have enough compute, such that other methods can prove better lower bounds anyway, then it doesn't seem worth it.</v>
      </c>
    </row>
    <row r="1979">
      <c r="A1979" t="str">
        <f>IFERROR(__xludf.DUMMYFUNCTION("""COMPUTED_VALUE"""),"Verification")</f>
        <v>Verification</v>
      </c>
      <c r="B1979" t="str">
        <f>IFERROR(__xludf.DUMMYFUNCTION("""COMPUTED_VALUE"""),"")</f>
        <v/>
      </c>
      <c r="C1979" s="3" t="str">
        <f>IFERROR(__xludf.DUMMYFUNCTION("""COMPUTED_VALUE"""),"Towards Mixed Optimization for Reinforcement Learning with Program Synthesis")</f>
        <v>Towards Mixed Optimization for Reinforcement Learning with Program Synthesis</v>
      </c>
      <c r="D1979" t="str">
        <f>IFERROR(__xludf.DUMMYFUNCTION("""COMPUTED_VALUE"""),"Surya Bhupatiraju, Kumar Krishna Agrawal, Rishabh Singh")</f>
        <v>Surya Bhupatiraju, Kumar Krishna Agrawal, Rishabh Singh</v>
      </c>
      <c r="E1979" t="str">
        <f>IFERROR(__xludf.DUMMYFUNCTION("""COMPUTED_VALUE"""),"arXiv")</f>
        <v>arXiv</v>
      </c>
      <c r="F1979">
        <f>IFERROR(__xludf.DUMMYFUNCTION("""COMPUTED_VALUE"""),2018.0)</f>
        <v>2018</v>
      </c>
      <c r="H1979" s="3" t="str">
        <f>IFERROR(__xludf.DUMMYFUNCTION("""COMPUTED_VALUE"""),"AN #14")</f>
        <v>AN #14</v>
      </c>
      <c r="I1979" t="str">
        <f>IFERROR(__xludf.DUMMYFUNCTION("""COMPUTED_VALUE"""),"Rohin")</f>
        <v>Rohin</v>
      </c>
      <c r="J1979" t="str">
        <f>IFERROR(__xludf.DUMMYFUNCTION("""COMPUTED_VALUE"""),"This paper proposes a framework in which policies are represented in two different ways -- as neural nets (the usual way) and as programs. To go from neural nets to programs, you use _program synthesis_ (as done by [VIPER](http://arxiv.org/abs/1805.08328)"&amp;" and [PIRL](https://arxiv.org/abs/1804.02477), both summarized in previous newsletters). To go from programs to neural nets, you use _distillation_ (basically use the program to train the neural net with supervised training). Given these transformations, "&amp;"you can then work with the policy in either space. For example, you could optimize the policy in both spaces, using standard gradient descent in neural-net-space, and _program repair_ in program-space. Having a program representation can be helpful in oth"&amp;"er ways too, as it makes the policy more interpretable, and more amenable to formal verification of safety properties.")</f>
        <v>This paper proposes a framework in which policies are represented in two different ways -- as neural nets (the usual way) and as programs. To go from neural nets to programs, you use _program synthesis_ (as done by [VIPER](http://arxiv.org/abs/1805.08328) and [PIRL](https://arxiv.org/abs/1804.02477), both summarized in previous newsletters). To go from programs to neural nets, you use _distillation_ (basically use the program to train the neural net with supervised training). Given these transformations, you can then work with the policy in either space. For example, you could optimize the policy in both spaces, using standard gradient descent in neural-net-space, and _program repair_ in program-space. Having a program representation can be helpful in other ways too, as it makes the policy more interpretable, and more amenable to formal verification of safety properties.</v>
      </c>
      <c r="K1979" t="str">
        <f>IFERROR(__xludf.DUMMYFUNCTION("""COMPUTED_VALUE"""),"It is pretty nice to have a program representation. This paper doesn't delve into specifics (besides a motivating example worked out by hand), but I'm excited to see an actual instantiation of this framework in the future!")</f>
        <v>It is pretty nice to have a program representation. This paper doesn't delve into specifics (besides a motivating example worked out by hand), but I'm excited to see an actual instantiation of this framework in the future!</v>
      </c>
    </row>
    <row r="1980">
      <c r="A1980" t="str">
        <f>IFERROR(__xludf.DUMMYFUNCTION("""COMPUTED_VALUE"""),"Verification")</f>
        <v>Verification</v>
      </c>
      <c r="B1980" t="str">
        <f>IFERROR(__xludf.DUMMYFUNCTION("""COMPUTED_VALUE"""),"")</f>
        <v/>
      </c>
      <c r="C1980" s="3" t="str">
        <f>IFERROR(__xludf.DUMMYFUNCTION("""COMPUTED_VALUE"""),"Certified Adversarial Robustness for Deep Reinforcement Learning")</f>
        <v>Certified Adversarial Robustness for Deep Reinforcement Learning</v>
      </c>
      <c r="D1980" t="str">
        <f>IFERROR(__xludf.DUMMYFUNCTION("""COMPUTED_VALUE"""),"Michael Everett*, Bjorn Lutjens*, Jonathan P. How")</f>
        <v>Michael Everett*, Bjorn Lutjens*, Jonathan P. How</v>
      </c>
      <c r="E1980" t="str">
        <f>IFERROR(__xludf.DUMMYFUNCTION("""COMPUTED_VALUE"""),"arXiv")</f>
        <v>arXiv</v>
      </c>
      <c r="F1980">
        <f>IFERROR(__xludf.DUMMYFUNCTION("""COMPUTED_VALUE"""),2020.0)</f>
        <v>2020</v>
      </c>
      <c r="H1980" s="3" t="str">
        <f>IFERROR(__xludf.DUMMYFUNCTION("""COMPUTED_VALUE"""),"AN #107")</f>
        <v>AN #107</v>
      </c>
      <c r="I1980" t="str">
        <f>IFERROR(__xludf.DUMMYFUNCTION("""COMPUTED_VALUE"""),"Flo")</f>
        <v>Flo</v>
      </c>
      <c r="J1980" t="str">
        <f>IFERROR(__xludf.DUMMYFUNCTION("""COMPUTED_VALUE"""),"&lt;@Certified adversarial robustness@&gt;(@Certified Defenses against Adversarial Examples@) provides guarantees about the effects of small perturbations on a neural network’s outputs. This paper uses that approach to make reinforcement learning more robust by"&amp;" training a DQN and acting by choosing the action with the best worst-case Q-value under adversarial perturbations (called the robust-optimal action) estimated from the certificate bounds, instead of the action with the highest Q-value.
The approach is e"&amp;"valuated on Cartpole and a navigation task that requires avoiding collisions, with an adversary perturbing observations in both cases. For small perturbations, this technique actually increases performance, but as perturbations get large the agent’s conse"&amp;"rvatism can lead to a large degradation in performance.")</f>
        <v>&lt;@Certified adversarial robustness@&gt;(@Certified Defenses against Adversarial Examples@) provides guarantees about the effects of small perturbations on a neural network’s outputs. This paper uses that approach to make reinforcement learning more robust by training a DQN and acting by choosing the action with the best worst-case Q-value under adversarial perturbations (called the robust-optimal action) estimated from the certificate bounds, instead of the action with the highest Q-value.
The approach is evaluated on Cartpole and a navigation task that requires avoiding collisions, with an adversary perturbing observations in both cases. For small perturbations, this technique actually increases performance, but as perturbations get large the agent’s conservatism can lead to a large degradation in performance.</v>
      </c>
      <c r="K1980" t="str">
        <f>IFERROR(__xludf.DUMMYFUNCTION("""COMPUTED_VALUE"""),"While the approach is straightforward and will certainly increase robustness in many cases, it seems worth mentioning two serious issues. First, they assume that the initial DQN training learns the perfect Q function. Second, the provided certificates are"&amp;" about individual actions, not policy performance: the Q-values approximated in DQN assume optimal performance starting from the next action, which is not a given here. I am a bit concerned that these limitations were not really discussed, while the paper"&amp;" claims that “the resulting policy comes with a certificate of solution quality”.")</f>
        <v>While the approach is straightforward and will certainly increase robustness in many cases, it seems worth mentioning two serious issues. First, they assume that the initial DQN training learns the perfect Q function. Second, the provided certificates are about individual actions, not policy performance: the Q-values approximated in DQN assume optimal performance starting from the next action, which is not a given here. I am a bit concerned that these limitations were not really discussed, while the paper claims that “the resulting policy comes with a certificate of solution quality”.</v>
      </c>
    </row>
    <row r="1981">
      <c r="A1981" t="str">
        <f>IFERROR(__xludf.DUMMYFUNCTION("""COMPUTED_VALUE"""),"Verification")</f>
        <v>Verification</v>
      </c>
      <c r="B1981" t="str">
        <f>IFERROR(__xludf.DUMMYFUNCTION("""COMPUTED_VALUE"""),"")</f>
        <v/>
      </c>
      <c r="C1981" s="3" t="str">
        <f>IFERROR(__xludf.DUMMYFUNCTION("""COMPUTED_VALUE"""),"MixTrain: Scalable Training of Formally Robust Neural Networks")</f>
        <v>MixTrain: Scalable Training of Formally Robust Neural Networks</v>
      </c>
      <c r="D1981" t="str">
        <f>IFERROR(__xludf.DUMMYFUNCTION("""COMPUTED_VALUE"""),"Shiqi Wang, Yizheng Chen, Ahmed Abdou, Suman Jana")</f>
        <v>Shiqi Wang, Yizheng Chen, Ahmed Abdou, Suman Jana</v>
      </c>
      <c r="E1981" t="str">
        <f>IFERROR(__xludf.DUMMYFUNCTION("""COMPUTED_VALUE"""),"arXiv")</f>
        <v>arXiv</v>
      </c>
      <c r="F1981">
        <f>IFERROR(__xludf.DUMMYFUNCTION("""COMPUTED_VALUE"""),2018.0)</f>
        <v>2018</v>
      </c>
      <c r="H1981" s="3" t="str">
        <f>IFERROR(__xludf.DUMMYFUNCTION("""COMPUTED_VALUE"""),"AN #32")</f>
        <v>AN #32</v>
      </c>
    </row>
    <row r="1982">
      <c r="A1982" t="str">
        <f>IFERROR(__xludf.DUMMYFUNCTION("""COMPUTED_VALUE"""),"Verification")</f>
        <v>Verification</v>
      </c>
      <c r="B1982" t="str">
        <f>IFERROR(__xludf.DUMMYFUNCTION("""COMPUTED_VALUE"""),"")</f>
        <v/>
      </c>
      <c r="C1982" s="3" t="str">
        <f>IFERROR(__xludf.DUMMYFUNCTION("""COMPUTED_VALUE"""),"Formal Methods for the Informal Engineer: Workshop Recommendations")</f>
        <v>Formal Methods for the Informal Engineer: Workshop Recommendations</v>
      </c>
      <c r="D1982" t="str">
        <f>IFERROR(__xludf.DUMMYFUNCTION("""COMPUTED_VALUE"""),"Gopal Sarma, James Koppel, Gregory Malecha, Patrick Schultz, Eric Drexler, Ramana Kumar, Cody Roux, Philip Zucker")</f>
        <v>Gopal Sarma, James Koppel, Gregory Malecha, Patrick Schultz, Eric Drexler, Ramana Kumar, Cody Roux, Philip Zucker</v>
      </c>
      <c r="E1982" t="str">
        <f>IFERROR(__xludf.DUMMYFUNCTION("""COMPUTED_VALUE"""),"arXiv")</f>
        <v>arXiv</v>
      </c>
      <c r="F1982">
        <f>IFERROR(__xludf.DUMMYFUNCTION("""COMPUTED_VALUE"""),2021.0)</f>
        <v>2021</v>
      </c>
      <c r="H1982" s="3" t="str">
        <f>IFERROR(__xludf.DUMMYFUNCTION("""COMPUTED_VALUE"""),"AN #145")</f>
        <v>AN #145</v>
      </c>
      <c r="I1982" t="str">
        <f>IFERROR(__xludf.DUMMYFUNCTION("""COMPUTED_VALUE"""),"Rohin")</f>
        <v>Rohin</v>
      </c>
      <c r="J1982" t="str">
        <f>IFERROR(__xludf.DUMMYFUNCTION("""COMPUTED_VALUE"""),"This is the writeup from the &lt;@Formal Methods for the Informal Engineer@&gt; workshop. The main thrust is a call for increased application of formal methods in order to increase confidence in critical AI/ML systems, especially in the life sciences. They prov"&amp;"ide five high-level recommendations for this purpose.")</f>
        <v>This is the writeup from the &lt;@Formal Methods for the Informal Engineer@&gt; workshop. The main thrust is a call for increased application of formal methods in order to increase confidence in critical AI/ML systems, especially in the life sciences. They provide five high-level recommendations for this purpose.</v>
      </c>
    </row>
    <row r="1983">
      <c r="A1983" t="str">
        <f>IFERROR(__xludf.DUMMYFUNCTION("""COMPUTED_VALUE"""),"Verification")</f>
        <v>Verification</v>
      </c>
      <c r="B1983" t="str">
        <f>IFERROR(__xludf.DUMMYFUNCTION("""COMPUTED_VALUE"""),"")</f>
        <v/>
      </c>
      <c r="C1983" s="3" t="str">
        <f>IFERROR(__xludf.DUMMYFUNCTION("""COMPUTED_VALUE"""),"Verifiably Safe Exploration for End-to-End Reinforcement Learning")</f>
        <v>Verifiably Safe Exploration for End-to-End Reinforcement Learning</v>
      </c>
      <c r="D1983" t="str">
        <f>IFERROR(__xludf.DUMMYFUNCTION("""COMPUTED_VALUE"""),"Nathan Hunt, Nathan Fulton, Sara Magliacane, Nghia Hoang, Subhro Das, Armando Solar-Lezama")</f>
        <v>Nathan Hunt, Nathan Fulton, Sara Magliacane, Nghia Hoang, Subhro Das, Armando Solar-Lezama</v>
      </c>
      <c r="E1983" t="str">
        <f>IFERROR(__xludf.DUMMYFUNCTION("""COMPUTED_VALUE"""),"arXiv")</f>
        <v>arXiv</v>
      </c>
      <c r="F1983">
        <f>IFERROR(__xludf.DUMMYFUNCTION("""COMPUTED_VALUE"""),2020.0)</f>
        <v>2020</v>
      </c>
      <c r="H1983" s="3" t="str">
        <f>IFERROR(__xludf.DUMMYFUNCTION("""COMPUTED_VALUE"""),"AN #124")</f>
        <v>AN #124</v>
      </c>
      <c r="I1983" t="str">
        <f>IFERROR(__xludf.DUMMYFUNCTION("""COMPUTED_VALUE"""),"Rohin")</f>
        <v>Rohin</v>
      </c>
      <c r="J1983" t="str">
        <f>IFERROR(__xludf.DUMMYFUNCTION("""COMPUTED_VALUE"""),"As we saw in the highlight, applications of formal verification to reinforcement learning and safe exploration often rely on _shielding_, in which any proposed unsafe actions are replaced by randomly chosen safe actions. Typically, this requires having an"&amp;" MDP model in a high-level, symbolic state space, such as by defining the MDP over the Atari simulator state, rather than learning from pixels.
This paper demonstrates that we can relax this requirement and learn policies on low-level observations, while"&amp;" still getting the safety guarantees of the shielding approach. The approach is simple: we define (manually) an abstract model of the environment, with a symbolic state space and dynamics model, and use this to create a shield as usual. Then, to learn the"&amp;" policy (which gets pixels as input), we use an object detector to transform the pixels into a symbolic state, and then use the shield if necessary to select which action to take. The authors show that as long as the error of the object detection step is "&amp;"low, the overall policy learning will remain safe.")</f>
        <v>As we saw in the highlight, applications of formal verification to reinforcement learning and safe exploration often rely on _shielding_, in which any proposed unsafe actions are replaced by randomly chosen safe actions. Typically, this requires having an MDP model in a high-level, symbolic state space, such as by defining the MDP over the Atari simulator state, rather than learning from pixels.
This paper demonstrates that we can relax this requirement and learn policies on low-level observations, while still getting the safety guarantees of the shielding approach. The approach is simple: we define (manually) an abstract model of the environment, with a symbolic state space and dynamics model, and use this to create a shield as usual. Then, to learn the policy (which gets pixels as input), we use an object detector to transform the pixels into a symbolic state, and then use the shield if necessary to select which action to take. The authors show that as long as the error of the object detection step is low, the overall policy learning will remain safe.</v>
      </c>
    </row>
    <row r="1984">
      <c r="A1984" t="str">
        <f>IFERROR(__xludf.DUMMYFUNCTION("""COMPUTED_VALUE"""),"Verification")</f>
        <v>Verification</v>
      </c>
      <c r="B1984" t="str">
        <f>IFERROR(__xludf.DUMMYFUNCTION("""COMPUTED_VALUE"""),"")</f>
        <v/>
      </c>
      <c r="C1984" s="3" t="str">
        <f>IFERROR(__xludf.DUMMYFUNCTION("""COMPUTED_VALUE"""),"Verifiable Reinforcement Learning via Policy Extraction")</f>
        <v>Verifiable Reinforcement Learning via Policy Extraction</v>
      </c>
      <c r="D1984" t="str">
        <f>IFERROR(__xludf.DUMMYFUNCTION("""COMPUTED_VALUE"""),"Osbert Bastani, Yewen Pu, Armando Solar-Lezama")</f>
        <v>Osbert Bastani, Yewen Pu, Armando Solar-Lezama</v>
      </c>
      <c r="E1984" t="str">
        <f>IFERROR(__xludf.DUMMYFUNCTION("""COMPUTED_VALUE"""),"27th USENIX Security Symposium")</f>
        <v>27th USENIX Security Symposium</v>
      </c>
      <c r="F1984">
        <f>IFERROR(__xludf.DUMMYFUNCTION("""COMPUTED_VALUE"""),2018.0)</f>
        <v>2018</v>
      </c>
      <c r="H1984" s="3" t="str">
        <f>IFERROR(__xludf.DUMMYFUNCTION("""COMPUTED_VALUE"""),"AN #8")</f>
        <v>AN #8</v>
      </c>
      <c r="I1984" t="str">
        <f>IFERROR(__xludf.DUMMYFUNCTION("""COMPUTED_VALUE"""),"Rohin")</f>
        <v>Rohin</v>
      </c>
      <c r="J1984" t="str">
        <f>IFERROR(__xludf.DUMMYFUNCTION("""COMPUTED_VALUE"""),"Since it is hard to verify properties of neural nets, we can instead first train a decision tree policy to mimic the policy learned by deep RL, and then verify properties about that. The authors generalize [DAGGER](https://www.cs.cmu.edu/~sross1/publicati"&amp;"ons/Ross-AIStats11-NoRegret.pdf) to take advantage of the Q-function and extract decision tree policies. They then prove a correctness guarantee for a toy version of Pong (where the dynamics are known), a robustness guarantee for Pong (with symbolic state"&amp;"s, not pixels) (which can be done without known dynamics), and stability of cartpole.")</f>
        <v>Since it is hard to verify properties of neural nets, we can instead first train a decision tree policy to mimic the policy learned by deep RL, and then verify properties about that. The authors generalize [DAGGER](https://www.cs.cmu.edu/~sross1/publications/Ross-AIStats11-NoRegret.pdf) to take advantage of the Q-function and extract decision tree policies. They then prove a correctness guarantee for a toy version of Pong (where the dynamics are known), a robustness guarantee for Pong (with symbolic states, not pixels) (which can be done without known dynamics), and stability of cartpole.</v>
      </c>
      <c r="K1984" t="str">
        <f>IFERROR(__xludf.DUMMYFUNCTION("""COMPUTED_VALUE"""),"Many people believe that ultimately we will need to prove theorems about the safety of our AIs. I don't understand yet what kind of theorems they have in mind, so I don't really want to speculate on how this relates to it. It does seem like the robustness"&amp;" guarantee is the most relevant one, since in general we won't have access to a perfect model of the dynamics.")</f>
        <v>Many people believe that ultimately we will need to prove theorems about the safety of our AIs. I don't understand yet what kind of theorems they have in mind, so I don't really want to speculate on how this relates to it. It does seem like the robustness guarantee is the most relevant one, since in general we won't have access to a perfect model of the dynamics.</v>
      </c>
    </row>
    <row r="1985">
      <c r="A1985" t="str">
        <f>IFERROR(__xludf.DUMMYFUNCTION("""COMPUTED_VALUE"""),"Verification")</f>
        <v>Verification</v>
      </c>
      <c r="B1985" t="str">
        <f>IFERROR(__xludf.DUMMYFUNCTION("""COMPUTED_VALUE"""),"")</f>
        <v/>
      </c>
      <c r="C1985" s="3" t="str">
        <f>IFERROR(__xludf.DUMMYFUNCTION("""COMPUTED_VALUE"""),"A Game-Based Approximate Verification of Deep Neural Networks with Provable Guarantees")</f>
        <v>A Game-Based Approximate Verification of Deep Neural Networks with Provable Guarantees</v>
      </c>
      <c r="D1985" t="str">
        <f>IFERROR(__xludf.DUMMYFUNCTION("""COMPUTED_VALUE"""),"Min Wu, Matthew Wicker, Wenjie Ruan, Xiaowei Huang, Marta Kwiatkowska")</f>
        <v>Min Wu, Matthew Wicker, Wenjie Ruan, Xiaowei Huang, Marta Kwiatkowska</v>
      </c>
      <c r="E1985" t="str">
        <f>IFERROR(__xludf.DUMMYFUNCTION("""COMPUTED_VALUE"""),"arXiv")</f>
        <v>arXiv</v>
      </c>
      <c r="F1985">
        <f>IFERROR(__xludf.DUMMYFUNCTION("""COMPUTED_VALUE"""),2018.0)</f>
        <v>2018</v>
      </c>
      <c r="H1985" s="3" t="str">
        <f>IFERROR(__xludf.DUMMYFUNCTION("""COMPUTED_VALUE"""),"AN #16")</f>
        <v>AN #16</v>
      </c>
    </row>
    <row r="1986">
      <c r="B1986" t="str">
        <f>IFERROR(__xludf.DUMMYFUNCTION("""COMPUTED_VALUE"""),"")</f>
        <v/>
      </c>
      <c r="J1986" t="str">
        <f>IFERROR(__xludf.DUMMYFUNCTION("""COMPUTED_VALUE"""),"")</f>
        <v/>
      </c>
      <c r="K1986" t="str">
        <f>IFERROR(__xludf.DUMMYFUNCTION("""COMPUTED_VALUE"""),"")</f>
        <v/>
      </c>
    </row>
    <row r="1987">
      <c r="B1987" t="str">
        <f>IFERROR(__xludf.DUMMYFUNCTION("""COMPUTED_VALUE"""),"")</f>
        <v/>
      </c>
      <c r="J1987" t="str">
        <f>IFERROR(__xludf.DUMMYFUNCTION("""COMPUTED_VALUE"""),"")</f>
        <v/>
      </c>
      <c r="K1987" t="str">
        <f>IFERROR(__xludf.DUMMYFUNCTION("""COMPUTED_VALUE"""),"")</f>
        <v/>
      </c>
    </row>
    <row r="1988">
      <c r="B1988" t="str">
        <f>IFERROR(__xludf.DUMMYFUNCTION("""COMPUTED_VALUE"""),"")</f>
        <v/>
      </c>
      <c r="J1988" t="str">
        <f>IFERROR(__xludf.DUMMYFUNCTION("""COMPUTED_VALUE"""),"")</f>
        <v/>
      </c>
      <c r="K1988" t="str">
        <f>IFERROR(__xludf.DUMMYFUNCTION("""COMPUTED_VALUE"""),"")</f>
        <v/>
      </c>
    </row>
    <row r="1989">
      <c r="B1989" t="str">
        <f>IFERROR(__xludf.DUMMYFUNCTION("""COMPUTED_VALUE"""),"")</f>
        <v/>
      </c>
      <c r="J1989" t="str">
        <f>IFERROR(__xludf.DUMMYFUNCTION("""COMPUTED_VALUE"""),"")</f>
        <v/>
      </c>
      <c r="K1989" t="str">
        <f>IFERROR(__xludf.DUMMYFUNCTION("""COMPUTED_VALUE"""),"")</f>
        <v/>
      </c>
    </row>
    <row r="1990">
      <c r="B1990" t="str">
        <f>IFERROR(__xludf.DUMMYFUNCTION("""COMPUTED_VALUE"""),"")</f>
        <v/>
      </c>
      <c r="J1990" t="str">
        <f>IFERROR(__xludf.DUMMYFUNCTION("""COMPUTED_VALUE"""),"")</f>
        <v/>
      </c>
      <c r="K1990" t="str">
        <f>IFERROR(__xludf.DUMMYFUNCTION("""COMPUTED_VALUE"""),"")</f>
        <v/>
      </c>
    </row>
    <row r="1991">
      <c r="B1991" t="str">
        <f>IFERROR(__xludf.DUMMYFUNCTION("""COMPUTED_VALUE"""),"")</f>
        <v/>
      </c>
      <c r="J1991" t="str">
        <f>IFERROR(__xludf.DUMMYFUNCTION("""COMPUTED_VALUE"""),"")</f>
        <v/>
      </c>
      <c r="K1991" t="str">
        <f>IFERROR(__xludf.DUMMYFUNCTION("""COMPUTED_VALUE"""),"")</f>
        <v/>
      </c>
    </row>
    <row r="1992">
      <c r="B1992" t="str">
        <f>IFERROR(__xludf.DUMMYFUNCTION("""COMPUTED_VALUE"""),"")</f>
        <v/>
      </c>
      <c r="J1992" t="str">
        <f>IFERROR(__xludf.DUMMYFUNCTION("""COMPUTED_VALUE"""),"")</f>
        <v/>
      </c>
      <c r="K1992" t="str">
        <f>IFERROR(__xludf.DUMMYFUNCTION("""COMPUTED_VALUE"""),"")</f>
        <v/>
      </c>
    </row>
    <row r="1993">
      <c r="B1993" t="str">
        <f>IFERROR(__xludf.DUMMYFUNCTION("""COMPUTED_VALUE"""),"")</f>
        <v/>
      </c>
      <c r="J1993" t="str">
        <f>IFERROR(__xludf.DUMMYFUNCTION("""COMPUTED_VALUE"""),"")</f>
        <v/>
      </c>
      <c r="K1993" t="str">
        <f>IFERROR(__xludf.DUMMYFUNCTION("""COMPUTED_VALUE"""),"")</f>
        <v/>
      </c>
    </row>
    <row r="1994">
      <c r="B1994" t="str">
        <f>IFERROR(__xludf.DUMMYFUNCTION("""COMPUTED_VALUE"""),"")</f>
        <v/>
      </c>
      <c r="J1994" t="str">
        <f>IFERROR(__xludf.DUMMYFUNCTION("""COMPUTED_VALUE"""),"")</f>
        <v/>
      </c>
      <c r="K1994" t="str">
        <f>IFERROR(__xludf.DUMMYFUNCTION("""COMPUTED_VALUE"""),"")</f>
        <v/>
      </c>
    </row>
    <row r="1995">
      <c r="B1995" t="str">
        <f>IFERROR(__xludf.DUMMYFUNCTION("""COMPUTED_VALUE"""),"")</f>
        <v/>
      </c>
      <c r="J1995" t="str">
        <f>IFERROR(__xludf.DUMMYFUNCTION("""COMPUTED_VALUE"""),"")</f>
        <v/>
      </c>
      <c r="K1995" t="str">
        <f>IFERROR(__xludf.DUMMYFUNCTION("""COMPUTED_VALUE"""),"")</f>
        <v/>
      </c>
    </row>
    <row r="1996">
      <c r="B1996" t="str">
        <f>IFERROR(__xludf.DUMMYFUNCTION("""COMPUTED_VALUE"""),"")</f>
        <v/>
      </c>
      <c r="J1996" t="str">
        <f>IFERROR(__xludf.DUMMYFUNCTION("""COMPUTED_VALUE"""),"")</f>
        <v/>
      </c>
      <c r="K1996" t="str">
        <f>IFERROR(__xludf.DUMMYFUNCTION("""COMPUTED_VALUE"""),"")</f>
        <v/>
      </c>
    </row>
    <row r="1997">
      <c r="B1997" t="str">
        <f>IFERROR(__xludf.DUMMYFUNCTION("""COMPUTED_VALUE"""),"")</f>
        <v/>
      </c>
      <c r="J1997" t="str">
        <f>IFERROR(__xludf.DUMMYFUNCTION("""COMPUTED_VALUE"""),"")</f>
        <v/>
      </c>
      <c r="K1997" t="str">
        <f>IFERROR(__xludf.DUMMYFUNCTION("""COMPUTED_VALUE"""),"")</f>
        <v/>
      </c>
    </row>
    <row r="1998">
      <c r="B1998" t="str">
        <f>IFERROR(__xludf.DUMMYFUNCTION("""COMPUTED_VALUE"""),"")</f>
        <v/>
      </c>
      <c r="J1998" t="str">
        <f>IFERROR(__xludf.DUMMYFUNCTION("""COMPUTED_VALUE"""),"")</f>
        <v/>
      </c>
      <c r="K1998" t="str">
        <f>IFERROR(__xludf.DUMMYFUNCTION("""COMPUTED_VALUE"""),"")</f>
        <v/>
      </c>
    </row>
    <row r="1999">
      <c r="B1999" t="str">
        <f>IFERROR(__xludf.DUMMYFUNCTION("""COMPUTED_VALUE"""),"")</f>
        <v/>
      </c>
      <c r="J1999" t="str">
        <f>IFERROR(__xludf.DUMMYFUNCTION("""COMPUTED_VALUE"""),"")</f>
        <v/>
      </c>
      <c r="K1999" t="str">
        <f>IFERROR(__xludf.DUMMYFUNCTION("""COMPUTED_VALUE"""),"")</f>
        <v/>
      </c>
    </row>
    <row r="2000">
      <c r="B2000" t="str">
        <f>IFERROR(__xludf.DUMMYFUNCTION("""COMPUTED_VALUE"""),"")</f>
        <v/>
      </c>
      <c r="J2000" t="str">
        <f>IFERROR(__xludf.DUMMYFUNCTION("""COMPUTED_VALUE"""),"")</f>
        <v/>
      </c>
      <c r="K2000" t="str">
        <f>IFERROR(__xludf.DUMMYFUNCTION("""COMPUTED_VALUE"""),"")</f>
        <v/>
      </c>
    </row>
  </sheetData>
  <conditionalFormatting sqref="B2:B2000">
    <cfRule type="notContainsBlanks" dxfId="0" priority="1">
      <formula>LEN(TRIM(B2))&gt;0</formula>
    </cfRule>
  </conditionalFormatting>
  <hyperlinks>
    <hyperlink r:id="rId1" ref="C2"/>
    <hyperlink r:id="rId2" ref="H2"/>
    <hyperlink r:id="rId3" ref="C3"/>
    <hyperlink r:id="rId4" ref="H3"/>
    <hyperlink r:id="rId5" ref="C4"/>
    <hyperlink r:id="rId6" ref="H4"/>
    <hyperlink r:id="rId7" ref="C5"/>
    <hyperlink r:id="rId8" ref="H5"/>
    <hyperlink r:id="rId9" ref="C6"/>
    <hyperlink r:id="rId10" ref="H6"/>
    <hyperlink r:id="rId11" ref="C7"/>
    <hyperlink r:id="rId12" ref="H7"/>
    <hyperlink r:id="rId13" ref="C8"/>
    <hyperlink r:id="rId14" ref="H8"/>
    <hyperlink r:id="rId15" ref="C9"/>
    <hyperlink r:id="rId16" ref="H9"/>
    <hyperlink r:id="rId17" ref="C10"/>
    <hyperlink r:id="rId18" ref="H10"/>
    <hyperlink r:id="rId19" ref="C11"/>
    <hyperlink r:id="rId20" ref="H11"/>
    <hyperlink r:id="rId21" ref="C12"/>
    <hyperlink r:id="rId22" ref="H12"/>
    <hyperlink r:id="rId23" ref="C13"/>
    <hyperlink r:id="rId24" ref="H13"/>
    <hyperlink r:id="rId25" ref="C14"/>
    <hyperlink r:id="rId26" ref="H14"/>
    <hyperlink r:id="rId27" ref="C15"/>
    <hyperlink r:id="rId28" ref="H15"/>
    <hyperlink r:id="rId29" ref="M15"/>
    <hyperlink r:id="rId30" ref="C16"/>
    <hyperlink r:id="rId31" ref="H16"/>
    <hyperlink r:id="rId32" ref="M16"/>
    <hyperlink r:id="rId33" ref="C17"/>
    <hyperlink r:id="rId34" ref="H17"/>
    <hyperlink r:id="rId35" ref="C18"/>
    <hyperlink r:id="rId36" ref="H18"/>
    <hyperlink r:id="rId37" ref="M18"/>
    <hyperlink r:id="rId38" ref="C19"/>
    <hyperlink r:id="rId39" ref="H19"/>
    <hyperlink r:id="rId40" ref="C20"/>
    <hyperlink r:id="rId41" ref="H20"/>
    <hyperlink r:id="rId42" ref="C21"/>
    <hyperlink r:id="rId43" ref="H21"/>
    <hyperlink r:id="rId44" ref="C22"/>
    <hyperlink r:id="rId45" ref="H22"/>
    <hyperlink r:id="rId46" ref="C23"/>
    <hyperlink r:id="rId47" ref="H23"/>
    <hyperlink r:id="rId48" ref="C24"/>
    <hyperlink r:id="rId49" ref="H24"/>
    <hyperlink r:id="rId50" ref="C25"/>
    <hyperlink r:id="rId51" ref="H25"/>
    <hyperlink r:id="rId52" ref="C26"/>
    <hyperlink r:id="rId53" ref="H26"/>
    <hyperlink r:id="rId54" ref="C27"/>
    <hyperlink r:id="rId55" ref="C28"/>
    <hyperlink r:id="rId56" ref="H28"/>
    <hyperlink r:id="rId57" ref="M28"/>
    <hyperlink r:id="rId58" ref="C29"/>
    <hyperlink r:id="rId59" ref="H29"/>
    <hyperlink r:id="rId60" ref="C30"/>
    <hyperlink r:id="rId61" ref="H30"/>
    <hyperlink r:id="rId62" ref="C31"/>
    <hyperlink r:id="rId63" ref="H31"/>
    <hyperlink r:id="rId64" ref="C32"/>
    <hyperlink r:id="rId65" ref="H32"/>
    <hyperlink r:id="rId66" ref="C33"/>
    <hyperlink r:id="rId67" ref="H33"/>
    <hyperlink r:id="rId68" ref="C34"/>
    <hyperlink r:id="rId69" ref="H34"/>
    <hyperlink r:id="rId70" ref="C35"/>
    <hyperlink r:id="rId71" ref="H35"/>
    <hyperlink r:id="rId72" ref="C36"/>
    <hyperlink r:id="rId73" ref="H36"/>
    <hyperlink r:id="rId74" ref="C37"/>
    <hyperlink r:id="rId75" ref="H37"/>
    <hyperlink r:id="rId76" ref="C38"/>
    <hyperlink r:id="rId77" ref="H38"/>
    <hyperlink r:id="rId78" ref="C39"/>
    <hyperlink r:id="rId79" ref="H39"/>
    <hyperlink r:id="rId80" ref="C40"/>
    <hyperlink r:id="rId81" ref="H40"/>
    <hyperlink r:id="rId82" ref="C41"/>
    <hyperlink r:id="rId83" ref="H41"/>
    <hyperlink r:id="rId84" ref="C42"/>
    <hyperlink r:id="rId85" ref="H42"/>
    <hyperlink r:id="rId86" ref="C43"/>
    <hyperlink r:id="rId87" ref="H43"/>
    <hyperlink r:id="rId88" ref="C44"/>
    <hyperlink r:id="rId89" ref="H44"/>
    <hyperlink r:id="rId90" ref="C45"/>
    <hyperlink r:id="rId91" ref="H45"/>
    <hyperlink r:id="rId92" ref="C46"/>
    <hyperlink r:id="rId93" ref="H46"/>
    <hyperlink r:id="rId94" ref="C47"/>
    <hyperlink r:id="rId95" ref="H47"/>
    <hyperlink r:id="rId96" ref="C48"/>
    <hyperlink r:id="rId97" ref="H48"/>
    <hyperlink r:id="rId98" ref="C49"/>
    <hyperlink r:id="rId99" ref="H49"/>
    <hyperlink r:id="rId100" ref="C50"/>
    <hyperlink r:id="rId101" ref="H50"/>
    <hyperlink r:id="rId102" ref="C51"/>
    <hyperlink r:id="rId103" ref="H51"/>
    <hyperlink r:id="rId104" ref="C52"/>
    <hyperlink r:id="rId105" ref="H52"/>
    <hyperlink r:id="rId106" ref="C53"/>
    <hyperlink r:id="rId107" ref="H53"/>
    <hyperlink r:id="rId108" ref="C54"/>
    <hyperlink r:id="rId109" ref="H54"/>
    <hyperlink r:id="rId110" ref="C55"/>
    <hyperlink r:id="rId111" ref="H55"/>
    <hyperlink r:id="rId112" ref="C56"/>
    <hyperlink r:id="rId113" ref="H56"/>
    <hyperlink r:id="rId114" ref="C57"/>
    <hyperlink r:id="rId115" ref="H57"/>
    <hyperlink r:id="rId116" ref="C58"/>
    <hyperlink r:id="rId117" ref="H58"/>
    <hyperlink r:id="rId118" ref="M58"/>
    <hyperlink r:id="rId119" ref="C59"/>
    <hyperlink r:id="rId120" ref="H59"/>
    <hyperlink r:id="rId121" ref="C60"/>
    <hyperlink r:id="rId122" ref="H60"/>
    <hyperlink r:id="rId123" ref="C61"/>
    <hyperlink r:id="rId124" ref="H61"/>
    <hyperlink r:id="rId125" ref="C62"/>
    <hyperlink r:id="rId126" ref="H62"/>
    <hyperlink r:id="rId127" ref="C63"/>
    <hyperlink r:id="rId128" ref="H63"/>
    <hyperlink r:id="rId129" ref="C64"/>
    <hyperlink r:id="rId130" ref="H64"/>
    <hyperlink r:id="rId131" ref="C65"/>
    <hyperlink r:id="rId132" ref="H65"/>
    <hyperlink r:id="rId133" ref="C66"/>
    <hyperlink r:id="rId134" ref="H66"/>
    <hyperlink r:id="rId135" ref="C67"/>
    <hyperlink r:id="rId136" ref="H67"/>
    <hyperlink r:id="rId137" ref="C68"/>
    <hyperlink r:id="rId138" ref="H68"/>
    <hyperlink r:id="rId139" ref="C69"/>
    <hyperlink r:id="rId140" ref="H69"/>
    <hyperlink r:id="rId141" ref="C70"/>
    <hyperlink r:id="rId142" ref="H70"/>
    <hyperlink r:id="rId143" ref="C71"/>
    <hyperlink r:id="rId144" ref="H71"/>
    <hyperlink r:id="rId145" ref="C72"/>
    <hyperlink r:id="rId146" ref="H72"/>
    <hyperlink r:id="rId147" ref="C73"/>
    <hyperlink r:id="rId148" ref="H73"/>
    <hyperlink r:id="rId149" ref="C74"/>
    <hyperlink r:id="rId150" ref="H74"/>
    <hyperlink r:id="rId151" ref="C75"/>
    <hyperlink r:id="rId152" ref="H75"/>
    <hyperlink r:id="rId153" ref="C76"/>
    <hyperlink r:id="rId154" ref="H76"/>
    <hyperlink r:id="rId155" ref="C77"/>
    <hyperlink r:id="rId156" ref="H77"/>
    <hyperlink r:id="rId157" ref="C78"/>
    <hyperlink r:id="rId158" ref="H78"/>
    <hyperlink r:id="rId159" ref="C79"/>
    <hyperlink r:id="rId160" ref="H79"/>
    <hyperlink r:id="rId161" ref="C80"/>
    <hyperlink r:id="rId162" ref="H80"/>
    <hyperlink r:id="rId163" ref="C81"/>
    <hyperlink r:id="rId164" ref="H81"/>
    <hyperlink r:id="rId165" ref="C82"/>
    <hyperlink r:id="rId166" ref="H82"/>
    <hyperlink r:id="rId167" ref="C83"/>
    <hyperlink r:id="rId168" ref="H83"/>
    <hyperlink r:id="rId169" ref="C84"/>
    <hyperlink r:id="rId170" ref="H84"/>
    <hyperlink r:id="rId171" ref="C85"/>
    <hyperlink r:id="rId172" ref="H85"/>
    <hyperlink r:id="rId173" ref="C86"/>
    <hyperlink r:id="rId174" ref="H86"/>
    <hyperlink r:id="rId175" ref="C87"/>
    <hyperlink r:id="rId176" ref="H87"/>
    <hyperlink r:id="rId177" ref="C88"/>
    <hyperlink r:id="rId178" ref="H88"/>
    <hyperlink r:id="rId179" ref="C89"/>
    <hyperlink r:id="rId180" ref="H89"/>
    <hyperlink r:id="rId181" ref="C90"/>
    <hyperlink r:id="rId182" ref="H90"/>
    <hyperlink r:id="rId183" ref="C91"/>
    <hyperlink r:id="rId184" ref="H91"/>
    <hyperlink r:id="rId185" ref="C92"/>
    <hyperlink r:id="rId186" ref="H92"/>
    <hyperlink r:id="rId187" ref="C93"/>
    <hyperlink r:id="rId188" ref="H93"/>
    <hyperlink r:id="rId189" ref="C94"/>
    <hyperlink r:id="rId190" ref="H94"/>
    <hyperlink r:id="rId191" ref="C95"/>
    <hyperlink r:id="rId192" ref="H95"/>
    <hyperlink r:id="rId193" ref="C96"/>
    <hyperlink r:id="rId194" ref="H96"/>
    <hyperlink r:id="rId195" ref="C97"/>
    <hyperlink r:id="rId196" ref="H97"/>
    <hyperlink r:id="rId197" ref="C98"/>
    <hyperlink r:id="rId198" ref="H98"/>
    <hyperlink r:id="rId199" ref="C99"/>
    <hyperlink r:id="rId200" ref="H99"/>
    <hyperlink r:id="rId201" ref="L99"/>
    <hyperlink r:id="rId202" ref="C100"/>
    <hyperlink r:id="rId203" ref="H100"/>
    <hyperlink r:id="rId204" ref="C101"/>
    <hyperlink r:id="rId205" ref="H101"/>
    <hyperlink r:id="rId206" ref="C102"/>
    <hyperlink r:id="rId207" ref="H102"/>
    <hyperlink r:id="rId208" ref="C103"/>
    <hyperlink r:id="rId209" ref="H103"/>
    <hyperlink r:id="rId210" ref="C104"/>
    <hyperlink r:id="rId211" ref="M104"/>
    <hyperlink r:id="rId212" ref="C105"/>
    <hyperlink r:id="rId213" ref="H105"/>
    <hyperlink r:id="rId214" ref="C106"/>
    <hyperlink r:id="rId215" ref="H106"/>
    <hyperlink r:id="rId216" ref="L106"/>
    <hyperlink r:id="rId217" ref="C107"/>
    <hyperlink r:id="rId218" ref="H107"/>
    <hyperlink r:id="rId219" ref="M107"/>
    <hyperlink r:id="rId220" ref="C108"/>
    <hyperlink r:id="rId221" ref="H108"/>
    <hyperlink r:id="rId222" ref="C109"/>
    <hyperlink r:id="rId223" ref="H109"/>
    <hyperlink r:id="rId224" ref="C110"/>
    <hyperlink r:id="rId225" ref="H110"/>
    <hyperlink r:id="rId226" ref="C111"/>
    <hyperlink r:id="rId227" ref="H111"/>
    <hyperlink r:id="rId228" ref="C112"/>
    <hyperlink r:id="rId229" ref="H112"/>
    <hyperlink r:id="rId230" ref="C113"/>
    <hyperlink r:id="rId231" ref="H113"/>
    <hyperlink r:id="rId232" ref="C114"/>
    <hyperlink r:id="rId233" ref="H114"/>
    <hyperlink r:id="rId234" ref="C115"/>
    <hyperlink r:id="rId235" ref="H115"/>
    <hyperlink r:id="rId236" ref="C116"/>
    <hyperlink r:id="rId237" ref="H116"/>
    <hyperlink r:id="rId238" ref="C117"/>
    <hyperlink r:id="rId239" ref="H117"/>
    <hyperlink r:id="rId240" ref="C118"/>
    <hyperlink r:id="rId241" ref="H118"/>
    <hyperlink r:id="rId242" ref="C119"/>
    <hyperlink r:id="rId243" ref="H119"/>
    <hyperlink r:id="rId244" ref="C120"/>
    <hyperlink r:id="rId245" ref="H120"/>
    <hyperlink r:id="rId246" ref="C121"/>
    <hyperlink r:id="rId247" ref="H121"/>
    <hyperlink r:id="rId248" ref="C122"/>
    <hyperlink r:id="rId249" ref="H122"/>
    <hyperlink r:id="rId250" ref="C123"/>
    <hyperlink r:id="rId251" ref="H123"/>
    <hyperlink r:id="rId252" ref="C124"/>
    <hyperlink r:id="rId253" ref="H124"/>
    <hyperlink r:id="rId254" ref="C125"/>
    <hyperlink r:id="rId255" ref="H125"/>
    <hyperlink r:id="rId256" ref="C126"/>
    <hyperlink r:id="rId257" ref="H126"/>
    <hyperlink r:id="rId258" ref="C127"/>
    <hyperlink r:id="rId259" ref="H127"/>
    <hyperlink r:id="rId260" ref="C128"/>
    <hyperlink r:id="rId261" ref="H128"/>
    <hyperlink r:id="rId262" ref="C129"/>
    <hyperlink r:id="rId263" ref="H129"/>
    <hyperlink r:id="rId264" ref="C130"/>
    <hyperlink r:id="rId265" ref="H130"/>
    <hyperlink r:id="rId266" ref="C131"/>
    <hyperlink r:id="rId267" ref="H131"/>
    <hyperlink r:id="rId268" ref="C132"/>
    <hyperlink r:id="rId269" ref="H132"/>
    <hyperlink r:id="rId270" ref="H133"/>
    <hyperlink r:id="rId271" ref="C134"/>
    <hyperlink r:id="rId272" ref="H134"/>
    <hyperlink r:id="rId273" ref="C135"/>
    <hyperlink r:id="rId274" ref="H135"/>
    <hyperlink r:id="rId275" ref="M135"/>
    <hyperlink r:id="rId276" ref="C136"/>
    <hyperlink r:id="rId277" ref="H136"/>
    <hyperlink r:id="rId278" ref="C137"/>
    <hyperlink r:id="rId279" ref="H137"/>
    <hyperlink r:id="rId280" ref="C138"/>
    <hyperlink r:id="rId281" ref="H138"/>
    <hyperlink r:id="rId282" ref="C139"/>
    <hyperlink r:id="rId283" ref="H139"/>
    <hyperlink r:id="rId284" ref="C140"/>
    <hyperlink r:id="rId285" ref="H140"/>
    <hyperlink r:id="rId286" ref="C141"/>
    <hyperlink r:id="rId287" ref="H141"/>
    <hyperlink r:id="rId288" ref="C142"/>
    <hyperlink r:id="rId289" ref="H142"/>
    <hyperlink r:id="rId290" ref="C143"/>
    <hyperlink r:id="rId291" ref="H143"/>
    <hyperlink r:id="rId292" ref="C144"/>
    <hyperlink r:id="rId293" ref="H144"/>
    <hyperlink r:id="rId294" ref="C145"/>
    <hyperlink r:id="rId295" ref="H145"/>
    <hyperlink r:id="rId296" ref="C146"/>
    <hyperlink r:id="rId297" ref="H146"/>
    <hyperlink r:id="rId298" ref="C147"/>
    <hyperlink r:id="rId299" ref="H147"/>
    <hyperlink r:id="rId300" ref="C148"/>
    <hyperlink r:id="rId301" ref="H148"/>
    <hyperlink r:id="rId302" ref="C149"/>
    <hyperlink r:id="rId303" ref="H149"/>
    <hyperlink r:id="rId304" ref="C150"/>
    <hyperlink r:id="rId305" ref="H150"/>
    <hyperlink r:id="rId306" ref="H151"/>
    <hyperlink r:id="rId307" ref="C152"/>
    <hyperlink r:id="rId308" ref="H152"/>
    <hyperlink r:id="rId309" ref="C153"/>
    <hyperlink r:id="rId310" ref="H153"/>
    <hyperlink r:id="rId311" ref="C154"/>
    <hyperlink r:id="rId312" ref="H154"/>
    <hyperlink r:id="rId313" ref="C155"/>
    <hyperlink r:id="rId314" ref="H155"/>
    <hyperlink r:id="rId315" ref="C156"/>
    <hyperlink r:id="rId316" ref="H156"/>
    <hyperlink r:id="rId317" ref="C157"/>
    <hyperlink r:id="rId318" ref="H157"/>
    <hyperlink r:id="rId319" ref="C158"/>
    <hyperlink r:id="rId320" ref="H158"/>
    <hyperlink r:id="rId321" ref="C159"/>
    <hyperlink r:id="rId322" ref="H159"/>
    <hyperlink r:id="rId323" ref="C160"/>
    <hyperlink r:id="rId324" ref="H160"/>
    <hyperlink r:id="rId325" ref="C161"/>
    <hyperlink r:id="rId326" ref="H161"/>
    <hyperlink r:id="rId327" ref="C162"/>
    <hyperlink r:id="rId328" ref="H162"/>
    <hyperlink r:id="rId329" ref="C163"/>
    <hyperlink r:id="rId330" ref="H163"/>
    <hyperlink r:id="rId331" ref="C164"/>
    <hyperlink r:id="rId332" ref="H164"/>
    <hyperlink r:id="rId333" ref="C165"/>
    <hyperlink r:id="rId334" ref="H165"/>
    <hyperlink r:id="rId335" ref="C166"/>
    <hyperlink r:id="rId336" ref="H166"/>
    <hyperlink r:id="rId337" ref="C167"/>
    <hyperlink r:id="rId338" ref="H167"/>
    <hyperlink r:id="rId339" location="gid=763026677" ref="C168"/>
    <hyperlink r:id="rId340" ref="H168"/>
    <hyperlink r:id="rId341" ref="C169"/>
    <hyperlink r:id="rId342" ref="H169"/>
    <hyperlink r:id="rId343" ref="C170"/>
    <hyperlink r:id="rId344" ref="H170"/>
    <hyperlink r:id="rId345" ref="C171"/>
    <hyperlink r:id="rId346" ref="H171"/>
    <hyperlink r:id="rId347" ref="M171"/>
    <hyperlink r:id="rId348" ref="C172"/>
    <hyperlink r:id="rId349" ref="H172"/>
    <hyperlink r:id="rId350" ref="M172"/>
    <hyperlink r:id="rId351" ref="C173"/>
    <hyperlink r:id="rId352" ref="H173"/>
    <hyperlink r:id="rId353" ref="C174"/>
    <hyperlink r:id="rId354" ref="H174"/>
    <hyperlink r:id="rId355" ref="C175"/>
    <hyperlink r:id="rId356" ref="H175"/>
    <hyperlink r:id="rId357" ref="M175"/>
    <hyperlink r:id="rId358" ref="C176"/>
    <hyperlink r:id="rId359" ref="H176"/>
    <hyperlink r:id="rId360" ref="C177"/>
    <hyperlink r:id="rId361" ref="H177"/>
    <hyperlink r:id="rId362" ref="C178"/>
    <hyperlink r:id="rId363" ref="H178"/>
    <hyperlink r:id="rId364" ref="C179"/>
    <hyperlink r:id="rId365" ref="H179"/>
    <hyperlink r:id="rId366" ref="M179"/>
    <hyperlink r:id="rId367" ref="C180"/>
    <hyperlink r:id="rId368" ref="H180"/>
    <hyperlink r:id="rId369" ref="C181"/>
    <hyperlink r:id="rId370" ref="H181"/>
    <hyperlink r:id="rId371" ref="C182"/>
    <hyperlink r:id="rId372" ref="H182"/>
    <hyperlink r:id="rId373" ref="C183"/>
    <hyperlink r:id="rId374" ref="H183"/>
    <hyperlink r:id="rId375" ref="C184"/>
    <hyperlink r:id="rId376" ref="H184"/>
    <hyperlink r:id="rId377" ref="C185"/>
    <hyperlink r:id="rId378" ref="H185"/>
    <hyperlink r:id="rId379" ref="L185"/>
    <hyperlink r:id="rId380" ref="C186"/>
    <hyperlink r:id="rId381" ref="H186"/>
    <hyperlink r:id="rId382" ref="C187"/>
    <hyperlink r:id="rId383" ref="H187"/>
    <hyperlink r:id="rId384" ref="C188"/>
    <hyperlink r:id="rId385" ref="H188"/>
    <hyperlink r:id="rId386" ref="C189"/>
    <hyperlink r:id="rId387" ref="H189"/>
    <hyperlink r:id="rId388" ref="C190"/>
    <hyperlink r:id="rId389" ref="H190"/>
    <hyperlink r:id="rId390" ref="C191"/>
    <hyperlink r:id="rId391" ref="H191"/>
    <hyperlink r:id="rId392" ref="C192"/>
    <hyperlink r:id="rId393" ref="H192"/>
    <hyperlink r:id="rId394" ref="C193"/>
    <hyperlink r:id="rId395" ref="H193"/>
    <hyperlink r:id="rId396" ref="C194"/>
    <hyperlink r:id="rId397" ref="H194"/>
    <hyperlink r:id="rId398" ref="C195"/>
    <hyperlink r:id="rId399" ref="H195"/>
    <hyperlink r:id="rId400" ref="C196"/>
    <hyperlink r:id="rId401" ref="H196"/>
    <hyperlink r:id="rId402" ref="C197"/>
    <hyperlink r:id="rId403" ref="H197"/>
    <hyperlink r:id="rId404" ref="C198"/>
    <hyperlink r:id="rId405" ref="H198"/>
    <hyperlink r:id="rId406" ref="M198"/>
    <hyperlink r:id="rId407" ref="C199"/>
    <hyperlink r:id="rId408" ref="H199"/>
    <hyperlink r:id="rId409" ref="C200"/>
    <hyperlink r:id="rId410" ref="H200"/>
    <hyperlink r:id="rId411" ref="C201"/>
    <hyperlink r:id="rId412" ref="H201"/>
    <hyperlink r:id="rId413" ref="C202"/>
    <hyperlink r:id="rId414" ref="H202"/>
    <hyperlink r:id="rId415" ref="M202"/>
    <hyperlink r:id="rId416" ref="C203"/>
    <hyperlink r:id="rId417" ref="H203"/>
    <hyperlink r:id="rId418" ref="C204"/>
    <hyperlink r:id="rId419" ref="H204"/>
    <hyperlink r:id="rId420" ref="C205"/>
    <hyperlink r:id="rId421" ref="H205"/>
    <hyperlink r:id="rId422" ref="C206"/>
    <hyperlink r:id="rId423" ref="H206"/>
    <hyperlink r:id="rId424" ref="C207"/>
    <hyperlink r:id="rId425" ref="H207"/>
    <hyperlink r:id="rId426" ref="C208"/>
    <hyperlink r:id="rId427" ref="H208"/>
    <hyperlink r:id="rId428" ref="C209"/>
    <hyperlink r:id="rId429" ref="H209"/>
    <hyperlink r:id="rId430" ref="C210"/>
    <hyperlink r:id="rId431" ref="H210"/>
    <hyperlink r:id="rId432" ref="C211"/>
    <hyperlink r:id="rId433" ref="H211"/>
    <hyperlink r:id="rId434" ref="C212"/>
    <hyperlink r:id="rId435" ref="H212"/>
    <hyperlink r:id="rId436" ref="C213"/>
    <hyperlink r:id="rId437" ref="H213"/>
    <hyperlink r:id="rId438" ref="M213"/>
    <hyperlink r:id="rId439" ref="C214"/>
    <hyperlink r:id="rId440" ref="H214"/>
    <hyperlink r:id="rId441" ref="C215"/>
    <hyperlink r:id="rId442" ref="H215"/>
    <hyperlink r:id="rId443" ref="C216"/>
    <hyperlink r:id="rId444" ref="H216"/>
    <hyperlink r:id="rId445" ref="C217"/>
    <hyperlink r:id="rId446" ref="H217"/>
    <hyperlink r:id="rId447" ref="C218"/>
    <hyperlink r:id="rId448" ref="H218"/>
    <hyperlink r:id="rId449" ref="C219"/>
    <hyperlink r:id="rId450" ref="H219"/>
    <hyperlink r:id="rId451" ref="C220"/>
    <hyperlink r:id="rId452" ref="H220"/>
    <hyperlink r:id="rId453" ref="C221"/>
    <hyperlink r:id="rId454" ref="H221"/>
    <hyperlink r:id="rId455" ref="C222"/>
    <hyperlink r:id="rId456" ref="H222"/>
    <hyperlink r:id="rId457" ref="C223"/>
    <hyperlink r:id="rId458" ref="H223"/>
    <hyperlink r:id="rId459" ref="M223"/>
    <hyperlink r:id="rId460" ref="C224"/>
    <hyperlink r:id="rId461" ref="H224"/>
    <hyperlink r:id="rId462" ref="C225"/>
    <hyperlink r:id="rId463" ref="H225"/>
    <hyperlink r:id="rId464" ref="C226"/>
    <hyperlink r:id="rId465" ref="H226"/>
    <hyperlink r:id="rId466" ref="C227"/>
    <hyperlink r:id="rId467" ref="H227"/>
    <hyperlink r:id="rId468" ref="C228"/>
    <hyperlink r:id="rId469" ref="H228"/>
    <hyperlink r:id="rId470" ref="C229"/>
    <hyperlink r:id="rId471" ref="H229"/>
    <hyperlink r:id="rId472" ref="C230"/>
    <hyperlink r:id="rId473" ref="H230"/>
    <hyperlink r:id="rId474" location="node-5024" ref="C231"/>
    <hyperlink r:id="rId475" ref="H231"/>
    <hyperlink r:id="rId476" ref="C232"/>
    <hyperlink r:id="rId477" ref="H232"/>
    <hyperlink r:id="rId478" ref="C233"/>
    <hyperlink r:id="rId479" ref="H233"/>
    <hyperlink r:id="rId480" ref="C234"/>
    <hyperlink r:id="rId481" ref="H234"/>
    <hyperlink r:id="rId482" ref="C235"/>
    <hyperlink r:id="rId483" ref="H235"/>
    <hyperlink r:id="rId484" ref="C236"/>
    <hyperlink r:id="rId485" ref="H236"/>
    <hyperlink r:id="rId486" ref="C237"/>
    <hyperlink r:id="rId487" ref="H237"/>
    <hyperlink r:id="rId488" ref="C238"/>
    <hyperlink r:id="rId489" ref="H238"/>
    <hyperlink r:id="rId490" ref="C239"/>
    <hyperlink r:id="rId491" ref="H239"/>
    <hyperlink r:id="rId492" ref="C240"/>
    <hyperlink r:id="rId493" ref="H240"/>
    <hyperlink r:id="rId494" ref="L240"/>
    <hyperlink r:id="rId495" ref="C241"/>
    <hyperlink r:id="rId496" ref="H241"/>
    <hyperlink r:id="rId497" ref="C242"/>
    <hyperlink r:id="rId498" ref="H242"/>
    <hyperlink r:id="rId499" ref="C243"/>
    <hyperlink r:id="rId500" ref="H243"/>
    <hyperlink r:id="rId501" ref="C244"/>
    <hyperlink r:id="rId502" ref="H244"/>
    <hyperlink r:id="rId503" ref="C245"/>
    <hyperlink r:id="rId504" ref="H245"/>
    <hyperlink r:id="rId505" ref="C246"/>
    <hyperlink r:id="rId506" ref="H246"/>
    <hyperlink r:id="rId507" ref="C247"/>
    <hyperlink r:id="rId508" ref="H247"/>
    <hyperlink r:id="rId509" ref="C248"/>
    <hyperlink r:id="rId510" ref="H248"/>
    <hyperlink r:id="rId511" ref="C249"/>
    <hyperlink r:id="rId512" ref="H249"/>
    <hyperlink r:id="rId513" ref="C250"/>
    <hyperlink r:id="rId514" ref="H250"/>
    <hyperlink r:id="rId515" ref="C251"/>
    <hyperlink r:id="rId516" ref="H251"/>
    <hyperlink r:id="rId517" ref="C252"/>
    <hyperlink r:id="rId518" ref="H252"/>
    <hyperlink r:id="rId519" ref="C253"/>
    <hyperlink r:id="rId520" ref="H253"/>
    <hyperlink r:id="rId521" ref="C254"/>
    <hyperlink r:id="rId522" ref="H254"/>
    <hyperlink r:id="rId523" ref="C255"/>
    <hyperlink r:id="rId524" ref="H255"/>
    <hyperlink r:id="rId525" ref="M255"/>
    <hyperlink r:id="rId526" ref="C256"/>
    <hyperlink r:id="rId527" ref="H256"/>
    <hyperlink r:id="rId528" ref="C257"/>
    <hyperlink r:id="rId529" ref="H257"/>
    <hyperlink r:id="rId530" ref="C258"/>
    <hyperlink r:id="rId531" ref="H258"/>
    <hyperlink r:id="rId532" ref="C259"/>
    <hyperlink r:id="rId533" ref="H259"/>
    <hyperlink r:id="rId534" ref="C260"/>
    <hyperlink r:id="rId535" ref="H260"/>
    <hyperlink r:id="rId536" ref="C261"/>
    <hyperlink r:id="rId537" ref="H261"/>
    <hyperlink r:id="rId538" ref="C262"/>
    <hyperlink r:id="rId539" ref="H262"/>
    <hyperlink r:id="rId540" ref="C263"/>
    <hyperlink r:id="rId541" ref="H263"/>
    <hyperlink r:id="rId542" ref="M263"/>
    <hyperlink r:id="rId543" ref="C264"/>
    <hyperlink r:id="rId544" ref="H264"/>
    <hyperlink r:id="rId545" ref="M264"/>
    <hyperlink r:id="rId546" ref="C265"/>
    <hyperlink r:id="rId547" ref="H265"/>
    <hyperlink r:id="rId548" ref="C266"/>
    <hyperlink r:id="rId549" ref="H266"/>
    <hyperlink r:id="rId550" ref="C267"/>
    <hyperlink r:id="rId551" ref="H267"/>
    <hyperlink r:id="rId552" ref="C268"/>
    <hyperlink r:id="rId553" ref="C269"/>
    <hyperlink r:id="rId554" ref="H269"/>
    <hyperlink r:id="rId555" ref="C270"/>
    <hyperlink r:id="rId556" ref="H270"/>
    <hyperlink r:id="rId557" ref="C271"/>
    <hyperlink r:id="rId558" ref="H271"/>
    <hyperlink r:id="rId559" ref="C272"/>
    <hyperlink r:id="rId560" ref="H272"/>
    <hyperlink r:id="rId561" ref="C273"/>
    <hyperlink r:id="rId562" ref="H273"/>
    <hyperlink r:id="rId563" ref="C274"/>
    <hyperlink r:id="rId564" ref="H274"/>
    <hyperlink r:id="rId565" ref="C275"/>
    <hyperlink r:id="rId566" ref="H275"/>
    <hyperlink r:id="rId567" ref="C276"/>
    <hyperlink r:id="rId568" ref="H276"/>
    <hyperlink r:id="rId569" ref="C277"/>
    <hyperlink r:id="rId570" ref="H277"/>
    <hyperlink r:id="rId571" ref="C278"/>
    <hyperlink r:id="rId572" ref="H278"/>
    <hyperlink r:id="rId573" ref="C279"/>
    <hyperlink r:id="rId574" ref="H279"/>
    <hyperlink r:id="rId575" ref="C280"/>
    <hyperlink r:id="rId576" ref="H280"/>
    <hyperlink r:id="rId577" ref="C281"/>
    <hyperlink r:id="rId578" ref="H281"/>
    <hyperlink r:id="rId579" ref="C282"/>
    <hyperlink r:id="rId580" ref="H282"/>
    <hyperlink r:id="rId581" ref="C283"/>
    <hyperlink r:id="rId582" ref="H283"/>
    <hyperlink r:id="rId583" ref="C284"/>
    <hyperlink r:id="rId584" ref="H284"/>
    <hyperlink r:id="rId585" ref="C285"/>
    <hyperlink r:id="rId586" ref="H285"/>
    <hyperlink r:id="rId587" ref="C286"/>
    <hyperlink r:id="rId588" ref="H286"/>
    <hyperlink r:id="rId589" ref="C287"/>
    <hyperlink r:id="rId590" ref="H287"/>
    <hyperlink r:id="rId591" ref="C288"/>
    <hyperlink r:id="rId592" ref="H288"/>
    <hyperlink r:id="rId593" ref="M288"/>
    <hyperlink r:id="rId594" ref="C289"/>
    <hyperlink r:id="rId595" ref="H289"/>
    <hyperlink r:id="rId596" ref="C290"/>
    <hyperlink r:id="rId597" ref="H290"/>
    <hyperlink r:id="rId598" ref="C291"/>
    <hyperlink r:id="rId599" ref="H291"/>
    <hyperlink r:id="rId600" ref="C292"/>
    <hyperlink r:id="rId601" ref="H292"/>
    <hyperlink r:id="rId602" ref="C293"/>
    <hyperlink r:id="rId603" ref="H293"/>
    <hyperlink r:id="rId604" ref="C294"/>
    <hyperlink r:id="rId605" ref="H294"/>
    <hyperlink r:id="rId606" ref="C295"/>
    <hyperlink r:id="rId607" ref="H295"/>
    <hyperlink r:id="rId608" ref="C296"/>
    <hyperlink r:id="rId609" ref="H296"/>
    <hyperlink r:id="rId610" ref="C297"/>
    <hyperlink r:id="rId611" ref="H297"/>
    <hyperlink r:id="rId612" ref="C298"/>
    <hyperlink r:id="rId613" ref="H298"/>
    <hyperlink r:id="rId614" ref="M298"/>
    <hyperlink r:id="rId615" ref="H299"/>
    <hyperlink r:id="rId616" ref="C300"/>
    <hyperlink r:id="rId617" ref="H300"/>
    <hyperlink r:id="rId618" ref="C301"/>
    <hyperlink r:id="rId619" ref="H301"/>
    <hyperlink r:id="rId620" ref="C302"/>
    <hyperlink r:id="rId621" ref="H302"/>
    <hyperlink r:id="rId622" ref="C303"/>
    <hyperlink r:id="rId623" ref="H303"/>
    <hyperlink r:id="rId624" ref="C304"/>
    <hyperlink r:id="rId625" ref="H304"/>
    <hyperlink r:id="rId626" ref="M304"/>
    <hyperlink r:id="rId627" ref="C305"/>
    <hyperlink r:id="rId628" ref="H305"/>
    <hyperlink r:id="rId629" ref="M305"/>
    <hyperlink r:id="rId630" ref="C306"/>
    <hyperlink r:id="rId631" ref="H306"/>
    <hyperlink r:id="rId632" ref="C307"/>
    <hyperlink r:id="rId633" ref="H307"/>
    <hyperlink r:id="rId634" ref="C308"/>
    <hyperlink r:id="rId635" ref="H308"/>
    <hyperlink r:id="rId636" ref="C309"/>
    <hyperlink r:id="rId637" ref="H309"/>
    <hyperlink r:id="rId638" ref="C310"/>
    <hyperlink r:id="rId639" ref="H310"/>
    <hyperlink r:id="rId640" ref="C311"/>
    <hyperlink r:id="rId641" ref="H311"/>
    <hyperlink r:id="rId642" ref="C312"/>
    <hyperlink r:id="rId643" ref="H312"/>
    <hyperlink r:id="rId644" ref="C313"/>
    <hyperlink r:id="rId645" ref="H313"/>
    <hyperlink r:id="rId646" ref="C314"/>
    <hyperlink r:id="rId647" ref="H314"/>
    <hyperlink r:id="rId648" ref="C315"/>
    <hyperlink r:id="rId649" ref="H315"/>
    <hyperlink r:id="rId650" ref="C316"/>
    <hyperlink r:id="rId651" ref="H316"/>
    <hyperlink r:id="rId652" ref="C317"/>
    <hyperlink r:id="rId653" ref="H317"/>
    <hyperlink r:id="rId654" ref="C318"/>
    <hyperlink r:id="rId655" ref="H318"/>
    <hyperlink r:id="rId656" ref="C319"/>
    <hyperlink r:id="rId657" ref="H319"/>
    <hyperlink r:id="rId658" ref="C320"/>
    <hyperlink r:id="rId659" ref="H320"/>
    <hyperlink r:id="rId660" ref="C321"/>
    <hyperlink r:id="rId661" ref="H321"/>
    <hyperlink r:id="rId662" ref="C322"/>
    <hyperlink r:id="rId663" ref="H322"/>
    <hyperlink r:id="rId664" ref="C323"/>
    <hyperlink r:id="rId665" ref="H323"/>
    <hyperlink r:id="rId666" ref="C324"/>
    <hyperlink r:id="rId667" ref="H324"/>
    <hyperlink r:id="rId668" ref="C325"/>
    <hyperlink r:id="rId669" ref="H325"/>
    <hyperlink r:id="rId670" ref="C326"/>
    <hyperlink r:id="rId671" ref="H326"/>
    <hyperlink r:id="rId672" ref="C327"/>
    <hyperlink r:id="rId673" ref="H327"/>
    <hyperlink r:id="rId674" ref="C328"/>
    <hyperlink r:id="rId675" ref="H328"/>
    <hyperlink r:id="rId676" ref="C329"/>
    <hyperlink r:id="rId677" ref="H329"/>
    <hyperlink r:id="rId678" ref="C330"/>
    <hyperlink r:id="rId679" ref="H330"/>
    <hyperlink r:id="rId680" ref="C331"/>
    <hyperlink r:id="rId681" ref="H331"/>
    <hyperlink r:id="rId682" ref="C332"/>
    <hyperlink r:id="rId683" ref="H332"/>
    <hyperlink r:id="rId684" ref="C333"/>
    <hyperlink r:id="rId685" ref="H333"/>
    <hyperlink r:id="rId686" ref="C334"/>
    <hyperlink r:id="rId687" ref="H334"/>
    <hyperlink r:id="rId688" ref="C335"/>
    <hyperlink r:id="rId689" ref="H335"/>
    <hyperlink r:id="rId690" ref="C336"/>
    <hyperlink r:id="rId691" ref="H336"/>
    <hyperlink r:id="rId692" ref="C337"/>
    <hyperlink r:id="rId693" ref="H337"/>
    <hyperlink r:id="rId694" ref="C338"/>
    <hyperlink r:id="rId695" ref="H338"/>
    <hyperlink r:id="rId696" ref="C339"/>
    <hyperlink r:id="rId697" ref="H339"/>
    <hyperlink r:id="rId698" ref="C340"/>
    <hyperlink r:id="rId699" ref="H340"/>
    <hyperlink r:id="rId700" ref="C341"/>
    <hyperlink r:id="rId701" ref="H341"/>
    <hyperlink r:id="rId702" ref="C342"/>
    <hyperlink r:id="rId703" ref="H342"/>
    <hyperlink r:id="rId704" ref="C343"/>
    <hyperlink r:id="rId705" ref="H343"/>
    <hyperlink r:id="rId706" ref="C344"/>
    <hyperlink r:id="rId707" ref="H344"/>
    <hyperlink r:id="rId708" ref="C345"/>
    <hyperlink r:id="rId709" ref="H345"/>
    <hyperlink r:id="rId710" ref="M345"/>
    <hyperlink r:id="rId711" ref="C346"/>
    <hyperlink r:id="rId712" ref="H346"/>
    <hyperlink r:id="rId713" ref="C347"/>
    <hyperlink r:id="rId714" ref="H347"/>
    <hyperlink r:id="rId715" ref="M347"/>
    <hyperlink r:id="rId716" ref="C348"/>
    <hyperlink r:id="rId717" ref="H348"/>
    <hyperlink r:id="rId718" ref="C349"/>
    <hyperlink r:id="rId719" ref="M349"/>
    <hyperlink r:id="rId720" ref="C350"/>
    <hyperlink r:id="rId721" ref="H350"/>
    <hyperlink r:id="rId722" ref="C351"/>
    <hyperlink r:id="rId723" ref="H351"/>
    <hyperlink r:id="rId724" ref="M351"/>
    <hyperlink r:id="rId725" ref="C352"/>
    <hyperlink r:id="rId726" ref="H352"/>
    <hyperlink r:id="rId727" ref="C353"/>
    <hyperlink r:id="rId728" ref="H353"/>
    <hyperlink r:id="rId729" ref="C354"/>
    <hyperlink r:id="rId730" ref="H354"/>
    <hyperlink r:id="rId731" ref="C355"/>
    <hyperlink r:id="rId732" ref="H355"/>
    <hyperlink r:id="rId733" ref="C356"/>
    <hyperlink r:id="rId734" ref="H356"/>
    <hyperlink r:id="rId735" ref="C357"/>
    <hyperlink r:id="rId736" ref="H357"/>
    <hyperlink r:id="rId737" ref="C358"/>
    <hyperlink r:id="rId738" ref="H358"/>
    <hyperlink r:id="rId739" ref="C359"/>
    <hyperlink r:id="rId740" ref="H359"/>
    <hyperlink r:id="rId741" ref="M359"/>
    <hyperlink r:id="rId742" ref="H360"/>
    <hyperlink r:id="rId743" ref="C361"/>
    <hyperlink r:id="rId744" ref="H361"/>
    <hyperlink r:id="rId745" ref="C362"/>
    <hyperlink r:id="rId746" ref="H362"/>
    <hyperlink r:id="rId747" ref="M362"/>
    <hyperlink r:id="rId748" ref="C363"/>
    <hyperlink r:id="rId749" ref="H363"/>
    <hyperlink r:id="rId750" ref="C364"/>
    <hyperlink r:id="rId751" ref="H364"/>
    <hyperlink r:id="rId752" ref="C365"/>
    <hyperlink r:id="rId753" ref="H365"/>
    <hyperlink r:id="rId754" ref="M365"/>
    <hyperlink r:id="rId755" ref="C366"/>
    <hyperlink r:id="rId756" ref="H366"/>
    <hyperlink r:id="rId757" ref="M366"/>
    <hyperlink r:id="rId758" ref="C367"/>
    <hyperlink r:id="rId759" ref="H367"/>
    <hyperlink r:id="rId760" ref="C368"/>
    <hyperlink r:id="rId761" ref="H368"/>
    <hyperlink r:id="rId762" ref="M368"/>
    <hyperlink r:id="rId763" ref="C369"/>
    <hyperlink r:id="rId764" ref="H369"/>
    <hyperlink r:id="rId765" ref="C370"/>
    <hyperlink r:id="rId766" ref="H370"/>
    <hyperlink r:id="rId767" ref="C371"/>
    <hyperlink r:id="rId768" ref="H371"/>
    <hyperlink r:id="rId769" ref="M371"/>
    <hyperlink r:id="rId770" ref="C372"/>
    <hyperlink r:id="rId771" ref="H372"/>
    <hyperlink r:id="rId772" ref="C373"/>
    <hyperlink r:id="rId773" ref="H373"/>
    <hyperlink r:id="rId774" ref="C374"/>
    <hyperlink r:id="rId775" ref="H374"/>
    <hyperlink r:id="rId776" ref="C375"/>
    <hyperlink r:id="rId777" ref="H375"/>
    <hyperlink r:id="rId778" ref="M375"/>
    <hyperlink r:id="rId779" ref="C376"/>
    <hyperlink r:id="rId780" ref="H376"/>
    <hyperlink r:id="rId781" ref="C377"/>
    <hyperlink r:id="rId782" ref="H377"/>
    <hyperlink r:id="rId783" ref="C378"/>
    <hyperlink r:id="rId784" ref="H378"/>
    <hyperlink r:id="rId785" ref="M378"/>
    <hyperlink r:id="rId786" ref="C379"/>
    <hyperlink r:id="rId787" ref="H379"/>
    <hyperlink r:id="rId788" ref="C380"/>
    <hyperlink r:id="rId789" ref="H380"/>
    <hyperlink r:id="rId790" ref="C381"/>
    <hyperlink r:id="rId791" ref="H381"/>
    <hyperlink r:id="rId792" ref="C382"/>
    <hyperlink r:id="rId793" ref="H382"/>
    <hyperlink r:id="rId794" ref="C383"/>
    <hyperlink r:id="rId795" ref="H383"/>
    <hyperlink r:id="rId796" ref="C384"/>
    <hyperlink r:id="rId797" ref="H384"/>
    <hyperlink r:id="rId798" ref="C385"/>
    <hyperlink r:id="rId799" ref="H385"/>
    <hyperlink r:id="rId800" ref="C386"/>
    <hyperlink r:id="rId801" ref="H386"/>
    <hyperlink r:id="rId802" ref="M386"/>
    <hyperlink r:id="rId803" ref="C387"/>
    <hyperlink r:id="rId804" ref="H387"/>
    <hyperlink r:id="rId805" ref="C388"/>
    <hyperlink r:id="rId806" ref="H388"/>
    <hyperlink r:id="rId807" ref="C389"/>
    <hyperlink r:id="rId808" ref="H389"/>
    <hyperlink r:id="rId809" ref="C390"/>
    <hyperlink r:id="rId810" ref="H390"/>
    <hyperlink r:id="rId811" ref="C391"/>
    <hyperlink r:id="rId812" ref="H391"/>
    <hyperlink r:id="rId813" ref="M391"/>
    <hyperlink r:id="rId814" ref="C392"/>
    <hyperlink r:id="rId815" ref="H392"/>
    <hyperlink r:id="rId816" ref="C393"/>
    <hyperlink r:id="rId817" ref="H393"/>
    <hyperlink r:id="rId818" ref="C394"/>
    <hyperlink r:id="rId819" ref="H394"/>
    <hyperlink r:id="rId820" ref="C395"/>
    <hyperlink r:id="rId821" ref="H395"/>
    <hyperlink r:id="rId822" ref="C396"/>
    <hyperlink r:id="rId823" ref="H396"/>
    <hyperlink r:id="rId824" ref="C397"/>
    <hyperlink r:id="rId825" ref="H397"/>
    <hyperlink r:id="rId826" ref="M397"/>
    <hyperlink r:id="rId827" ref="C398"/>
    <hyperlink r:id="rId828" ref="H398"/>
    <hyperlink r:id="rId829" ref="C399"/>
    <hyperlink r:id="rId830" ref="H399"/>
    <hyperlink r:id="rId831" ref="C400"/>
    <hyperlink r:id="rId832" ref="H400"/>
    <hyperlink r:id="rId833" ref="C401"/>
    <hyperlink r:id="rId834" ref="H401"/>
    <hyperlink r:id="rId835" ref="C402"/>
    <hyperlink r:id="rId836" ref="H402"/>
    <hyperlink r:id="rId837" ref="C403"/>
    <hyperlink r:id="rId838" ref="H403"/>
    <hyperlink r:id="rId839" ref="M403"/>
    <hyperlink r:id="rId840" ref="C404"/>
    <hyperlink r:id="rId841" ref="H404"/>
    <hyperlink r:id="rId842" ref="C405"/>
    <hyperlink r:id="rId843" ref="H405"/>
    <hyperlink r:id="rId844" ref="C406"/>
    <hyperlink r:id="rId845" ref="H406"/>
    <hyperlink r:id="rId846" ref="C407"/>
    <hyperlink r:id="rId847" ref="H407"/>
    <hyperlink r:id="rId848" ref="C408"/>
    <hyperlink r:id="rId849" ref="H408"/>
    <hyperlink r:id="rId850" ref="C409"/>
    <hyperlink r:id="rId851" ref="H409"/>
    <hyperlink r:id="rId852" ref="C410"/>
    <hyperlink r:id="rId853" ref="H410"/>
    <hyperlink r:id="rId854" ref="C411"/>
    <hyperlink r:id="rId855" ref="H411"/>
    <hyperlink r:id="rId856" ref="C412"/>
    <hyperlink r:id="rId857" ref="H412"/>
    <hyperlink r:id="rId858" ref="C413"/>
    <hyperlink r:id="rId859" ref="H413"/>
    <hyperlink r:id="rId860" ref="C414"/>
    <hyperlink r:id="rId861" ref="H414"/>
    <hyperlink r:id="rId862" ref="C415"/>
    <hyperlink r:id="rId863" ref="H415"/>
    <hyperlink r:id="rId864" ref="C416"/>
    <hyperlink r:id="rId865" ref="H416"/>
    <hyperlink r:id="rId866" ref="C417"/>
    <hyperlink r:id="rId867" ref="H417"/>
    <hyperlink r:id="rId868" ref="C418"/>
    <hyperlink r:id="rId869" ref="H418"/>
    <hyperlink r:id="rId870" ref="C419"/>
    <hyperlink r:id="rId871" ref="H419"/>
    <hyperlink r:id="rId872" ref="C420"/>
    <hyperlink r:id="rId873" ref="H420"/>
    <hyperlink r:id="rId874" ref="C421"/>
    <hyperlink r:id="rId875" ref="H421"/>
    <hyperlink r:id="rId876" ref="C422"/>
    <hyperlink r:id="rId877" ref="H422"/>
    <hyperlink r:id="rId878" ref="C423"/>
    <hyperlink r:id="rId879" ref="H423"/>
    <hyperlink r:id="rId880" ref="C424"/>
    <hyperlink r:id="rId881" ref="H424"/>
    <hyperlink r:id="rId882" ref="C425"/>
    <hyperlink r:id="rId883" ref="H425"/>
    <hyperlink r:id="rId884" ref="C426"/>
    <hyperlink r:id="rId885" ref="H426"/>
    <hyperlink r:id="rId886" ref="C427"/>
    <hyperlink r:id="rId887" ref="H427"/>
    <hyperlink r:id="rId888" ref="C428"/>
    <hyperlink r:id="rId889" ref="H428"/>
    <hyperlink r:id="rId890" ref="C429"/>
    <hyperlink r:id="rId891" ref="H429"/>
    <hyperlink r:id="rId892" ref="C430"/>
    <hyperlink r:id="rId893" ref="H430"/>
    <hyperlink r:id="rId894" ref="C431"/>
    <hyperlink r:id="rId895" ref="H431"/>
    <hyperlink r:id="rId896" ref="C432"/>
    <hyperlink r:id="rId897" ref="H432"/>
    <hyperlink r:id="rId898" ref="C433"/>
    <hyperlink r:id="rId899" ref="H433"/>
    <hyperlink r:id="rId900" ref="C434"/>
    <hyperlink r:id="rId901" ref="H434"/>
    <hyperlink r:id="rId902" ref="C435"/>
    <hyperlink r:id="rId903" ref="H435"/>
    <hyperlink r:id="rId904" ref="C436"/>
    <hyperlink r:id="rId905" ref="H436"/>
    <hyperlink r:id="rId906" ref="C437"/>
    <hyperlink r:id="rId907" ref="H437"/>
    <hyperlink r:id="rId908" ref="C438"/>
    <hyperlink r:id="rId909" ref="H438"/>
    <hyperlink r:id="rId910" ref="C439"/>
    <hyperlink r:id="rId911" ref="H439"/>
    <hyperlink r:id="rId912" ref="C440"/>
    <hyperlink r:id="rId913" ref="H440"/>
    <hyperlink r:id="rId914" ref="C441"/>
    <hyperlink r:id="rId915" ref="H441"/>
    <hyperlink r:id="rId916" ref="C442"/>
    <hyperlink r:id="rId917" ref="H442"/>
    <hyperlink r:id="rId918" ref="C443"/>
    <hyperlink r:id="rId919" ref="H443"/>
    <hyperlink r:id="rId920" ref="C444"/>
    <hyperlink r:id="rId921" ref="H444"/>
    <hyperlink r:id="rId922" ref="C445"/>
    <hyperlink r:id="rId923" ref="H445"/>
    <hyperlink r:id="rId924" ref="C446"/>
    <hyperlink r:id="rId925" ref="C447"/>
    <hyperlink r:id="rId926" ref="H447"/>
    <hyperlink r:id="rId927" ref="C448"/>
    <hyperlink r:id="rId928" ref="H448"/>
    <hyperlink r:id="rId929" ref="C449"/>
    <hyperlink r:id="rId930" ref="H449"/>
    <hyperlink r:id="rId931" ref="C450"/>
    <hyperlink r:id="rId932" ref="H450"/>
    <hyperlink r:id="rId933" ref="C451"/>
    <hyperlink r:id="rId934" ref="H451"/>
    <hyperlink r:id="rId935" ref="C452"/>
    <hyperlink r:id="rId936" ref="H452"/>
    <hyperlink r:id="rId937" ref="C453"/>
    <hyperlink r:id="rId938" ref="H453"/>
    <hyperlink r:id="rId939" ref="C454"/>
    <hyperlink r:id="rId940" ref="H454"/>
    <hyperlink r:id="rId941" ref="C455"/>
    <hyperlink r:id="rId942" ref="H455"/>
    <hyperlink r:id="rId943" ref="C456"/>
    <hyperlink r:id="rId944" ref="H456"/>
    <hyperlink r:id="rId945" ref="C457"/>
    <hyperlink r:id="rId946" ref="H457"/>
    <hyperlink r:id="rId947" ref="C458"/>
    <hyperlink r:id="rId948" ref="H458"/>
    <hyperlink r:id="rId949" ref="M458"/>
    <hyperlink r:id="rId950" ref="C459"/>
    <hyperlink r:id="rId951" ref="H459"/>
    <hyperlink r:id="rId952" ref="C460"/>
    <hyperlink r:id="rId953" ref="H460"/>
    <hyperlink r:id="rId954" ref="C461"/>
    <hyperlink r:id="rId955" ref="H461"/>
    <hyperlink r:id="rId956" ref="M461"/>
    <hyperlink r:id="rId957" ref="C462"/>
    <hyperlink r:id="rId958" ref="H462"/>
    <hyperlink r:id="rId959" ref="C463"/>
    <hyperlink r:id="rId960" ref="H463"/>
    <hyperlink r:id="rId961" ref="C464"/>
    <hyperlink r:id="rId962" ref="H464"/>
    <hyperlink r:id="rId963" ref="C465"/>
    <hyperlink r:id="rId964" ref="H465"/>
    <hyperlink r:id="rId965" ref="C466"/>
    <hyperlink r:id="rId966" ref="H466"/>
    <hyperlink r:id="rId967" ref="C467"/>
    <hyperlink r:id="rId968" ref="H467"/>
    <hyperlink r:id="rId969" ref="C468"/>
    <hyperlink r:id="rId970" ref="H468"/>
    <hyperlink r:id="rId971" ref="C469"/>
    <hyperlink r:id="rId972" ref="H469"/>
    <hyperlink r:id="rId973" ref="C470"/>
    <hyperlink r:id="rId974" ref="H470"/>
    <hyperlink r:id="rId975" ref="C471"/>
    <hyperlink r:id="rId976" ref="H471"/>
    <hyperlink r:id="rId977" ref="C472"/>
    <hyperlink r:id="rId978" ref="H472"/>
    <hyperlink r:id="rId979" ref="C473"/>
    <hyperlink r:id="rId980" ref="H473"/>
    <hyperlink r:id="rId981" ref="C474"/>
    <hyperlink r:id="rId982" ref="H474"/>
    <hyperlink r:id="rId983" ref="C475"/>
    <hyperlink r:id="rId984" ref="H475"/>
    <hyperlink r:id="rId985" ref="C476"/>
    <hyperlink r:id="rId986" ref="H476"/>
    <hyperlink r:id="rId987" ref="C477"/>
    <hyperlink r:id="rId988" ref="H477"/>
    <hyperlink r:id="rId989" ref="C478"/>
    <hyperlink r:id="rId990" ref="H478"/>
    <hyperlink r:id="rId991" ref="C479"/>
    <hyperlink r:id="rId992" ref="H479"/>
    <hyperlink r:id="rId993" ref="C480"/>
    <hyperlink r:id="rId994" ref="H480"/>
    <hyperlink r:id="rId995" ref="C481"/>
    <hyperlink r:id="rId996" ref="H481"/>
    <hyperlink r:id="rId997" ref="C482"/>
    <hyperlink r:id="rId998" ref="H482"/>
    <hyperlink r:id="rId999" ref="M482"/>
    <hyperlink r:id="rId1000" ref="C483"/>
    <hyperlink r:id="rId1001" ref="H483"/>
    <hyperlink r:id="rId1002" ref="C484"/>
    <hyperlink r:id="rId1003" ref="H484"/>
    <hyperlink r:id="rId1004" ref="C485"/>
    <hyperlink r:id="rId1005" ref="H485"/>
    <hyperlink r:id="rId1006" ref="C486"/>
    <hyperlink r:id="rId1007" ref="H486"/>
    <hyperlink r:id="rId1008" ref="C487"/>
    <hyperlink r:id="rId1009" ref="H487"/>
    <hyperlink r:id="rId1010" ref="C488"/>
    <hyperlink r:id="rId1011" ref="H488"/>
    <hyperlink r:id="rId1012" ref="C489"/>
    <hyperlink r:id="rId1013" ref="H489"/>
    <hyperlink r:id="rId1014" ref="C490"/>
    <hyperlink r:id="rId1015" ref="H490"/>
    <hyperlink r:id="rId1016" ref="C491"/>
    <hyperlink r:id="rId1017" ref="H491"/>
    <hyperlink r:id="rId1018" ref="C492"/>
    <hyperlink r:id="rId1019" ref="C493"/>
    <hyperlink r:id="rId1020" ref="C494"/>
    <hyperlink r:id="rId1021" ref="H494"/>
    <hyperlink r:id="rId1022" ref="C495"/>
    <hyperlink r:id="rId1023" ref="H495"/>
    <hyperlink r:id="rId1024" ref="C496"/>
    <hyperlink r:id="rId1025" ref="H496"/>
    <hyperlink r:id="rId1026" ref="C497"/>
    <hyperlink r:id="rId1027" ref="H497"/>
    <hyperlink r:id="rId1028" ref="C498"/>
    <hyperlink r:id="rId1029" ref="H498"/>
    <hyperlink r:id="rId1030" ref="C499"/>
    <hyperlink r:id="rId1031" ref="H499"/>
    <hyperlink r:id="rId1032" ref="C500"/>
    <hyperlink r:id="rId1033" ref="H500"/>
    <hyperlink r:id="rId1034" ref="C501"/>
    <hyperlink r:id="rId1035" ref="H501"/>
    <hyperlink r:id="rId1036" ref="C502"/>
    <hyperlink r:id="rId1037" ref="H502"/>
    <hyperlink r:id="rId1038" ref="C503"/>
    <hyperlink r:id="rId1039" ref="H503"/>
    <hyperlink r:id="rId1040" ref="C504"/>
    <hyperlink r:id="rId1041" ref="H504"/>
    <hyperlink r:id="rId1042" ref="C505"/>
    <hyperlink r:id="rId1043" ref="H505"/>
    <hyperlink r:id="rId1044" ref="C506"/>
    <hyperlink r:id="rId1045" ref="H506"/>
    <hyperlink r:id="rId1046" ref="M506"/>
    <hyperlink r:id="rId1047" ref="C507"/>
    <hyperlink r:id="rId1048" ref="H507"/>
    <hyperlink r:id="rId1049" ref="C508"/>
    <hyperlink r:id="rId1050" ref="H508"/>
    <hyperlink r:id="rId1051" ref="C509"/>
    <hyperlink r:id="rId1052" ref="C510"/>
    <hyperlink r:id="rId1053" ref="H510"/>
    <hyperlink r:id="rId1054" ref="C511"/>
    <hyperlink r:id="rId1055" ref="H511"/>
    <hyperlink r:id="rId1056" ref="C512"/>
    <hyperlink r:id="rId1057" ref="H512"/>
    <hyperlink r:id="rId1058" ref="C513"/>
    <hyperlink r:id="rId1059" ref="H513"/>
    <hyperlink r:id="rId1060" ref="C514"/>
    <hyperlink r:id="rId1061" ref="H514"/>
    <hyperlink r:id="rId1062" ref="C515"/>
    <hyperlink r:id="rId1063" ref="H515"/>
    <hyperlink r:id="rId1064" ref="C516"/>
    <hyperlink r:id="rId1065" ref="H516"/>
    <hyperlink r:id="rId1066" ref="C517"/>
    <hyperlink r:id="rId1067" ref="H517"/>
    <hyperlink r:id="rId1068" ref="C518"/>
    <hyperlink r:id="rId1069" ref="H518"/>
    <hyperlink r:id="rId1070" ref="C519"/>
    <hyperlink r:id="rId1071" ref="H519"/>
    <hyperlink r:id="rId1072" ref="C520"/>
    <hyperlink r:id="rId1073" ref="H520"/>
    <hyperlink r:id="rId1074" ref="C521"/>
    <hyperlink r:id="rId1075" ref="H521"/>
    <hyperlink r:id="rId1076" ref="C522"/>
    <hyperlink r:id="rId1077" ref="H522"/>
    <hyperlink r:id="rId1078" ref="M522"/>
    <hyperlink r:id="rId1079" ref="C523"/>
    <hyperlink r:id="rId1080" ref="C524"/>
    <hyperlink r:id="rId1081" ref="H524"/>
    <hyperlink r:id="rId1082" ref="C525"/>
    <hyperlink r:id="rId1083" ref="H525"/>
    <hyperlink r:id="rId1084" ref="C526"/>
    <hyperlink r:id="rId1085" ref="H526"/>
    <hyperlink r:id="rId1086" ref="C527"/>
    <hyperlink r:id="rId1087" ref="H527"/>
    <hyperlink r:id="rId1088" ref="C528"/>
    <hyperlink r:id="rId1089" ref="H528"/>
    <hyperlink r:id="rId1090" ref="C529"/>
    <hyperlink r:id="rId1091" ref="H529"/>
    <hyperlink r:id="rId1092" ref="C530"/>
    <hyperlink r:id="rId1093" ref="H530"/>
    <hyperlink r:id="rId1094" ref="C531"/>
    <hyperlink r:id="rId1095" ref="H531"/>
    <hyperlink r:id="rId1096" ref="C532"/>
    <hyperlink r:id="rId1097" ref="H532"/>
    <hyperlink r:id="rId1098" ref="C533"/>
    <hyperlink r:id="rId1099" ref="H533"/>
    <hyperlink r:id="rId1100" ref="C534"/>
    <hyperlink r:id="rId1101" ref="H534"/>
    <hyperlink r:id="rId1102" ref="C535"/>
    <hyperlink r:id="rId1103" ref="H535"/>
    <hyperlink r:id="rId1104" ref="C536"/>
    <hyperlink r:id="rId1105" ref="H536"/>
    <hyperlink r:id="rId1106" ref="C537"/>
    <hyperlink r:id="rId1107" ref="H537"/>
    <hyperlink r:id="rId1108" ref="C538"/>
    <hyperlink r:id="rId1109" ref="H538"/>
    <hyperlink r:id="rId1110" ref="C539"/>
    <hyperlink r:id="rId1111" ref="H539"/>
    <hyperlink r:id="rId1112" ref="C540"/>
    <hyperlink r:id="rId1113" ref="H540"/>
    <hyperlink r:id="rId1114" ref="C541"/>
    <hyperlink r:id="rId1115" ref="H541"/>
    <hyperlink r:id="rId1116" ref="M541"/>
    <hyperlink r:id="rId1117" ref="C542"/>
    <hyperlink r:id="rId1118" ref="H542"/>
    <hyperlink r:id="rId1119" ref="C543"/>
    <hyperlink r:id="rId1120" ref="H543"/>
    <hyperlink r:id="rId1121" ref="C544"/>
    <hyperlink r:id="rId1122" ref="H544"/>
    <hyperlink r:id="rId1123" ref="M544"/>
    <hyperlink r:id="rId1124" ref="C545"/>
    <hyperlink r:id="rId1125" ref="H545"/>
    <hyperlink r:id="rId1126" ref="C546"/>
    <hyperlink r:id="rId1127" ref="H546"/>
    <hyperlink r:id="rId1128" ref="M546"/>
    <hyperlink r:id="rId1129" ref="C547"/>
    <hyperlink r:id="rId1130" ref="H547"/>
    <hyperlink r:id="rId1131" ref="C548"/>
    <hyperlink r:id="rId1132" ref="H548"/>
    <hyperlink r:id="rId1133" ref="C549"/>
    <hyperlink r:id="rId1134" ref="H549"/>
    <hyperlink r:id="rId1135" ref="H550"/>
    <hyperlink r:id="rId1136" ref="C551"/>
    <hyperlink r:id="rId1137" ref="H551"/>
    <hyperlink r:id="rId1138" ref="C552"/>
    <hyperlink r:id="rId1139" ref="H552"/>
    <hyperlink r:id="rId1140" ref="C553"/>
    <hyperlink r:id="rId1141" ref="H553"/>
    <hyperlink r:id="rId1142" ref="C554"/>
    <hyperlink r:id="rId1143" ref="H554"/>
    <hyperlink r:id="rId1144" ref="M554"/>
    <hyperlink r:id="rId1145" ref="C555"/>
    <hyperlink r:id="rId1146" ref="H555"/>
    <hyperlink r:id="rId1147" ref="C556"/>
    <hyperlink r:id="rId1148" ref="H556"/>
    <hyperlink r:id="rId1149" ref="C557"/>
    <hyperlink r:id="rId1150" ref="H557"/>
    <hyperlink r:id="rId1151" ref="C558"/>
    <hyperlink r:id="rId1152" ref="H558"/>
    <hyperlink r:id="rId1153" ref="C559"/>
    <hyperlink r:id="rId1154" ref="H559"/>
    <hyperlink r:id="rId1155" ref="C560"/>
    <hyperlink r:id="rId1156" ref="H560"/>
    <hyperlink r:id="rId1157" ref="C561"/>
    <hyperlink r:id="rId1158" ref="H561"/>
    <hyperlink r:id="rId1159" ref="C562"/>
    <hyperlink r:id="rId1160" ref="H562"/>
    <hyperlink r:id="rId1161" ref="C563"/>
    <hyperlink r:id="rId1162" ref="H563"/>
    <hyperlink r:id="rId1163" ref="C564"/>
    <hyperlink r:id="rId1164" ref="H564"/>
    <hyperlink r:id="rId1165" ref="C565"/>
    <hyperlink r:id="rId1166" ref="H565"/>
    <hyperlink r:id="rId1167" ref="C566"/>
    <hyperlink r:id="rId1168" ref="H566"/>
    <hyperlink r:id="rId1169" ref="M566"/>
    <hyperlink r:id="rId1170" ref="C567"/>
    <hyperlink r:id="rId1171" ref="H567"/>
    <hyperlink r:id="rId1172" ref="M567"/>
    <hyperlink r:id="rId1173" ref="C568"/>
    <hyperlink r:id="rId1174" ref="H568"/>
    <hyperlink r:id="rId1175" ref="C569"/>
    <hyperlink r:id="rId1176" ref="H569"/>
    <hyperlink r:id="rId1177" ref="C570"/>
    <hyperlink r:id="rId1178" ref="H570"/>
    <hyperlink r:id="rId1179" ref="C571"/>
    <hyperlink r:id="rId1180" ref="H571"/>
    <hyperlink r:id="rId1181" ref="C572"/>
    <hyperlink r:id="rId1182" ref="H572"/>
    <hyperlink r:id="rId1183" ref="C573"/>
    <hyperlink r:id="rId1184" ref="H573"/>
    <hyperlink r:id="rId1185" ref="C574"/>
    <hyperlink r:id="rId1186" ref="H574"/>
    <hyperlink r:id="rId1187" ref="C575"/>
    <hyperlink r:id="rId1188" ref="H575"/>
    <hyperlink r:id="rId1189" ref="C576"/>
    <hyperlink r:id="rId1190" ref="H576"/>
    <hyperlink r:id="rId1191" ref="C577"/>
    <hyperlink r:id="rId1192" ref="H577"/>
    <hyperlink r:id="rId1193" ref="C578"/>
    <hyperlink r:id="rId1194" ref="H578"/>
    <hyperlink r:id="rId1195" ref="C579"/>
    <hyperlink r:id="rId1196" ref="H579"/>
    <hyperlink r:id="rId1197" ref="C580"/>
    <hyperlink r:id="rId1198" ref="H580"/>
    <hyperlink r:id="rId1199" location="addendum" ref="C581"/>
    <hyperlink r:id="rId1200" ref="H581"/>
    <hyperlink r:id="rId1201" ref="C582"/>
    <hyperlink r:id="rId1202" ref="H582"/>
    <hyperlink r:id="rId1203" ref="C583"/>
    <hyperlink r:id="rId1204" ref="H583"/>
    <hyperlink r:id="rId1205" ref="C584"/>
    <hyperlink r:id="rId1206" ref="H584"/>
    <hyperlink r:id="rId1207" ref="C585"/>
    <hyperlink r:id="rId1208" ref="H585"/>
    <hyperlink r:id="rId1209" ref="M585"/>
    <hyperlink r:id="rId1210" ref="C586"/>
    <hyperlink r:id="rId1211" ref="H586"/>
    <hyperlink r:id="rId1212" ref="M586"/>
    <hyperlink r:id="rId1213" ref="C587"/>
    <hyperlink r:id="rId1214" ref="H587"/>
    <hyperlink r:id="rId1215" ref="C588"/>
    <hyperlink r:id="rId1216" ref="H588"/>
    <hyperlink r:id="rId1217" ref="C589"/>
    <hyperlink r:id="rId1218" ref="H589"/>
    <hyperlink r:id="rId1219" ref="C590"/>
    <hyperlink r:id="rId1220" ref="H590"/>
    <hyperlink r:id="rId1221" ref="C591"/>
    <hyperlink r:id="rId1222" ref="H591"/>
    <hyperlink r:id="rId1223" ref="C592"/>
    <hyperlink r:id="rId1224" ref="H592"/>
    <hyperlink r:id="rId1225" ref="C593"/>
    <hyperlink r:id="rId1226" ref="H593"/>
    <hyperlink r:id="rId1227" ref="C594"/>
    <hyperlink r:id="rId1228" ref="H594"/>
    <hyperlink r:id="rId1229" ref="C595"/>
    <hyperlink r:id="rId1230" ref="H595"/>
    <hyperlink r:id="rId1231" ref="C596"/>
    <hyperlink r:id="rId1232" ref="H596"/>
    <hyperlink r:id="rId1233" ref="C597"/>
    <hyperlink r:id="rId1234" ref="H597"/>
    <hyperlink r:id="rId1235" ref="C598"/>
    <hyperlink r:id="rId1236" ref="H598"/>
    <hyperlink r:id="rId1237" ref="M598"/>
    <hyperlink r:id="rId1238" ref="C599"/>
    <hyperlink r:id="rId1239" ref="H599"/>
    <hyperlink r:id="rId1240" ref="C600"/>
    <hyperlink r:id="rId1241" ref="H600"/>
    <hyperlink r:id="rId1242" ref="C601"/>
    <hyperlink r:id="rId1243" ref="H601"/>
    <hyperlink r:id="rId1244" ref="C602"/>
    <hyperlink r:id="rId1245" ref="H602"/>
    <hyperlink r:id="rId1246" ref="C603"/>
    <hyperlink r:id="rId1247" ref="H603"/>
    <hyperlink r:id="rId1248" ref="C604"/>
    <hyperlink r:id="rId1249" ref="H604"/>
    <hyperlink r:id="rId1250" ref="C605"/>
    <hyperlink r:id="rId1251" ref="H605"/>
    <hyperlink r:id="rId1252" ref="C606"/>
    <hyperlink r:id="rId1253" ref="H606"/>
    <hyperlink r:id="rId1254" ref="C607"/>
    <hyperlink r:id="rId1255" ref="H607"/>
    <hyperlink r:id="rId1256" ref="M607"/>
    <hyperlink r:id="rId1257" ref="C608"/>
    <hyperlink r:id="rId1258" ref="C609"/>
    <hyperlink r:id="rId1259" ref="H609"/>
    <hyperlink r:id="rId1260" ref="C610"/>
    <hyperlink r:id="rId1261" ref="H610"/>
    <hyperlink r:id="rId1262" ref="C611"/>
    <hyperlink r:id="rId1263" ref="H611"/>
    <hyperlink r:id="rId1264" ref="C612"/>
    <hyperlink r:id="rId1265" ref="H612"/>
    <hyperlink r:id="rId1266" ref="C613"/>
    <hyperlink r:id="rId1267" ref="H613"/>
    <hyperlink r:id="rId1268" ref="C614"/>
    <hyperlink r:id="rId1269" ref="H614"/>
    <hyperlink r:id="rId1270" ref="C615"/>
    <hyperlink r:id="rId1271" ref="H615"/>
    <hyperlink r:id="rId1272" ref="C616"/>
    <hyperlink r:id="rId1273" ref="H616"/>
    <hyperlink r:id="rId1274" ref="C617"/>
    <hyperlink r:id="rId1275" ref="H617"/>
    <hyperlink r:id="rId1276" ref="C618"/>
    <hyperlink r:id="rId1277" ref="H618"/>
    <hyperlink r:id="rId1278" ref="C619"/>
    <hyperlink r:id="rId1279" ref="H619"/>
    <hyperlink r:id="rId1280" ref="C620"/>
    <hyperlink r:id="rId1281" ref="H620"/>
    <hyperlink r:id="rId1282" ref="C621"/>
    <hyperlink r:id="rId1283" ref="H621"/>
    <hyperlink r:id="rId1284" ref="C622"/>
    <hyperlink r:id="rId1285" ref="H622"/>
    <hyperlink r:id="rId1286" ref="H623"/>
    <hyperlink r:id="rId1287" ref="C624"/>
    <hyperlink r:id="rId1288" ref="H624"/>
    <hyperlink r:id="rId1289" ref="M624"/>
    <hyperlink r:id="rId1290" ref="C625"/>
    <hyperlink r:id="rId1291" ref="H625"/>
    <hyperlink r:id="rId1292" ref="C626"/>
    <hyperlink r:id="rId1293" ref="H626"/>
    <hyperlink r:id="rId1294" ref="C627"/>
    <hyperlink r:id="rId1295" ref="H627"/>
    <hyperlink r:id="rId1296" ref="C628"/>
    <hyperlink r:id="rId1297" ref="H628"/>
    <hyperlink r:id="rId1298" ref="C629"/>
    <hyperlink r:id="rId1299" ref="H629"/>
    <hyperlink r:id="rId1300" ref="M629"/>
    <hyperlink r:id="rId1301" ref="C630"/>
    <hyperlink r:id="rId1302" ref="H630"/>
    <hyperlink r:id="rId1303" ref="C631"/>
    <hyperlink r:id="rId1304" ref="H631"/>
    <hyperlink r:id="rId1305" ref="C632"/>
    <hyperlink r:id="rId1306" ref="H632"/>
    <hyperlink r:id="rId1307" ref="C633"/>
    <hyperlink r:id="rId1308" ref="H633"/>
    <hyperlink r:id="rId1309" ref="C634"/>
    <hyperlink r:id="rId1310" ref="H634"/>
    <hyperlink r:id="rId1311" ref="C635"/>
    <hyperlink r:id="rId1312" ref="H635"/>
    <hyperlink r:id="rId1313" ref="C636"/>
    <hyperlink r:id="rId1314" ref="H636"/>
    <hyperlink r:id="rId1315" ref="C637"/>
    <hyperlink r:id="rId1316" ref="H637"/>
    <hyperlink r:id="rId1317" ref="C638"/>
    <hyperlink r:id="rId1318" ref="C639"/>
    <hyperlink r:id="rId1319" ref="H639"/>
    <hyperlink r:id="rId1320" ref="C640"/>
    <hyperlink r:id="rId1321" ref="H640"/>
    <hyperlink r:id="rId1322" ref="C641"/>
    <hyperlink r:id="rId1323" ref="H641"/>
    <hyperlink r:id="rId1324" ref="C642"/>
    <hyperlink r:id="rId1325" ref="H642"/>
    <hyperlink r:id="rId1326" ref="C643"/>
    <hyperlink r:id="rId1327" ref="H643"/>
    <hyperlink r:id="rId1328" ref="C644"/>
    <hyperlink r:id="rId1329" ref="H644"/>
    <hyperlink r:id="rId1330" ref="C645"/>
    <hyperlink r:id="rId1331" ref="H645"/>
    <hyperlink r:id="rId1332" ref="C646"/>
    <hyperlink r:id="rId1333" ref="H646"/>
    <hyperlink r:id="rId1334" ref="C647"/>
    <hyperlink r:id="rId1335" ref="H647"/>
    <hyperlink r:id="rId1336" ref="C648"/>
    <hyperlink r:id="rId1337" ref="H648"/>
    <hyperlink r:id="rId1338" ref="C649"/>
    <hyperlink r:id="rId1339" ref="H649"/>
    <hyperlink r:id="rId1340" ref="C650"/>
    <hyperlink r:id="rId1341" ref="H650"/>
    <hyperlink r:id="rId1342" ref="C651"/>
    <hyperlink r:id="rId1343" ref="H651"/>
    <hyperlink r:id="rId1344" ref="C652"/>
    <hyperlink r:id="rId1345" ref="H652"/>
    <hyperlink r:id="rId1346" ref="C653"/>
    <hyperlink r:id="rId1347" ref="H653"/>
    <hyperlink r:id="rId1348" ref="C654"/>
    <hyperlink r:id="rId1349" ref="H654"/>
    <hyperlink r:id="rId1350" ref="C655"/>
    <hyperlink r:id="rId1351" ref="H655"/>
    <hyperlink r:id="rId1352" ref="C656"/>
    <hyperlink r:id="rId1353" ref="H656"/>
    <hyperlink r:id="rId1354" ref="M656"/>
    <hyperlink r:id="rId1355" ref="C657"/>
    <hyperlink r:id="rId1356" ref="H657"/>
    <hyperlink r:id="rId1357" ref="C658"/>
    <hyperlink r:id="rId1358" ref="H658"/>
    <hyperlink r:id="rId1359" ref="C659"/>
    <hyperlink r:id="rId1360" ref="H659"/>
    <hyperlink r:id="rId1361" ref="C660"/>
    <hyperlink r:id="rId1362" ref="H660"/>
    <hyperlink r:id="rId1363" ref="C661"/>
    <hyperlink r:id="rId1364" ref="H661"/>
    <hyperlink r:id="rId1365" ref="C662"/>
    <hyperlink r:id="rId1366" ref="H662"/>
    <hyperlink r:id="rId1367" ref="C663"/>
    <hyperlink r:id="rId1368" ref="H663"/>
    <hyperlink r:id="rId1369" ref="C664"/>
    <hyperlink r:id="rId1370" ref="H664"/>
    <hyperlink r:id="rId1371" ref="C665"/>
    <hyperlink r:id="rId1372" ref="H665"/>
    <hyperlink r:id="rId1373" ref="L665"/>
    <hyperlink r:id="rId1374" ref="C666"/>
    <hyperlink r:id="rId1375" ref="H666"/>
    <hyperlink r:id="rId1376" ref="C667"/>
    <hyperlink r:id="rId1377" ref="H667"/>
    <hyperlink r:id="rId1378" ref="C668"/>
    <hyperlink r:id="rId1379" ref="H668"/>
    <hyperlink r:id="rId1380" ref="C669"/>
    <hyperlink r:id="rId1381" ref="H669"/>
    <hyperlink r:id="rId1382" ref="C670"/>
    <hyperlink r:id="rId1383" ref="H670"/>
    <hyperlink r:id="rId1384" ref="C671"/>
    <hyperlink r:id="rId1385" ref="H671"/>
    <hyperlink r:id="rId1386" ref="C672"/>
    <hyperlink r:id="rId1387" ref="H672"/>
    <hyperlink r:id="rId1388" ref="C673"/>
    <hyperlink r:id="rId1389" ref="H673"/>
    <hyperlink r:id="rId1390" ref="C674"/>
    <hyperlink r:id="rId1391" ref="H674"/>
    <hyperlink r:id="rId1392" ref="M674"/>
    <hyperlink r:id="rId1393" ref="C675"/>
    <hyperlink r:id="rId1394" ref="H675"/>
    <hyperlink r:id="rId1395" ref="C676"/>
    <hyperlink r:id="rId1396" ref="H676"/>
    <hyperlink r:id="rId1397" ref="M676"/>
    <hyperlink r:id="rId1398" ref="C677"/>
    <hyperlink r:id="rId1399" ref="H677"/>
    <hyperlink r:id="rId1400" ref="C678"/>
    <hyperlink r:id="rId1401" ref="H678"/>
    <hyperlink r:id="rId1402" ref="C679"/>
    <hyperlink r:id="rId1403" ref="H679"/>
    <hyperlink r:id="rId1404" ref="C680"/>
    <hyperlink r:id="rId1405" ref="H680"/>
    <hyperlink r:id="rId1406" ref="C681"/>
    <hyperlink r:id="rId1407" ref="H681"/>
    <hyperlink r:id="rId1408" ref="C682"/>
    <hyperlink r:id="rId1409" ref="H682"/>
    <hyperlink r:id="rId1410" ref="C683"/>
    <hyperlink r:id="rId1411" ref="H683"/>
    <hyperlink r:id="rId1412" ref="L683"/>
    <hyperlink r:id="rId1413" ref="C684"/>
    <hyperlink r:id="rId1414" ref="H684"/>
    <hyperlink r:id="rId1415" ref="C685"/>
    <hyperlink r:id="rId1416" ref="H685"/>
    <hyperlink r:id="rId1417" ref="C686"/>
    <hyperlink r:id="rId1418" ref="H686"/>
    <hyperlink r:id="rId1419" ref="C687"/>
    <hyperlink r:id="rId1420" ref="H687"/>
    <hyperlink r:id="rId1421" ref="C688"/>
    <hyperlink r:id="rId1422" ref="H688"/>
    <hyperlink r:id="rId1423" ref="C689"/>
    <hyperlink r:id="rId1424" ref="H689"/>
    <hyperlink r:id="rId1425" ref="C690"/>
    <hyperlink r:id="rId1426" ref="H690"/>
    <hyperlink r:id="rId1427" ref="C691"/>
    <hyperlink r:id="rId1428" ref="H691"/>
    <hyperlink r:id="rId1429" ref="C692"/>
    <hyperlink r:id="rId1430" ref="H692"/>
    <hyperlink r:id="rId1431" ref="C693"/>
    <hyperlink r:id="rId1432" ref="H693"/>
    <hyperlink r:id="rId1433" ref="C694"/>
    <hyperlink r:id="rId1434" ref="H694"/>
    <hyperlink r:id="rId1435" ref="C695"/>
    <hyperlink r:id="rId1436" ref="H695"/>
    <hyperlink r:id="rId1437" ref="C696"/>
    <hyperlink r:id="rId1438" ref="H696"/>
    <hyperlink r:id="rId1439" ref="C697"/>
    <hyperlink r:id="rId1440" ref="H697"/>
    <hyperlink r:id="rId1441" ref="C698"/>
    <hyperlink r:id="rId1442" ref="H698"/>
    <hyperlink r:id="rId1443" ref="C699"/>
    <hyperlink r:id="rId1444" ref="H699"/>
    <hyperlink r:id="rId1445" ref="C700"/>
    <hyperlink r:id="rId1446" ref="H700"/>
    <hyperlink r:id="rId1447" ref="C701"/>
    <hyperlink r:id="rId1448" ref="H701"/>
    <hyperlink r:id="rId1449" ref="C702"/>
    <hyperlink r:id="rId1450" ref="H702"/>
    <hyperlink r:id="rId1451" ref="M702"/>
    <hyperlink r:id="rId1452" ref="C703"/>
    <hyperlink r:id="rId1453" ref="H703"/>
    <hyperlink r:id="rId1454" ref="C704"/>
    <hyperlink r:id="rId1455" ref="H704"/>
    <hyperlink r:id="rId1456" ref="C705"/>
    <hyperlink r:id="rId1457" ref="H705"/>
    <hyperlink r:id="rId1458" ref="C706"/>
    <hyperlink r:id="rId1459" ref="H706"/>
    <hyperlink r:id="rId1460" ref="C707"/>
    <hyperlink r:id="rId1461" ref="H707"/>
    <hyperlink r:id="rId1462" ref="C708"/>
    <hyperlink r:id="rId1463" ref="H708"/>
    <hyperlink r:id="rId1464" ref="C709"/>
    <hyperlink r:id="rId1465" ref="H709"/>
    <hyperlink r:id="rId1466" ref="C710"/>
    <hyperlink r:id="rId1467" ref="H710"/>
    <hyperlink r:id="rId1468" ref="C711"/>
    <hyperlink r:id="rId1469" ref="H711"/>
    <hyperlink r:id="rId1470" ref="C712"/>
    <hyperlink r:id="rId1471" ref="H712"/>
    <hyperlink r:id="rId1472" ref="C713"/>
    <hyperlink r:id="rId1473" ref="H713"/>
    <hyperlink r:id="rId1474" ref="C714"/>
    <hyperlink r:id="rId1475" ref="H714"/>
    <hyperlink r:id="rId1476" ref="C715"/>
    <hyperlink r:id="rId1477" ref="H715"/>
    <hyperlink r:id="rId1478" ref="C716"/>
    <hyperlink r:id="rId1479" ref="H716"/>
    <hyperlink r:id="rId1480" ref="C717"/>
    <hyperlink r:id="rId1481" ref="H717"/>
    <hyperlink r:id="rId1482" ref="C718"/>
    <hyperlink r:id="rId1483" ref="H718"/>
    <hyperlink r:id="rId1484" ref="C719"/>
    <hyperlink r:id="rId1485" ref="H719"/>
    <hyperlink r:id="rId1486" ref="C720"/>
    <hyperlink r:id="rId1487" ref="H720"/>
    <hyperlink r:id="rId1488" ref="C721"/>
    <hyperlink r:id="rId1489" ref="H721"/>
    <hyperlink r:id="rId1490" ref="C722"/>
    <hyperlink r:id="rId1491" ref="H722"/>
    <hyperlink r:id="rId1492" ref="M722"/>
    <hyperlink r:id="rId1493" ref="C723"/>
    <hyperlink r:id="rId1494" ref="H723"/>
    <hyperlink r:id="rId1495" ref="C724"/>
    <hyperlink r:id="rId1496" ref="H724"/>
    <hyperlink r:id="rId1497" ref="C725"/>
    <hyperlink r:id="rId1498" ref="H725"/>
    <hyperlink r:id="rId1499" ref="C726"/>
    <hyperlink r:id="rId1500" ref="H726"/>
    <hyperlink r:id="rId1501" ref="C727"/>
    <hyperlink r:id="rId1502" ref="H727"/>
    <hyperlink r:id="rId1503" ref="C728"/>
    <hyperlink r:id="rId1504" ref="H728"/>
    <hyperlink r:id="rId1505" ref="C729"/>
    <hyperlink r:id="rId1506" ref="H729"/>
    <hyperlink r:id="rId1507" ref="C730"/>
    <hyperlink r:id="rId1508" ref="H730"/>
    <hyperlink r:id="rId1509" ref="C731"/>
    <hyperlink r:id="rId1510" ref="H731"/>
    <hyperlink r:id="rId1511" ref="M731"/>
    <hyperlink r:id="rId1512" ref="C732"/>
    <hyperlink r:id="rId1513" ref="H732"/>
    <hyperlink r:id="rId1514" ref="C733"/>
    <hyperlink r:id="rId1515" ref="H733"/>
    <hyperlink r:id="rId1516" ref="C734"/>
    <hyperlink r:id="rId1517" ref="H734"/>
    <hyperlink r:id="rId1518" ref="C735"/>
    <hyperlink r:id="rId1519" ref="H735"/>
    <hyperlink r:id="rId1520" ref="C736"/>
    <hyperlink r:id="rId1521" ref="H736"/>
    <hyperlink r:id="rId1522" ref="C737"/>
    <hyperlink r:id="rId1523" ref="H737"/>
    <hyperlink r:id="rId1524" ref="C738"/>
    <hyperlink r:id="rId1525" ref="H738"/>
    <hyperlink r:id="rId1526" ref="C739"/>
    <hyperlink r:id="rId1527" ref="H739"/>
    <hyperlink r:id="rId1528" ref="C740"/>
    <hyperlink r:id="rId1529" ref="H740"/>
    <hyperlink r:id="rId1530" ref="C741"/>
    <hyperlink r:id="rId1531" ref="H741"/>
    <hyperlink r:id="rId1532" ref="C742"/>
    <hyperlink r:id="rId1533" ref="H742"/>
    <hyperlink r:id="rId1534" ref="C743"/>
    <hyperlink r:id="rId1535" ref="H743"/>
    <hyperlink r:id="rId1536" ref="C744"/>
    <hyperlink r:id="rId1537" ref="H744"/>
    <hyperlink r:id="rId1538" ref="C745"/>
    <hyperlink r:id="rId1539" ref="H745"/>
    <hyperlink r:id="rId1540" ref="C746"/>
    <hyperlink r:id="rId1541" ref="H746"/>
    <hyperlink r:id="rId1542" ref="C747"/>
    <hyperlink r:id="rId1543" ref="H747"/>
    <hyperlink r:id="rId1544" ref="C748"/>
    <hyperlink r:id="rId1545" ref="H748"/>
    <hyperlink r:id="rId1546" ref="C749"/>
    <hyperlink r:id="rId1547" ref="H749"/>
    <hyperlink r:id="rId1548" ref="C750"/>
    <hyperlink r:id="rId1549" ref="H750"/>
    <hyperlink r:id="rId1550" ref="C751"/>
    <hyperlink r:id="rId1551" ref="H751"/>
    <hyperlink r:id="rId1552" ref="C752"/>
    <hyperlink r:id="rId1553" ref="H752"/>
    <hyperlink r:id="rId1554" ref="H753"/>
    <hyperlink r:id="rId1555" ref="C754"/>
    <hyperlink r:id="rId1556" ref="H754"/>
    <hyperlink r:id="rId1557" ref="C755"/>
    <hyperlink r:id="rId1558" ref="H755"/>
    <hyperlink r:id="rId1559" ref="C756"/>
    <hyperlink r:id="rId1560" ref="H756"/>
    <hyperlink r:id="rId1561" ref="C757"/>
    <hyperlink r:id="rId1562" ref="H757"/>
    <hyperlink r:id="rId1563" ref="C758"/>
    <hyperlink r:id="rId1564" ref="H758"/>
    <hyperlink r:id="rId1565" ref="C759"/>
    <hyperlink r:id="rId1566" ref="H759"/>
    <hyperlink r:id="rId1567" ref="C760"/>
    <hyperlink r:id="rId1568" ref="H760"/>
    <hyperlink r:id="rId1569" ref="L760"/>
    <hyperlink r:id="rId1570" ref="C761"/>
    <hyperlink r:id="rId1571" ref="H761"/>
    <hyperlink r:id="rId1572" ref="C762"/>
    <hyperlink r:id="rId1573" ref="H762"/>
    <hyperlink r:id="rId1574" ref="C763"/>
    <hyperlink r:id="rId1575" ref="H763"/>
    <hyperlink r:id="rId1576" ref="L763"/>
    <hyperlink r:id="rId1577" ref="C764"/>
    <hyperlink r:id="rId1578" ref="H764"/>
    <hyperlink r:id="rId1579" ref="C765"/>
    <hyperlink r:id="rId1580" ref="H765"/>
    <hyperlink r:id="rId1581" ref="C766"/>
    <hyperlink r:id="rId1582" ref="H766"/>
    <hyperlink r:id="rId1583" ref="C767"/>
    <hyperlink r:id="rId1584" ref="H767"/>
    <hyperlink r:id="rId1585" ref="C768"/>
    <hyperlink r:id="rId1586" ref="H768"/>
    <hyperlink r:id="rId1587" ref="C769"/>
    <hyperlink r:id="rId1588" ref="H769"/>
    <hyperlink r:id="rId1589" ref="M769"/>
    <hyperlink r:id="rId1590" ref="C770"/>
    <hyperlink r:id="rId1591" ref="H770"/>
    <hyperlink r:id="rId1592" ref="C771"/>
    <hyperlink r:id="rId1593" ref="H771"/>
    <hyperlink r:id="rId1594" ref="C772"/>
    <hyperlink r:id="rId1595" ref="H772"/>
    <hyperlink r:id="rId1596" ref="C773"/>
    <hyperlink r:id="rId1597" ref="H773"/>
    <hyperlink r:id="rId1598" ref="C774"/>
    <hyperlink r:id="rId1599" ref="H774"/>
    <hyperlink r:id="rId1600" ref="C775"/>
    <hyperlink r:id="rId1601" ref="C776"/>
    <hyperlink r:id="rId1602" ref="H776"/>
    <hyperlink r:id="rId1603" ref="C777"/>
    <hyperlink r:id="rId1604" ref="H777"/>
    <hyperlink r:id="rId1605" ref="M777"/>
    <hyperlink r:id="rId1606" ref="C778"/>
    <hyperlink r:id="rId1607" ref="H778"/>
    <hyperlink r:id="rId1608" ref="C779"/>
    <hyperlink r:id="rId1609" ref="H779"/>
    <hyperlink r:id="rId1610" ref="C780"/>
    <hyperlink r:id="rId1611" ref="H780"/>
    <hyperlink r:id="rId1612" ref="C781"/>
    <hyperlink r:id="rId1613" ref="H781"/>
    <hyperlink r:id="rId1614" ref="M781"/>
    <hyperlink r:id="rId1615" ref="C782"/>
    <hyperlink r:id="rId1616" ref="H782"/>
    <hyperlink r:id="rId1617" location="swv9DbRydFtm4oueh" ref="C783"/>
    <hyperlink r:id="rId1618" ref="H783"/>
    <hyperlink r:id="rId1619" ref="C784"/>
    <hyperlink r:id="rId1620" ref="H784"/>
    <hyperlink r:id="rId1621" ref="C785"/>
    <hyperlink r:id="rId1622" ref="H785"/>
    <hyperlink r:id="rId1623" ref="C786"/>
    <hyperlink r:id="rId1624" ref="H786"/>
    <hyperlink r:id="rId1625" ref="C787"/>
    <hyperlink r:id="rId1626" ref="H787"/>
    <hyperlink r:id="rId1627" ref="C788"/>
    <hyperlink r:id="rId1628" ref="H788"/>
    <hyperlink r:id="rId1629" ref="M788"/>
    <hyperlink r:id="rId1630" ref="C789"/>
    <hyperlink r:id="rId1631" ref="H789"/>
    <hyperlink r:id="rId1632" ref="C790"/>
    <hyperlink r:id="rId1633" ref="H790"/>
    <hyperlink r:id="rId1634" ref="M790"/>
    <hyperlink r:id="rId1635" ref="C791"/>
    <hyperlink r:id="rId1636" ref="H791"/>
    <hyperlink r:id="rId1637" ref="M791"/>
    <hyperlink r:id="rId1638" ref="C792"/>
    <hyperlink r:id="rId1639" ref="H792"/>
    <hyperlink r:id="rId1640" ref="C793"/>
    <hyperlink r:id="rId1641" ref="H793"/>
    <hyperlink r:id="rId1642" ref="C794"/>
    <hyperlink r:id="rId1643" ref="H794"/>
    <hyperlink r:id="rId1644" ref="C795"/>
    <hyperlink r:id="rId1645" ref="C796"/>
    <hyperlink r:id="rId1646" ref="H796"/>
    <hyperlink r:id="rId1647" ref="C797"/>
    <hyperlink r:id="rId1648" ref="H797"/>
    <hyperlink r:id="rId1649" ref="C798"/>
    <hyperlink r:id="rId1650" ref="H798"/>
    <hyperlink r:id="rId1651" ref="C799"/>
    <hyperlink r:id="rId1652" ref="H799"/>
    <hyperlink r:id="rId1653" ref="C800"/>
    <hyperlink r:id="rId1654" ref="H800"/>
    <hyperlink r:id="rId1655" ref="C801"/>
    <hyperlink r:id="rId1656" ref="H801"/>
    <hyperlink r:id="rId1657" ref="C802"/>
    <hyperlink r:id="rId1658" ref="H802"/>
    <hyperlink r:id="rId1659" ref="C803"/>
    <hyperlink r:id="rId1660" ref="H803"/>
    <hyperlink r:id="rId1661" ref="C804"/>
    <hyperlink r:id="rId1662" ref="H804"/>
    <hyperlink r:id="rId1663" ref="C805"/>
    <hyperlink r:id="rId1664" ref="H805"/>
    <hyperlink r:id="rId1665" ref="L805"/>
    <hyperlink r:id="rId1666" ref="C806"/>
    <hyperlink r:id="rId1667" ref="H806"/>
    <hyperlink r:id="rId1668" ref="C807"/>
    <hyperlink r:id="rId1669" ref="H807"/>
    <hyperlink r:id="rId1670" ref="C808"/>
    <hyperlink r:id="rId1671" ref="H808"/>
    <hyperlink r:id="rId1672" ref="C809"/>
    <hyperlink r:id="rId1673" ref="H809"/>
    <hyperlink r:id="rId1674" ref="C810"/>
    <hyperlink r:id="rId1675" ref="H810"/>
    <hyperlink r:id="rId1676" ref="C811"/>
    <hyperlink r:id="rId1677" ref="H811"/>
    <hyperlink r:id="rId1678" ref="C812"/>
    <hyperlink r:id="rId1679" ref="H812"/>
    <hyperlink r:id="rId1680" ref="C813"/>
    <hyperlink r:id="rId1681" ref="H813"/>
    <hyperlink r:id="rId1682" ref="C814"/>
    <hyperlink r:id="rId1683" ref="H814"/>
    <hyperlink r:id="rId1684" ref="C815"/>
    <hyperlink r:id="rId1685" ref="H815"/>
    <hyperlink r:id="rId1686" ref="C816"/>
    <hyperlink r:id="rId1687" ref="H816"/>
    <hyperlink r:id="rId1688" ref="C817"/>
    <hyperlink r:id="rId1689" ref="H817"/>
    <hyperlink r:id="rId1690" ref="C818"/>
    <hyperlink r:id="rId1691" ref="H818"/>
    <hyperlink r:id="rId1692" ref="C819"/>
    <hyperlink r:id="rId1693" ref="H819"/>
    <hyperlink r:id="rId1694" ref="C820"/>
    <hyperlink r:id="rId1695" ref="H820"/>
    <hyperlink r:id="rId1696" ref="C821"/>
    <hyperlink r:id="rId1697" ref="H821"/>
    <hyperlink r:id="rId1698" ref="C822"/>
    <hyperlink r:id="rId1699" ref="H822"/>
    <hyperlink r:id="rId1700" ref="H823"/>
    <hyperlink r:id="rId1701" ref="C824"/>
    <hyperlink r:id="rId1702" ref="H824"/>
    <hyperlink r:id="rId1703" ref="C825"/>
    <hyperlink r:id="rId1704" ref="H825"/>
    <hyperlink r:id="rId1705" ref="C826"/>
    <hyperlink r:id="rId1706" ref="H826"/>
    <hyperlink r:id="rId1707" ref="C827"/>
    <hyperlink r:id="rId1708" ref="H827"/>
    <hyperlink r:id="rId1709" ref="C828"/>
    <hyperlink r:id="rId1710" ref="H828"/>
    <hyperlink r:id="rId1711" ref="C829"/>
    <hyperlink r:id="rId1712" ref="H829"/>
    <hyperlink r:id="rId1713" ref="C830"/>
    <hyperlink r:id="rId1714" ref="H830"/>
    <hyperlink r:id="rId1715" ref="C831"/>
    <hyperlink r:id="rId1716" ref="H831"/>
    <hyperlink r:id="rId1717" ref="C832"/>
    <hyperlink r:id="rId1718" ref="H832"/>
    <hyperlink r:id="rId1719" ref="C833"/>
    <hyperlink r:id="rId1720" ref="H833"/>
    <hyperlink r:id="rId1721" ref="C834"/>
    <hyperlink r:id="rId1722" ref="H834"/>
    <hyperlink r:id="rId1723" ref="M834"/>
    <hyperlink r:id="rId1724" ref="C835"/>
    <hyperlink r:id="rId1725" ref="H835"/>
    <hyperlink r:id="rId1726" ref="C836"/>
    <hyperlink r:id="rId1727" ref="H836"/>
    <hyperlink r:id="rId1728" ref="C837"/>
    <hyperlink r:id="rId1729" ref="H837"/>
    <hyperlink r:id="rId1730" ref="C838"/>
    <hyperlink r:id="rId1731" ref="H838"/>
    <hyperlink r:id="rId1732" ref="M838"/>
    <hyperlink r:id="rId1733" ref="C839"/>
    <hyperlink r:id="rId1734" ref="H839"/>
    <hyperlink r:id="rId1735" ref="C840"/>
    <hyperlink r:id="rId1736" ref="H840"/>
    <hyperlink r:id="rId1737" ref="C841"/>
    <hyperlink r:id="rId1738" ref="H841"/>
    <hyperlink r:id="rId1739" ref="M841"/>
    <hyperlink r:id="rId1740" ref="C842"/>
    <hyperlink r:id="rId1741" ref="H842"/>
    <hyperlink r:id="rId1742" ref="C843"/>
    <hyperlink r:id="rId1743" ref="H843"/>
    <hyperlink r:id="rId1744" ref="C844"/>
    <hyperlink r:id="rId1745" ref="H844"/>
    <hyperlink r:id="rId1746" ref="C845"/>
    <hyperlink r:id="rId1747" ref="H845"/>
    <hyperlink r:id="rId1748" ref="C846"/>
    <hyperlink r:id="rId1749" ref="H846"/>
    <hyperlink r:id="rId1750" ref="C847"/>
    <hyperlink r:id="rId1751" ref="H847"/>
    <hyperlink r:id="rId1752" ref="C848"/>
    <hyperlink r:id="rId1753" ref="H848"/>
    <hyperlink r:id="rId1754" ref="C849"/>
    <hyperlink r:id="rId1755" ref="H849"/>
    <hyperlink r:id="rId1756" ref="M849"/>
    <hyperlink r:id="rId1757" ref="C850"/>
    <hyperlink r:id="rId1758" ref="H850"/>
    <hyperlink r:id="rId1759" ref="M850"/>
    <hyperlink r:id="rId1760" ref="C851"/>
    <hyperlink r:id="rId1761" ref="H851"/>
    <hyperlink r:id="rId1762" ref="C852"/>
    <hyperlink r:id="rId1763" ref="H852"/>
    <hyperlink r:id="rId1764" ref="C853"/>
    <hyperlink r:id="rId1765" ref="H853"/>
    <hyperlink r:id="rId1766" ref="C854"/>
    <hyperlink r:id="rId1767" ref="H854"/>
    <hyperlink r:id="rId1768" ref="M854"/>
    <hyperlink r:id="rId1769" ref="C855"/>
    <hyperlink r:id="rId1770" ref="H855"/>
    <hyperlink r:id="rId1771" ref="C856"/>
    <hyperlink r:id="rId1772" ref="H856"/>
    <hyperlink r:id="rId1773" ref="C857"/>
    <hyperlink r:id="rId1774" ref="H857"/>
    <hyperlink r:id="rId1775" ref="M857"/>
    <hyperlink r:id="rId1776" ref="C858"/>
    <hyperlink r:id="rId1777" ref="H858"/>
    <hyperlink r:id="rId1778" ref="C859"/>
    <hyperlink r:id="rId1779" ref="H859"/>
    <hyperlink r:id="rId1780" ref="C860"/>
    <hyperlink r:id="rId1781" ref="H860"/>
    <hyperlink r:id="rId1782" ref="C861"/>
    <hyperlink r:id="rId1783" ref="H861"/>
    <hyperlink r:id="rId1784" ref="C862"/>
    <hyperlink r:id="rId1785" ref="H862"/>
    <hyperlink r:id="rId1786" ref="C863"/>
    <hyperlink r:id="rId1787" ref="H863"/>
    <hyperlink r:id="rId1788" ref="M863"/>
    <hyperlink r:id="rId1789" ref="C864"/>
    <hyperlink r:id="rId1790" ref="H864"/>
    <hyperlink r:id="rId1791" ref="C865"/>
    <hyperlink r:id="rId1792" ref="H865"/>
    <hyperlink r:id="rId1793" ref="C866"/>
    <hyperlink r:id="rId1794" ref="H866"/>
    <hyperlink r:id="rId1795" ref="C867"/>
    <hyperlink r:id="rId1796" ref="H867"/>
    <hyperlink r:id="rId1797" ref="C868"/>
    <hyperlink r:id="rId1798" ref="H868"/>
    <hyperlink r:id="rId1799" ref="M868"/>
    <hyperlink r:id="rId1800" ref="C869"/>
    <hyperlink r:id="rId1801" ref="H869"/>
    <hyperlink r:id="rId1802" ref="C870"/>
    <hyperlink r:id="rId1803" ref="H870"/>
    <hyperlink r:id="rId1804" ref="M870"/>
    <hyperlink r:id="rId1805" ref="C871"/>
    <hyperlink r:id="rId1806" ref="H871"/>
    <hyperlink r:id="rId1807" ref="C872"/>
    <hyperlink r:id="rId1808" ref="H872"/>
    <hyperlink r:id="rId1809" ref="C873"/>
    <hyperlink r:id="rId1810" ref="H873"/>
    <hyperlink r:id="rId1811" ref="C874"/>
    <hyperlink r:id="rId1812" ref="H874"/>
    <hyperlink r:id="rId1813" ref="C875"/>
    <hyperlink r:id="rId1814" ref="H875"/>
    <hyperlink r:id="rId1815" ref="C876"/>
    <hyperlink r:id="rId1816" ref="H876"/>
    <hyperlink r:id="rId1817" ref="C877"/>
    <hyperlink r:id="rId1818" ref="H877"/>
    <hyperlink r:id="rId1819" ref="C878"/>
    <hyperlink r:id="rId1820" ref="H878"/>
    <hyperlink r:id="rId1821" ref="C879"/>
    <hyperlink r:id="rId1822" ref="H879"/>
    <hyperlink r:id="rId1823" ref="C880"/>
    <hyperlink r:id="rId1824" ref="H880"/>
    <hyperlink r:id="rId1825" ref="C881"/>
    <hyperlink r:id="rId1826" ref="H881"/>
    <hyperlink r:id="rId1827" ref="C882"/>
    <hyperlink r:id="rId1828" ref="H882"/>
    <hyperlink r:id="rId1829" ref="C883"/>
    <hyperlink r:id="rId1830" ref="H883"/>
    <hyperlink r:id="rId1831" ref="C884"/>
    <hyperlink r:id="rId1832" ref="H884"/>
    <hyperlink r:id="rId1833" ref="C885"/>
    <hyperlink r:id="rId1834" ref="H885"/>
    <hyperlink r:id="rId1835" ref="C886"/>
    <hyperlink r:id="rId1836" ref="H886"/>
    <hyperlink r:id="rId1837" ref="C887"/>
    <hyperlink r:id="rId1838" ref="H887"/>
    <hyperlink r:id="rId1839" ref="C888"/>
    <hyperlink r:id="rId1840" ref="H888"/>
    <hyperlink r:id="rId1841" ref="C889"/>
    <hyperlink r:id="rId1842" ref="H889"/>
    <hyperlink r:id="rId1843" ref="C890"/>
    <hyperlink r:id="rId1844" ref="H890"/>
    <hyperlink r:id="rId1845" ref="C891"/>
    <hyperlink r:id="rId1846" ref="H891"/>
    <hyperlink r:id="rId1847" ref="C892"/>
    <hyperlink r:id="rId1848" ref="H892"/>
    <hyperlink r:id="rId1849" ref="C893"/>
    <hyperlink r:id="rId1850" ref="H893"/>
    <hyperlink r:id="rId1851" ref="C894"/>
    <hyperlink r:id="rId1852" ref="H894"/>
    <hyperlink r:id="rId1853" ref="C895"/>
    <hyperlink r:id="rId1854" ref="H895"/>
    <hyperlink r:id="rId1855" ref="C896"/>
    <hyperlink r:id="rId1856" ref="H896"/>
    <hyperlink r:id="rId1857" ref="C897"/>
    <hyperlink r:id="rId1858" ref="H897"/>
    <hyperlink r:id="rId1859" ref="M897"/>
    <hyperlink r:id="rId1860" ref="C898"/>
    <hyperlink r:id="rId1861" ref="H898"/>
    <hyperlink r:id="rId1862" ref="C899"/>
    <hyperlink r:id="rId1863" ref="H899"/>
    <hyperlink r:id="rId1864" ref="M899"/>
    <hyperlink r:id="rId1865" ref="C900"/>
    <hyperlink r:id="rId1866" ref="H900"/>
    <hyperlink r:id="rId1867" ref="C901"/>
    <hyperlink r:id="rId1868" ref="H901"/>
    <hyperlink r:id="rId1869" ref="C902"/>
    <hyperlink r:id="rId1870" ref="H902"/>
    <hyperlink r:id="rId1871" ref="L902"/>
    <hyperlink r:id="rId1872" ref="C903"/>
    <hyperlink r:id="rId1873" ref="H903"/>
    <hyperlink r:id="rId1874" ref="C904"/>
    <hyperlink r:id="rId1875" ref="H904"/>
    <hyperlink r:id="rId1876" ref="C905"/>
    <hyperlink r:id="rId1877" ref="H905"/>
    <hyperlink r:id="rId1878" ref="M905"/>
    <hyperlink r:id="rId1879" ref="C906"/>
    <hyperlink r:id="rId1880" ref="H906"/>
    <hyperlink r:id="rId1881" ref="M906"/>
    <hyperlink r:id="rId1882" ref="C907"/>
    <hyperlink r:id="rId1883" ref="H907"/>
    <hyperlink r:id="rId1884" ref="C908"/>
    <hyperlink r:id="rId1885" ref="C909"/>
    <hyperlink r:id="rId1886" ref="H909"/>
    <hyperlink r:id="rId1887" ref="L909"/>
    <hyperlink r:id="rId1888" ref="M909"/>
    <hyperlink r:id="rId1889" ref="C910"/>
    <hyperlink r:id="rId1890" ref="H910"/>
    <hyperlink r:id="rId1891" ref="L910"/>
    <hyperlink r:id="rId1892" ref="M910"/>
    <hyperlink r:id="rId1893" ref="C911"/>
    <hyperlink r:id="rId1894" ref="H911"/>
    <hyperlink r:id="rId1895" ref="C912"/>
    <hyperlink r:id="rId1896" ref="H912"/>
    <hyperlink r:id="rId1897" ref="C913"/>
    <hyperlink r:id="rId1898" ref="H913"/>
    <hyperlink r:id="rId1899" ref="C914"/>
    <hyperlink r:id="rId1900" ref="H914"/>
    <hyperlink r:id="rId1901" ref="C915"/>
    <hyperlink r:id="rId1902" ref="H915"/>
    <hyperlink r:id="rId1903" ref="C916"/>
    <hyperlink r:id="rId1904" ref="H916"/>
    <hyperlink r:id="rId1905" ref="C917"/>
    <hyperlink r:id="rId1906" ref="H917"/>
    <hyperlink r:id="rId1907" ref="M917"/>
    <hyperlink r:id="rId1908" ref="C918"/>
    <hyperlink r:id="rId1909" ref="H918"/>
    <hyperlink r:id="rId1910" ref="C919"/>
    <hyperlink r:id="rId1911" ref="H919"/>
    <hyperlink r:id="rId1912" ref="C920"/>
    <hyperlink r:id="rId1913" ref="H920"/>
    <hyperlink r:id="rId1914" ref="C921"/>
    <hyperlink r:id="rId1915" ref="H921"/>
    <hyperlink r:id="rId1916" ref="C922"/>
    <hyperlink r:id="rId1917" ref="H922"/>
    <hyperlink r:id="rId1918" ref="M922"/>
    <hyperlink r:id="rId1919" ref="C923"/>
    <hyperlink r:id="rId1920" ref="H923"/>
    <hyperlink r:id="rId1921" ref="C924"/>
    <hyperlink r:id="rId1922" ref="H924"/>
    <hyperlink r:id="rId1923" ref="C925"/>
    <hyperlink r:id="rId1924" ref="H925"/>
    <hyperlink r:id="rId1925" ref="C926"/>
    <hyperlink r:id="rId1926" ref="H926"/>
    <hyperlink r:id="rId1927" ref="C927"/>
    <hyperlink r:id="rId1928" ref="H927"/>
    <hyperlink r:id="rId1929" ref="C928"/>
    <hyperlink r:id="rId1930" ref="H928"/>
    <hyperlink r:id="rId1931" ref="C929"/>
    <hyperlink r:id="rId1932" ref="H929"/>
    <hyperlink r:id="rId1933" ref="C930"/>
    <hyperlink r:id="rId1934" ref="H930"/>
    <hyperlink r:id="rId1935" ref="C931"/>
    <hyperlink r:id="rId1936" ref="H931"/>
    <hyperlink r:id="rId1937" ref="M931"/>
    <hyperlink r:id="rId1938" ref="C932"/>
    <hyperlink r:id="rId1939" ref="H932"/>
    <hyperlink r:id="rId1940" ref="C933"/>
    <hyperlink r:id="rId1941" ref="H933"/>
    <hyperlink r:id="rId1942" ref="M933"/>
    <hyperlink r:id="rId1943" ref="C934"/>
    <hyperlink r:id="rId1944" ref="H934"/>
    <hyperlink r:id="rId1945" ref="C935"/>
    <hyperlink r:id="rId1946" ref="H935"/>
    <hyperlink r:id="rId1947" ref="C936"/>
    <hyperlink r:id="rId1948" ref="H936"/>
    <hyperlink r:id="rId1949" ref="C937"/>
    <hyperlink r:id="rId1950" ref="H937"/>
    <hyperlink r:id="rId1951" ref="C938"/>
    <hyperlink r:id="rId1952" ref="H938"/>
    <hyperlink r:id="rId1953" ref="C939"/>
    <hyperlink r:id="rId1954" ref="H939"/>
    <hyperlink r:id="rId1955" ref="C940"/>
    <hyperlink r:id="rId1956" ref="H940"/>
    <hyperlink r:id="rId1957" ref="C941"/>
    <hyperlink r:id="rId1958" ref="H941"/>
    <hyperlink r:id="rId1959" ref="C942"/>
    <hyperlink r:id="rId1960" ref="H942"/>
    <hyperlink r:id="rId1961" ref="C943"/>
    <hyperlink r:id="rId1962" ref="H943"/>
    <hyperlink r:id="rId1963" ref="C944"/>
    <hyperlink r:id="rId1964" ref="H944"/>
    <hyperlink r:id="rId1965" ref="C945"/>
    <hyperlink r:id="rId1966" ref="H945"/>
    <hyperlink r:id="rId1967" ref="C946"/>
    <hyperlink r:id="rId1968" ref="H946"/>
    <hyperlink r:id="rId1969" ref="C947"/>
    <hyperlink r:id="rId1970" ref="H947"/>
    <hyperlink r:id="rId1971" ref="C948"/>
    <hyperlink r:id="rId1972" ref="H948"/>
    <hyperlink r:id="rId1973" ref="L948"/>
    <hyperlink r:id="rId1974" ref="C949"/>
    <hyperlink r:id="rId1975" ref="H949"/>
    <hyperlink r:id="rId1976" ref="C950"/>
    <hyperlink r:id="rId1977" ref="H950"/>
    <hyperlink r:id="rId1978" ref="C951"/>
    <hyperlink r:id="rId1979" ref="H951"/>
    <hyperlink r:id="rId1980" ref="C952"/>
    <hyperlink r:id="rId1981" ref="H952"/>
    <hyperlink r:id="rId1982" ref="C953"/>
    <hyperlink r:id="rId1983" ref="H953"/>
    <hyperlink r:id="rId1984" ref="C954"/>
    <hyperlink r:id="rId1985" ref="H954"/>
    <hyperlink r:id="rId1986" ref="C955"/>
    <hyperlink r:id="rId1987" ref="H955"/>
    <hyperlink r:id="rId1988" ref="C956"/>
    <hyperlink r:id="rId1989" ref="H956"/>
    <hyperlink r:id="rId1990" ref="C957"/>
    <hyperlink r:id="rId1991" ref="H957"/>
    <hyperlink r:id="rId1992" ref="C958"/>
    <hyperlink r:id="rId1993" ref="H958"/>
    <hyperlink r:id="rId1994" ref="C959"/>
    <hyperlink r:id="rId1995" ref="H959"/>
    <hyperlink r:id="rId1996" ref="C960"/>
    <hyperlink r:id="rId1997" ref="H960"/>
    <hyperlink r:id="rId1998" ref="M960"/>
    <hyperlink r:id="rId1999" ref="C961"/>
    <hyperlink r:id="rId2000" ref="H961"/>
    <hyperlink r:id="rId2001" ref="C962"/>
    <hyperlink r:id="rId2002" ref="H962"/>
    <hyperlink r:id="rId2003" ref="C963"/>
    <hyperlink r:id="rId2004" ref="H963"/>
    <hyperlink r:id="rId2005" ref="C964"/>
    <hyperlink r:id="rId2006" ref="H964"/>
    <hyperlink r:id="rId2007" ref="M964"/>
    <hyperlink r:id="rId2008" ref="C965"/>
    <hyperlink r:id="rId2009" ref="H965"/>
    <hyperlink r:id="rId2010" ref="C966"/>
    <hyperlink r:id="rId2011" ref="H966"/>
    <hyperlink r:id="rId2012" ref="C967"/>
    <hyperlink r:id="rId2013" ref="H967"/>
    <hyperlink r:id="rId2014" ref="C968"/>
    <hyperlink r:id="rId2015" ref="H968"/>
    <hyperlink r:id="rId2016" ref="C969"/>
    <hyperlink r:id="rId2017" ref="H969"/>
    <hyperlink r:id="rId2018" ref="C970"/>
    <hyperlink r:id="rId2019" ref="H970"/>
    <hyperlink r:id="rId2020" ref="M970"/>
    <hyperlink r:id="rId2021" ref="C971"/>
    <hyperlink r:id="rId2022" ref="H971"/>
    <hyperlink r:id="rId2023" ref="C972"/>
    <hyperlink r:id="rId2024" ref="H972"/>
    <hyperlink r:id="rId2025" ref="C973"/>
    <hyperlink r:id="rId2026" ref="H973"/>
    <hyperlink r:id="rId2027" ref="C974"/>
    <hyperlink r:id="rId2028" ref="H974"/>
    <hyperlink r:id="rId2029" ref="C975"/>
    <hyperlink r:id="rId2030" ref="H975"/>
    <hyperlink r:id="rId2031" ref="C976"/>
    <hyperlink r:id="rId2032" ref="H976"/>
    <hyperlink r:id="rId2033" ref="M976"/>
    <hyperlink r:id="rId2034" ref="C977"/>
    <hyperlink r:id="rId2035" ref="H977"/>
    <hyperlink r:id="rId2036" ref="C978"/>
    <hyperlink r:id="rId2037" ref="H978"/>
    <hyperlink r:id="rId2038" ref="C979"/>
    <hyperlink r:id="rId2039" ref="H979"/>
    <hyperlink r:id="rId2040" ref="C980"/>
    <hyperlink r:id="rId2041" ref="H980"/>
    <hyperlink r:id="rId2042" ref="C981"/>
    <hyperlink r:id="rId2043" ref="H981"/>
    <hyperlink r:id="rId2044" ref="C982"/>
    <hyperlink r:id="rId2045" ref="H982"/>
    <hyperlink r:id="rId2046" ref="L982"/>
    <hyperlink r:id="rId2047" ref="C983"/>
    <hyperlink r:id="rId2048" ref="H983"/>
    <hyperlink r:id="rId2049" ref="C984"/>
    <hyperlink r:id="rId2050" ref="H984"/>
    <hyperlink r:id="rId2051" ref="C985"/>
    <hyperlink r:id="rId2052" ref="H985"/>
    <hyperlink r:id="rId2053" ref="C986"/>
    <hyperlink r:id="rId2054" ref="H986"/>
    <hyperlink r:id="rId2055" ref="C987"/>
    <hyperlink r:id="rId2056" ref="M987"/>
    <hyperlink r:id="rId2057" ref="C988"/>
    <hyperlink r:id="rId2058" ref="C989"/>
    <hyperlink r:id="rId2059" ref="C990"/>
    <hyperlink r:id="rId2060" ref="C991"/>
    <hyperlink r:id="rId2061" ref="H991"/>
    <hyperlink r:id="rId2062" ref="C992"/>
    <hyperlink r:id="rId2063" ref="H992"/>
    <hyperlink r:id="rId2064" ref="C993"/>
    <hyperlink r:id="rId2065" ref="H993"/>
    <hyperlink r:id="rId2066" ref="C994"/>
    <hyperlink r:id="rId2067" ref="H994"/>
    <hyperlink r:id="rId2068" ref="C995"/>
    <hyperlink r:id="rId2069" ref="H995"/>
    <hyperlink r:id="rId2070" ref="C996"/>
    <hyperlink r:id="rId2071" ref="H996"/>
    <hyperlink r:id="rId2072" ref="C997"/>
    <hyperlink r:id="rId2073" ref="H997"/>
    <hyperlink r:id="rId2074" ref="C998"/>
    <hyperlink r:id="rId2075" ref="H998"/>
    <hyperlink r:id="rId2076" ref="C999"/>
    <hyperlink r:id="rId2077" ref="H999"/>
    <hyperlink r:id="rId2078" ref="C1000"/>
    <hyperlink r:id="rId2079" ref="H1000"/>
    <hyperlink r:id="rId2080" ref="C1001"/>
    <hyperlink r:id="rId2081" ref="H1001"/>
    <hyperlink r:id="rId2082" ref="C1002"/>
    <hyperlink r:id="rId2083" ref="H1002"/>
    <hyperlink r:id="rId2084" ref="C1003"/>
    <hyperlink r:id="rId2085" ref="H1003"/>
    <hyperlink r:id="rId2086" ref="C1004"/>
    <hyperlink r:id="rId2087" ref="H1004"/>
    <hyperlink r:id="rId2088" ref="C1005"/>
    <hyperlink r:id="rId2089" ref="H1005"/>
    <hyperlink r:id="rId2090" ref="C1006"/>
    <hyperlink r:id="rId2091" ref="H1006"/>
    <hyperlink r:id="rId2092" ref="C1007"/>
    <hyperlink r:id="rId2093" ref="H1007"/>
    <hyperlink r:id="rId2094" ref="H1008"/>
    <hyperlink r:id="rId2095" ref="C1009"/>
    <hyperlink r:id="rId2096" ref="H1009"/>
    <hyperlink r:id="rId2097" ref="C1010"/>
    <hyperlink r:id="rId2098" ref="H1010"/>
    <hyperlink r:id="rId2099" ref="C1011"/>
    <hyperlink r:id="rId2100" ref="H1011"/>
    <hyperlink r:id="rId2101" ref="C1012"/>
    <hyperlink r:id="rId2102" ref="H1012"/>
    <hyperlink r:id="rId2103" ref="C1013"/>
    <hyperlink r:id="rId2104" ref="H1013"/>
    <hyperlink r:id="rId2105" ref="C1014"/>
    <hyperlink r:id="rId2106" ref="H1014"/>
    <hyperlink r:id="rId2107" ref="C1015"/>
    <hyperlink r:id="rId2108" ref="C1016"/>
    <hyperlink r:id="rId2109" ref="H1016"/>
    <hyperlink r:id="rId2110" ref="C1017"/>
    <hyperlink r:id="rId2111" ref="H1017"/>
    <hyperlink r:id="rId2112" ref="C1018"/>
    <hyperlink r:id="rId2113" ref="H1018"/>
    <hyperlink r:id="rId2114" ref="C1019"/>
    <hyperlink r:id="rId2115" ref="H1019"/>
    <hyperlink r:id="rId2116" ref="C1020"/>
    <hyperlink r:id="rId2117" ref="H1020"/>
    <hyperlink r:id="rId2118" ref="C1021"/>
    <hyperlink r:id="rId2119" ref="H1021"/>
    <hyperlink r:id="rId2120" ref="C1022"/>
    <hyperlink r:id="rId2121" ref="H1022"/>
    <hyperlink r:id="rId2122" ref="L1022"/>
    <hyperlink r:id="rId2123" ref="C1023"/>
    <hyperlink r:id="rId2124" ref="H1023"/>
    <hyperlink r:id="rId2125" ref="C1024"/>
    <hyperlink r:id="rId2126" ref="H1024"/>
    <hyperlink r:id="rId2127" ref="C1025"/>
    <hyperlink r:id="rId2128" ref="H1025"/>
    <hyperlink r:id="rId2129" ref="C1026"/>
    <hyperlink r:id="rId2130" ref="H1026"/>
    <hyperlink r:id="rId2131" ref="C1027"/>
    <hyperlink r:id="rId2132" ref="H1027"/>
    <hyperlink r:id="rId2133" ref="C1028"/>
    <hyperlink r:id="rId2134" ref="H1028"/>
    <hyperlink r:id="rId2135" ref="C1029"/>
    <hyperlink r:id="rId2136" ref="H1029"/>
    <hyperlink r:id="rId2137" ref="C1030"/>
    <hyperlink r:id="rId2138" ref="H1030"/>
    <hyperlink r:id="rId2139" ref="C1031"/>
    <hyperlink r:id="rId2140" ref="H1031"/>
    <hyperlink r:id="rId2141" ref="C1032"/>
    <hyperlink r:id="rId2142" ref="H1032"/>
    <hyperlink r:id="rId2143" ref="C1033"/>
    <hyperlink r:id="rId2144" ref="H1033"/>
    <hyperlink r:id="rId2145" ref="C1034"/>
    <hyperlink r:id="rId2146" ref="H1034"/>
    <hyperlink r:id="rId2147" ref="C1035"/>
    <hyperlink r:id="rId2148" ref="H1035"/>
    <hyperlink r:id="rId2149" ref="C1036"/>
    <hyperlink r:id="rId2150" ref="H1036"/>
    <hyperlink r:id="rId2151" ref="C1037"/>
    <hyperlink r:id="rId2152" ref="H1037"/>
    <hyperlink r:id="rId2153" ref="C1038"/>
    <hyperlink r:id="rId2154" ref="H1038"/>
    <hyperlink r:id="rId2155" ref="C1039"/>
    <hyperlink r:id="rId2156" ref="H1039"/>
    <hyperlink r:id="rId2157" ref="C1040"/>
    <hyperlink r:id="rId2158" ref="H1040"/>
    <hyperlink r:id="rId2159" ref="C1041"/>
    <hyperlink r:id="rId2160" ref="H1041"/>
    <hyperlink r:id="rId2161" ref="C1042"/>
    <hyperlink r:id="rId2162" ref="H1042"/>
    <hyperlink r:id="rId2163" ref="M1042"/>
    <hyperlink r:id="rId2164" ref="C1043"/>
    <hyperlink r:id="rId2165" ref="H1043"/>
    <hyperlink r:id="rId2166" ref="C1044"/>
    <hyperlink r:id="rId2167" ref="C1045"/>
    <hyperlink r:id="rId2168" ref="H1045"/>
    <hyperlink r:id="rId2169" ref="C1046"/>
    <hyperlink r:id="rId2170" ref="H1046"/>
    <hyperlink r:id="rId2171" ref="C1047"/>
    <hyperlink r:id="rId2172" ref="H1047"/>
    <hyperlink r:id="rId2173" ref="C1048"/>
    <hyperlink r:id="rId2174" ref="C1049"/>
    <hyperlink r:id="rId2175" ref="H1049"/>
    <hyperlink r:id="rId2176" ref="C1050"/>
    <hyperlink r:id="rId2177" ref="H1050"/>
    <hyperlink r:id="rId2178" ref="C1051"/>
    <hyperlink r:id="rId2179" ref="H1051"/>
    <hyperlink r:id="rId2180" ref="C1052"/>
    <hyperlink r:id="rId2181" ref="H1052"/>
    <hyperlink r:id="rId2182" ref="C1053"/>
    <hyperlink r:id="rId2183" ref="H1053"/>
    <hyperlink r:id="rId2184" ref="C1054"/>
    <hyperlink r:id="rId2185" ref="H1054"/>
    <hyperlink r:id="rId2186" ref="C1055"/>
    <hyperlink r:id="rId2187" ref="H1055"/>
    <hyperlink r:id="rId2188" ref="C1056"/>
    <hyperlink r:id="rId2189" ref="H1056"/>
    <hyperlink r:id="rId2190" ref="M1056"/>
    <hyperlink r:id="rId2191" ref="C1057"/>
    <hyperlink r:id="rId2192" ref="H1057"/>
    <hyperlink r:id="rId2193" ref="M1057"/>
    <hyperlink r:id="rId2194" ref="C1058"/>
    <hyperlink r:id="rId2195" ref="H1058"/>
    <hyperlink r:id="rId2196" ref="C1059"/>
    <hyperlink r:id="rId2197" ref="H1059"/>
    <hyperlink r:id="rId2198" ref="C1060"/>
    <hyperlink r:id="rId2199" ref="C1061"/>
    <hyperlink r:id="rId2200" ref="H1061"/>
    <hyperlink r:id="rId2201" ref="C1062"/>
    <hyperlink r:id="rId2202" ref="H1062"/>
    <hyperlink r:id="rId2203" ref="C1063"/>
    <hyperlink r:id="rId2204" ref="H1063"/>
    <hyperlink r:id="rId2205" ref="C1064"/>
    <hyperlink r:id="rId2206" ref="H1064"/>
    <hyperlink r:id="rId2207" ref="C1065"/>
    <hyperlink r:id="rId2208" ref="H1065"/>
    <hyperlink r:id="rId2209" ref="C1066"/>
    <hyperlink r:id="rId2210" ref="H1066"/>
    <hyperlink r:id="rId2211" ref="C1067"/>
    <hyperlink r:id="rId2212" ref="H1067"/>
    <hyperlink r:id="rId2213" ref="C1068"/>
    <hyperlink r:id="rId2214" ref="H1068"/>
    <hyperlink r:id="rId2215" ref="C1069"/>
    <hyperlink r:id="rId2216" ref="H1069"/>
    <hyperlink r:id="rId2217" ref="C1070"/>
    <hyperlink r:id="rId2218" ref="H1070"/>
    <hyperlink r:id="rId2219" ref="C1071"/>
    <hyperlink r:id="rId2220" ref="H1071"/>
    <hyperlink r:id="rId2221" ref="C1072"/>
    <hyperlink r:id="rId2222" ref="H1072"/>
    <hyperlink r:id="rId2223" ref="C1073"/>
    <hyperlink r:id="rId2224" ref="H1073"/>
    <hyperlink r:id="rId2225" ref="M1073"/>
    <hyperlink r:id="rId2226" ref="C1074"/>
    <hyperlink r:id="rId2227" ref="H1074"/>
    <hyperlink r:id="rId2228" ref="C1075"/>
    <hyperlink r:id="rId2229" ref="H1075"/>
    <hyperlink r:id="rId2230" ref="C1076"/>
    <hyperlink r:id="rId2231" ref="H1076"/>
    <hyperlink r:id="rId2232" ref="C1077"/>
    <hyperlink r:id="rId2233" ref="H1077"/>
    <hyperlink r:id="rId2234" ref="C1078"/>
    <hyperlink r:id="rId2235" ref="C1079"/>
    <hyperlink r:id="rId2236" ref="H1079"/>
    <hyperlink r:id="rId2237" ref="C1080"/>
    <hyperlink r:id="rId2238" ref="H1080"/>
    <hyperlink r:id="rId2239" ref="C1081"/>
    <hyperlink r:id="rId2240" ref="H1081"/>
    <hyperlink r:id="rId2241" ref="C1082"/>
    <hyperlink r:id="rId2242" ref="H1082"/>
    <hyperlink r:id="rId2243" ref="C1083"/>
    <hyperlink r:id="rId2244" ref="H1083"/>
    <hyperlink r:id="rId2245" ref="C1084"/>
    <hyperlink r:id="rId2246" ref="H1084"/>
    <hyperlink r:id="rId2247" ref="C1085"/>
    <hyperlink r:id="rId2248" ref="H1085"/>
    <hyperlink r:id="rId2249" ref="C1086"/>
    <hyperlink r:id="rId2250" ref="H1086"/>
    <hyperlink r:id="rId2251" ref="M1086"/>
    <hyperlink r:id="rId2252" ref="C1087"/>
    <hyperlink r:id="rId2253" ref="H1087"/>
    <hyperlink r:id="rId2254" ref="C1088"/>
    <hyperlink r:id="rId2255" ref="H1088"/>
    <hyperlink r:id="rId2256" ref="C1089"/>
    <hyperlink r:id="rId2257" ref="H1089"/>
    <hyperlink r:id="rId2258" ref="C1090"/>
    <hyperlink r:id="rId2259" ref="H1090"/>
    <hyperlink r:id="rId2260" ref="M1090"/>
    <hyperlink r:id="rId2261" ref="C1091"/>
    <hyperlink r:id="rId2262" ref="H1091"/>
    <hyperlink r:id="rId2263" ref="C1092"/>
    <hyperlink r:id="rId2264" ref="H1092"/>
    <hyperlink r:id="rId2265" ref="C1093"/>
    <hyperlink r:id="rId2266" ref="H1093"/>
    <hyperlink r:id="rId2267" ref="C1094"/>
    <hyperlink r:id="rId2268" ref="H1094"/>
    <hyperlink r:id="rId2269" ref="M1094"/>
    <hyperlink r:id="rId2270" ref="C1095"/>
    <hyperlink r:id="rId2271" ref="H1095"/>
    <hyperlink r:id="rId2272" ref="C1096"/>
    <hyperlink r:id="rId2273" ref="H1096"/>
    <hyperlink r:id="rId2274" ref="C1097"/>
    <hyperlink r:id="rId2275" ref="H1097"/>
    <hyperlink r:id="rId2276" ref="C1098"/>
    <hyperlink r:id="rId2277" ref="H1098"/>
    <hyperlink r:id="rId2278" ref="C1099"/>
    <hyperlink r:id="rId2279" ref="H1099"/>
    <hyperlink r:id="rId2280" ref="C1100"/>
    <hyperlink r:id="rId2281" ref="H1100"/>
    <hyperlink r:id="rId2282" ref="C1101"/>
    <hyperlink r:id="rId2283" ref="H1101"/>
    <hyperlink r:id="rId2284" ref="C1102"/>
    <hyperlink r:id="rId2285" ref="H1102"/>
    <hyperlink r:id="rId2286" ref="C1103"/>
    <hyperlink r:id="rId2287" ref="H1103"/>
    <hyperlink r:id="rId2288" ref="C1104"/>
    <hyperlink r:id="rId2289" ref="H1104"/>
    <hyperlink r:id="rId2290" ref="C1105"/>
    <hyperlink r:id="rId2291" ref="H1105"/>
    <hyperlink r:id="rId2292" ref="C1106"/>
    <hyperlink r:id="rId2293" ref="H1106"/>
    <hyperlink r:id="rId2294" ref="C1107"/>
    <hyperlink r:id="rId2295" ref="H1107"/>
    <hyperlink r:id="rId2296" ref="M1107"/>
    <hyperlink r:id="rId2297" ref="C1108"/>
    <hyperlink r:id="rId2298" ref="H1108"/>
    <hyperlink r:id="rId2299" ref="C1109"/>
    <hyperlink r:id="rId2300" ref="H1109"/>
    <hyperlink r:id="rId2301" ref="C1110"/>
    <hyperlink r:id="rId2302" ref="H1110"/>
    <hyperlink r:id="rId2303" ref="C1111"/>
    <hyperlink r:id="rId2304" ref="H1111"/>
    <hyperlink r:id="rId2305" ref="C1112"/>
    <hyperlink r:id="rId2306" ref="H1112"/>
    <hyperlink r:id="rId2307" ref="C1113"/>
    <hyperlink r:id="rId2308" ref="H1113"/>
    <hyperlink r:id="rId2309" ref="C1114"/>
    <hyperlink r:id="rId2310" ref="H1114"/>
    <hyperlink r:id="rId2311" ref="C1115"/>
    <hyperlink r:id="rId2312" ref="H1115"/>
    <hyperlink r:id="rId2313" ref="C1116"/>
    <hyperlink r:id="rId2314" ref="H1116"/>
    <hyperlink r:id="rId2315" ref="C1117"/>
    <hyperlink r:id="rId2316" ref="H1117"/>
    <hyperlink r:id="rId2317" ref="C1118"/>
    <hyperlink r:id="rId2318" ref="H1118"/>
    <hyperlink r:id="rId2319" ref="M1118"/>
    <hyperlink r:id="rId2320" ref="C1119"/>
    <hyperlink r:id="rId2321" ref="H1119"/>
    <hyperlink r:id="rId2322" ref="C1120"/>
    <hyperlink r:id="rId2323" ref="H1120"/>
    <hyperlink r:id="rId2324" ref="C1121"/>
    <hyperlink r:id="rId2325" ref="H1121"/>
    <hyperlink r:id="rId2326" ref="C1122"/>
    <hyperlink r:id="rId2327" ref="H1122"/>
    <hyperlink r:id="rId2328" ref="C1123"/>
    <hyperlink r:id="rId2329" ref="H1123"/>
    <hyperlink r:id="rId2330" ref="C1124"/>
    <hyperlink r:id="rId2331" ref="H1124"/>
    <hyperlink r:id="rId2332" ref="H1125"/>
    <hyperlink r:id="rId2333" ref="C1126"/>
    <hyperlink r:id="rId2334" ref="H1126"/>
    <hyperlink r:id="rId2335" ref="C1127"/>
    <hyperlink r:id="rId2336" ref="H1127"/>
    <hyperlink r:id="rId2337" ref="C1128"/>
    <hyperlink r:id="rId2338" ref="H1128"/>
    <hyperlink r:id="rId2339" ref="C1129"/>
    <hyperlink r:id="rId2340" ref="H1129"/>
    <hyperlink r:id="rId2341" ref="M1129"/>
    <hyperlink r:id="rId2342" ref="C1130"/>
    <hyperlink r:id="rId2343" ref="H1130"/>
    <hyperlink r:id="rId2344" ref="H1131"/>
    <hyperlink r:id="rId2345" ref="C1132"/>
    <hyperlink r:id="rId2346" ref="H1132"/>
    <hyperlink r:id="rId2347" ref="C1133"/>
    <hyperlink r:id="rId2348" ref="H1133"/>
    <hyperlink r:id="rId2349" ref="C1134"/>
    <hyperlink r:id="rId2350" ref="H1134"/>
    <hyperlink r:id="rId2351" ref="C1135"/>
    <hyperlink r:id="rId2352" ref="H1135"/>
    <hyperlink r:id="rId2353" ref="C1136"/>
    <hyperlink r:id="rId2354" ref="H1136"/>
    <hyperlink r:id="rId2355" ref="C1137"/>
    <hyperlink r:id="rId2356" ref="H1137"/>
    <hyperlink r:id="rId2357" ref="C1138"/>
    <hyperlink r:id="rId2358" ref="H1138"/>
    <hyperlink r:id="rId2359" ref="C1139"/>
    <hyperlink r:id="rId2360" ref="H1139"/>
    <hyperlink r:id="rId2361" ref="C1140"/>
    <hyperlink r:id="rId2362" ref="H1140"/>
    <hyperlink r:id="rId2363" ref="C1141"/>
    <hyperlink r:id="rId2364" ref="H1141"/>
    <hyperlink r:id="rId2365" ref="C1142"/>
    <hyperlink r:id="rId2366" ref="H1142"/>
    <hyperlink r:id="rId2367" ref="C1143"/>
    <hyperlink r:id="rId2368" ref="H1143"/>
    <hyperlink r:id="rId2369" ref="C1144"/>
    <hyperlink r:id="rId2370" ref="H1144"/>
    <hyperlink r:id="rId2371" ref="C1145"/>
    <hyperlink r:id="rId2372" ref="H1145"/>
    <hyperlink r:id="rId2373" ref="C1146"/>
    <hyperlink r:id="rId2374" ref="H1146"/>
    <hyperlink r:id="rId2375" ref="C1147"/>
    <hyperlink r:id="rId2376" ref="H1147"/>
    <hyperlink r:id="rId2377" ref="C1148"/>
    <hyperlink r:id="rId2378" ref="H1148"/>
    <hyperlink r:id="rId2379" ref="C1149"/>
    <hyperlink r:id="rId2380" ref="H1149"/>
    <hyperlink r:id="rId2381" ref="C1150"/>
    <hyperlink r:id="rId2382" ref="H1150"/>
    <hyperlink r:id="rId2383" ref="C1151"/>
    <hyperlink r:id="rId2384" ref="H1151"/>
    <hyperlink r:id="rId2385" ref="M1151"/>
    <hyperlink r:id="rId2386" ref="C1152"/>
    <hyperlink r:id="rId2387" ref="H1152"/>
    <hyperlink r:id="rId2388" ref="C1153"/>
    <hyperlink r:id="rId2389" ref="H1153"/>
    <hyperlink r:id="rId2390" ref="C1154"/>
    <hyperlink r:id="rId2391" ref="H1154"/>
    <hyperlink r:id="rId2392" ref="C1155"/>
    <hyperlink r:id="rId2393" ref="H1155"/>
    <hyperlink r:id="rId2394" ref="C1156"/>
    <hyperlink r:id="rId2395" ref="H1156"/>
    <hyperlink r:id="rId2396" ref="C1157"/>
    <hyperlink r:id="rId2397" ref="H1157"/>
    <hyperlink r:id="rId2398" ref="C1158"/>
    <hyperlink r:id="rId2399" ref="H1158"/>
    <hyperlink r:id="rId2400" ref="C1159"/>
    <hyperlink r:id="rId2401" ref="C1160"/>
    <hyperlink r:id="rId2402" ref="H1160"/>
    <hyperlink r:id="rId2403" ref="C1161"/>
    <hyperlink r:id="rId2404" ref="H1161"/>
    <hyperlink r:id="rId2405" ref="C1162"/>
    <hyperlink r:id="rId2406" ref="H1162"/>
    <hyperlink r:id="rId2407" ref="C1163"/>
    <hyperlink r:id="rId2408" ref="H1163"/>
    <hyperlink r:id="rId2409" ref="C1164"/>
    <hyperlink r:id="rId2410" ref="H1164"/>
    <hyperlink r:id="rId2411" ref="C1165"/>
    <hyperlink r:id="rId2412" ref="H1165"/>
    <hyperlink r:id="rId2413" ref="C1166"/>
    <hyperlink r:id="rId2414" ref="H1166"/>
    <hyperlink r:id="rId2415" ref="C1167"/>
    <hyperlink r:id="rId2416" ref="H1167"/>
    <hyperlink r:id="rId2417" ref="M1167"/>
    <hyperlink r:id="rId2418" ref="C1168"/>
    <hyperlink r:id="rId2419" ref="H1168"/>
    <hyperlink r:id="rId2420" ref="C1169"/>
    <hyperlink r:id="rId2421" ref="H1169"/>
    <hyperlink r:id="rId2422" ref="C1170"/>
    <hyperlink r:id="rId2423" ref="H1170"/>
    <hyperlink r:id="rId2424" ref="C1171"/>
    <hyperlink r:id="rId2425" ref="H1171"/>
    <hyperlink r:id="rId2426" ref="C1172"/>
    <hyperlink r:id="rId2427" ref="H1172"/>
    <hyperlink r:id="rId2428" ref="C1173"/>
    <hyperlink r:id="rId2429" ref="C1174"/>
    <hyperlink r:id="rId2430" ref="H1174"/>
    <hyperlink r:id="rId2431" ref="C1175"/>
    <hyperlink r:id="rId2432" ref="H1175"/>
    <hyperlink r:id="rId2433" ref="C1176"/>
    <hyperlink r:id="rId2434" ref="H1176"/>
    <hyperlink r:id="rId2435" ref="C1177"/>
    <hyperlink r:id="rId2436" ref="H1177"/>
    <hyperlink r:id="rId2437" ref="C1178"/>
    <hyperlink r:id="rId2438" ref="H1178"/>
    <hyperlink r:id="rId2439" ref="L1178"/>
    <hyperlink r:id="rId2440" ref="C1179"/>
    <hyperlink r:id="rId2441" ref="H1179"/>
    <hyperlink r:id="rId2442" ref="C1180"/>
    <hyperlink r:id="rId2443" ref="H1180"/>
    <hyperlink r:id="rId2444" ref="C1181"/>
    <hyperlink r:id="rId2445" ref="H1181"/>
    <hyperlink r:id="rId2446" ref="C1182"/>
    <hyperlink r:id="rId2447" ref="H1182"/>
    <hyperlink r:id="rId2448" ref="C1183"/>
    <hyperlink r:id="rId2449" ref="H1183"/>
    <hyperlink r:id="rId2450" ref="C1184"/>
    <hyperlink r:id="rId2451" ref="H1184"/>
    <hyperlink r:id="rId2452" ref="C1185"/>
    <hyperlink r:id="rId2453" ref="H1185"/>
    <hyperlink r:id="rId2454" ref="C1186"/>
    <hyperlink r:id="rId2455" ref="H1186"/>
    <hyperlink r:id="rId2456" ref="C1187"/>
    <hyperlink r:id="rId2457" ref="H1187"/>
    <hyperlink r:id="rId2458" ref="C1188"/>
    <hyperlink r:id="rId2459" ref="H1188"/>
    <hyperlink r:id="rId2460" ref="C1189"/>
    <hyperlink r:id="rId2461" ref="H1189"/>
    <hyperlink r:id="rId2462" ref="C1190"/>
    <hyperlink r:id="rId2463" ref="H1190"/>
    <hyperlink r:id="rId2464" ref="C1191"/>
    <hyperlink r:id="rId2465" ref="H1191"/>
    <hyperlink r:id="rId2466" ref="C1192"/>
    <hyperlink r:id="rId2467" ref="H1192"/>
    <hyperlink r:id="rId2468" ref="C1193"/>
    <hyperlink r:id="rId2469" ref="H1193"/>
    <hyperlink r:id="rId2470" ref="C1194"/>
    <hyperlink r:id="rId2471" ref="H1194"/>
    <hyperlink r:id="rId2472" ref="C1195"/>
    <hyperlink r:id="rId2473" ref="H1195"/>
    <hyperlink r:id="rId2474" ref="C1196"/>
    <hyperlink r:id="rId2475" ref="H1196"/>
    <hyperlink r:id="rId2476" ref="C1197"/>
    <hyperlink r:id="rId2477" ref="H1197"/>
    <hyperlink r:id="rId2478" ref="C1198"/>
    <hyperlink r:id="rId2479" ref="H1198"/>
    <hyperlink r:id="rId2480" ref="C1199"/>
    <hyperlink r:id="rId2481" ref="H1199"/>
    <hyperlink r:id="rId2482" ref="C1200"/>
    <hyperlink r:id="rId2483" ref="H1200"/>
    <hyperlink r:id="rId2484" ref="C1201"/>
    <hyperlink r:id="rId2485" ref="H1201"/>
    <hyperlink r:id="rId2486" ref="C1202"/>
    <hyperlink r:id="rId2487" ref="H1202"/>
    <hyperlink r:id="rId2488" ref="C1203"/>
    <hyperlink r:id="rId2489" ref="H1203"/>
    <hyperlink r:id="rId2490" ref="C1204"/>
    <hyperlink r:id="rId2491" ref="H1204"/>
    <hyperlink r:id="rId2492" ref="C1205"/>
    <hyperlink r:id="rId2493" ref="H1205"/>
    <hyperlink r:id="rId2494" ref="C1206"/>
    <hyperlink r:id="rId2495" ref="H1206"/>
    <hyperlink r:id="rId2496" ref="C1207"/>
    <hyperlink r:id="rId2497" ref="H1207"/>
    <hyperlink r:id="rId2498" ref="C1208"/>
    <hyperlink r:id="rId2499" ref="M1208"/>
    <hyperlink r:id="rId2500" ref="C1209"/>
    <hyperlink r:id="rId2501" ref="C1210"/>
    <hyperlink r:id="rId2502" ref="H1210"/>
    <hyperlink r:id="rId2503" ref="C1211"/>
    <hyperlink r:id="rId2504" ref="H1211"/>
    <hyperlink r:id="rId2505" ref="C1212"/>
    <hyperlink r:id="rId2506" ref="H1212"/>
    <hyperlink r:id="rId2507" ref="C1213"/>
    <hyperlink r:id="rId2508" ref="H1213"/>
    <hyperlink r:id="rId2509" ref="C1214"/>
    <hyperlink r:id="rId2510" ref="H1214"/>
    <hyperlink r:id="rId2511" ref="C1215"/>
    <hyperlink r:id="rId2512" ref="H1215"/>
    <hyperlink r:id="rId2513" ref="C1216"/>
    <hyperlink r:id="rId2514" ref="H1216"/>
    <hyperlink r:id="rId2515" ref="M1216"/>
    <hyperlink r:id="rId2516" ref="C1217"/>
    <hyperlink r:id="rId2517" ref="H1217"/>
    <hyperlink r:id="rId2518" ref="C1218"/>
    <hyperlink r:id="rId2519" ref="H1218"/>
    <hyperlink r:id="rId2520" ref="C1219"/>
    <hyperlink r:id="rId2521" ref="H1219"/>
    <hyperlink r:id="rId2522" ref="C1220"/>
    <hyperlink r:id="rId2523" ref="H1220"/>
    <hyperlink r:id="rId2524" ref="C1221"/>
    <hyperlink r:id="rId2525" ref="H1221"/>
    <hyperlink r:id="rId2526" ref="C1222"/>
    <hyperlink r:id="rId2527" ref="H1222"/>
    <hyperlink r:id="rId2528" ref="C1223"/>
    <hyperlink r:id="rId2529" ref="H1223"/>
    <hyperlink r:id="rId2530" ref="C1224"/>
    <hyperlink r:id="rId2531" ref="H1224"/>
    <hyperlink r:id="rId2532" ref="C1225"/>
    <hyperlink r:id="rId2533" ref="H1225"/>
    <hyperlink r:id="rId2534" ref="H1226"/>
    <hyperlink r:id="rId2535" ref="C1227"/>
    <hyperlink r:id="rId2536" ref="H1227"/>
    <hyperlink r:id="rId2537" ref="C1228"/>
    <hyperlink r:id="rId2538" ref="H1228"/>
    <hyperlink r:id="rId2539" ref="C1229"/>
    <hyperlink r:id="rId2540" ref="H1229"/>
    <hyperlink r:id="rId2541" ref="C1230"/>
    <hyperlink r:id="rId2542" ref="H1230"/>
    <hyperlink r:id="rId2543" ref="M1230"/>
    <hyperlink r:id="rId2544" ref="C1231"/>
    <hyperlink r:id="rId2545" ref="H1231"/>
    <hyperlink r:id="rId2546" ref="C1232"/>
    <hyperlink r:id="rId2547" ref="H1232"/>
    <hyperlink r:id="rId2548" ref="C1233"/>
    <hyperlink r:id="rId2549" ref="H1233"/>
    <hyperlink r:id="rId2550" ref="C1234"/>
    <hyperlink r:id="rId2551" ref="H1234"/>
    <hyperlink r:id="rId2552" ref="C1235"/>
    <hyperlink r:id="rId2553" ref="H1235"/>
    <hyperlink r:id="rId2554" ref="C1236"/>
    <hyperlink r:id="rId2555" ref="H1236"/>
    <hyperlink r:id="rId2556" ref="C1237"/>
    <hyperlink r:id="rId2557" ref="H1237"/>
    <hyperlink r:id="rId2558" ref="C1238"/>
    <hyperlink r:id="rId2559" ref="H1238"/>
    <hyperlink r:id="rId2560" ref="C1239"/>
    <hyperlink r:id="rId2561" ref="H1239"/>
    <hyperlink r:id="rId2562" ref="C1240"/>
    <hyperlink r:id="rId2563" ref="H1240"/>
    <hyperlink r:id="rId2564" ref="C1241"/>
    <hyperlink r:id="rId2565" ref="H1241"/>
    <hyperlink r:id="rId2566" ref="C1242"/>
    <hyperlink r:id="rId2567" ref="H1242"/>
    <hyperlink r:id="rId2568" ref="C1243"/>
    <hyperlink r:id="rId2569" ref="H1243"/>
    <hyperlink r:id="rId2570" ref="C1244"/>
    <hyperlink r:id="rId2571" ref="H1244"/>
    <hyperlink r:id="rId2572" ref="C1245"/>
    <hyperlink r:id="rId2573" ref="H1245"/>
    <hyperlink r:id="rId2574" ref="C1246"/>
    <hyperlink r:id="rId2575" ref="H1246"/>
    <hyperlink r:id="rId2576" ref="C1247"/>
    <hyperlink r:id="rId2577" ref="H1247"/>
    <hyperlink r:id="rId2578" ref="C1248"/>
    <hyperlink r:id="rId2579" ref="C1249"/>
    <hyperlink r:id="rId2580" ref="H1249"/>
    <hyperlink r:id="rId2581" ref="L1249"/>
    <hyperlink r:id="rId2582" ref="C1250"/>
    <hyperlink r:id="rId2583" ref="H1250"/>
    <hyperlink r:id="rId2584" ref="C1251"/>
    <hyperlink r:id="rId2585" ref="H1251"/>
    <hyperlink r:id="rId2586" ref="C1252"/>
    <hyperlink r:id="rId2587" ref="H1252"/>
    <hyperlink r:id="rId2588" ref="H1253"/>
    <hyperlink r:id="rId2589" ref="C1254"/>
    <hyperlink r:id="rId2590" ref="H1254"/>
    <hyperlink r:id="rId2591" ref="C1255"/>
    <hyperlink r:id="rId2592" ref="H1255"/>
    <hyperlink r:id="rId2593" ref="C1256"/>
    <hyperlink r:id="rId2594" ref="H1256"/>
    <hyperlink r:id="rId2595" ref="C1257"/>
    <hyperlink r:id="rId2596" ref="H1257"/>
    <hyperlink r:id="rId2597" ref="C1258"/>
    <hyperlink r:id="rId2598" ref="H1258"/>
    <hyperlink r:id="rId2599" ref="C1259"/>
    <hyperlink r:id="rId2600" ref="H1259"/>
    <hyperlink r:id="rId2601" ref="C1260"/>
    <hyperlink r:id="rId2602" ref="H1260"/>
    <hyperlink r:id="rId2603" ref="C1261"/>
    <hyperlink r:id="rId2604" ref="H1261"/>
    <hyperlink r:id="rId2605" ref="C1262"/>
    <hyperlink r:id="rId2606" ref="C1263"/>
    <hyperlink r:id="rId2607" ref="H1263"/>
    <hyperlink r:id="rId2608" ref="C1264"/>
    <hyperlink r:id="rId2609" ref="H1264"/>
    <hyperlink r:id="rId2610" ref="C1265"/>
    <hyperlink r:id="rId2611" ref="H1265"/>
    <hyperlink r:id="rId2612" ref="C1266"/>
    <hyperlink r:id="rId2613" ref="H1266"/>
    <hyperlink r:id="rId2614" ref="C1267"/>
    <hyperlink r:id="rId2615" ref="H1267"/>
    <hyperlink r:id="rId2616" ref="C1268"/>
    <hyperlink r:id="rId2617" ref="H1268"/>
    <hyperlink r:id="rId2618" ref="C1269"/>
    <hyperlink r:id="rId2619" ref="H1269"/>
    <hyperlink r:id="rId2620" ref="C1270"/>
    <hyperlink r:id="rId2621" ref="H1270"/>
    <hyperlink r:id="rId2622" ref="C1271"/>
    <hyperlink r:id="rId2623" ref="H1271"/>
    <hyperlink r:id="rId2624" ref="C1272"/>
    <hyperlink r:id="rId2625" ref="H1272"/>
    <hyperlink r:id="rId2626" ref="C1273"/>
    <hyperlink r:id="rId2627" ref="H1273"/>
    <hyperlink r:id="rId2628" ref="C1274"/>
    <hyperlink r:id="rId2629" ref="H1274"/>
    <hyperlink r:id="rId2630" ref="C1275"/>
    <hyperlink r:id="rId2631" ref="H1275"/>
    <hyperlink r:id="rId2632" ref="C1276"/>
    <hyperlink r:id="rId2633" ref="H1276"/>
    <hyperlink r:id="rId2634" ref="C1277"/>
    <hyperlink r:id="rId2635" ref="H1277"/>
    <hyperlink r:id="rId2636" ref="C1278"/>
    <hyperlink r:id="rId2637" ref="H1278"/>
    <hyperlink r:id="rId2638" ref="C1279"/>
    <hyperlink r:id="rId2639" ref="H1279"/>
    <hyperlink r:id="rId2640" ref="C1280"/>
    <hyperlink r:id="rId2641" ref="H1280"/>
    <hyperlink r:id="rId2642" ref="C1281"/>
    <hyperlink r:id="rId2643" ref="H1281"/>
    <hyperlink r:id="rId2644" ref="C1282"/>
    <hyperlink r:id="rId2645" ref="H1282"/>
    <hyperlink r:id="rId2646" ref="C1283"/>
    <hyperlink r:id="rId2647" ref="H1283"/>
    <hyperlink r:id="rId2648" ref="C1284"/>
    <hyperlink r:id="rId2649" ref="H1284"/>
    <hyperlink r:id="rId2650" ref="C1285"/>
    <hyperlink r:id="rId2651" ref="H1285"/>
    <hyperlink r:id="rId2652" location="footnote3_q75spr7" ref="C1286"/>
    <hyperlink r:id="rId2653" ref="H1286"/>
    <hyperlink r:id="rId2654" ref="C1287"/>
    <hyperlink r:id="rId2655" ref="H1287"/>
    <hyperlink r:id="rId2656" ref="C1288"/>
    <hyperlink r:id="rId2657" ref="H1288"/>
    <hyperlink r:id="rId2658" ref="C1289"/>
    <hyperlink r:id="rId2659" ref="H1289"/>
    <hyperlink r:id="rId2660" ref="C1290"/>
    <hyperlink r:id="rId2661" ref="H1290"/>
    <hyperlink r:id="rId2662" ref="C1291"/>
    <hyperlink r:id="rId2663" ref="H1291"/>
    <hyperlink r:id="rId2664" ref="C1292"/>
    <hyperlink r:id="rId2665" ref="H1292"/>
    <hyperlink r:id="rId2666" ref="C1293"/>
    <hyperlink r:id="rId2667" ref="H1293"/>
    <hyperlink r:id="rId2668" ref="C1294"/>
    <hyperlink r:id="rId2669" location="careers" ref="C1295"/>
    <hyperlink r:id="rId2670" ref="C1296"/>
    <hyperlink r:id="rId2671" ref="C1298"/>
    <hyperlink r:id="rId2672" ref="H1298"/>
    <hyperlink r:id="rId2673" ref="C1299"/>
    <hyperlink r:id="rId2674" ref="H1299"/>
    <hyperlink r:id="rId2675" ref="C1300"/>
    <hyperlink r:id="rId2676" ref="H1300"/>
    <hyperlink r:id="rId2677" ref="C1301"/>
    <hyperlink r:id="rId2678" ref="H1301"/>
    <hyperlink r:id="rId2679" ref="C1302"/>
    <hyperlink r:id="rId2680" ref="H1302"/>
    <hyperlink r:id="rId2681" ref="C1303"/>
    <hyperlink r:id="rId2682" ref="H1303"/>
    <hyperlink r:id="rId2683" ref="C1304"/>
    <hyperlink r:id="rId2684" ref="H1304"/>
    <hyperlink r:id="rId2685" ref="M1304"/>
    <hyperlink r:id="rId2686" ref="C1305"/>
    <hyperlink r:id="rId2687" ref="H1305"/>
    <hyperlink r:id="rId2688" ref="C1306"/>
    <hyperlink r:id="rId2689" ref="H1306"/>
    <hyperlink r:id="rId2690" ref="C1307"/>
    <hyperlink r:id="rId2691" ref="H1307"/>
    <hyperlink r:id="rId2692" location="chai-internships" ref="C1308"/>
    <hyperlink r:id="rId2693" ref="H1308"/>
    <hyperlink r:id="rId2694" ref="C1309"/>
    <hyperlink r:id="rId2695" ref="H1309"/>
    <hyperlink r:id="rId2696" ref="C1310"/>
    <hyperlink r:id="rId2697" ref="H1310"/>
    <hyperlink r:id="rId2698" ref="C1311"/>
    <hyperlink r:id="rId2699" ref="H1311"/>
    <hyperlink r:id="rId2700" ref="C1312"/>
    <hyperlink r:id="rId2701" ref="H1312"/>
    <hyperlink r:id="rId2702" ref="C1313"/>
    <hyperlink r:id="rId2703" ref="H1313"/>
    <hyperlink r:id="rId2704" ref="C1314"/>
    <hyperlink r:id="rId2705" ref="H1314"/>
    <hyperlink r:id="rId2706" ref="C1315"/>
    <hyperlink r:id="rId2707" ref="H1315"/>
    <hyperlink r:id="rId2708" ref="C1316"/>
    <hyperlink r:id="rId2709" ref="H1316"/>
    <hyperlink r:id="rId2710" ref="C1317"/>
    <hyperlink r:id="rId2711" ref="H1317"/>
    <hyperlink r:id="rId2712" location="internship" ref="C1318"/>
    <hyperlink r:id="rId2713" ref="H1318"/>
    <hyperlink r:id="rId2714" ref="C1319"/>
    <hyperlink r:id="rId2715" ref="H1319"/>
    <hyperlink r:id="rId2716" ref="C1320"/>
    <hyperlink r:id="rId2717" ref="H1320"/>
    <hyperlink r:id="rId2718" ref="C1321"/>
    <hyperlink r:id="rId2719" ref="H1321"/>
    <hyperlink r:id="rId2720" ref="C1322"/>
    <hyperlink r:id="rId2721" ref="H1322"/>
    <hyperlink r:id="rId2722" ref="C1323"/>
    <hyperlink r:id="rId2723" ref="H1323"/>
    <hyperlink r:id="rId2724" ref="C1324"/>
    <hyperlink r:id="rId2725" ref="H1324"/>
    <hyperlink r:id="rId2726" ref="C1325"/>
    <hyperlink r:id="rId2727" ref="H1325"/>
    <hyperlink r:id="rId2728" ref="C1326"/>
    <hyperlink r:id="rId2729" ref="H1326"/>
    <hyperlink r:id="rId2730" ref="C1327"/>
    <hyperlink r:id="rId2731" ref="H1327"/>
    <hyperlink r:id="rId2732" ref="C1328"/>
    <hyperlink r:id="rId2733" ref="H1328"/>
    <hyperlink r:id="rId2734" ref="C1329"/>
    <hyperlink r:id="rId2735" ref="H1329"/>
    <hyperlink r:id="rId2736" ref="C1330"/>
    <hyperlink r:id="rId2737" ref="H1330"/>
    <hyperlink r:id="rId2738" ref="C1331"/>
    <hyperlink r:id="rId2739" ref="H1331"/>
    <hyperlink r:id="rId2740" ref="C1332"/>
    <hyperlink r:id="rId2741" ref="H1332"/>
    <hyperlink r:id="rId2742" ref="C1333"/>
    <hyperlink r:id="rId2743" ref="H1333"/>
    <hyperlink r:id="rId2744" ref="C1334"/>
    <hyperlink r:id="rId2745" ref="H1334"/>
    <hyperlink r:id="rId2746" location="internship" ref="C1335"/>
    <hyperlink r:id="rId2747" ref="H1335"/>
    <hyperlink r:id="rId2748" ref="C1336"/>
    <hyperlink r:id="rId2749" ref="H1336"/>
    <hyperlink r:id="rId2750" ref="C1337"/>
    <hyperlink r:id="rId2751" ref="H1337"/>
    <hyperlink r:id="rId2752" ref="C1338"/>
    <hyperlink r:id="rId2753" ref="H1338"/>
    <hyperlink r:id="rId2754" ref="C1339"/>
    <hyperlink r:id="rId2755" ref="H1339"/>
    <hyperlink r:id="rId2756" ref="C1340"/>
    <hyperlink r:id="rId2757" ref="H1340"/>
    <hyperlink r:id="rId2758" ref="C1341"/>
    <hyperlink r:id="rId2759" ref="H1341"/>
    <hyperlink r:id="rId2760" ref="C1342"/>
    <hyperlink r:id="rId2761" ref="H1342"/>
    <hyperlink r:id="rId2762" ref="C1343"/>
    <hyperlink r:id="rId2763" ref="H1343"/>
    <hyperlink r:id="rId2764" ref="M1343"/>
    <hyperlink r:id="rId2765" ref="C1344"/>
    <hyperlink r:id="rId2766" ref="H1344"/>
    <hyperlink r:id="rId2767" ref="C1345"/>
    <hyperlink r:id="rId2768" ref="H1345"/>
    <hyperlink r:id="rId2769" ref="C1346"/>
    <hyperlink r:id="rId2770" ref="H1346"/>
    <hyperlink r:id="rId2771" ref="C1347"/>
    <hyperlink r:id="rId2772" ref="H1347"/>
    <hyperlink r:id="rId2773" ref="C1348"/>
    <hyperlink r:id="rId2774" ref="H1348"/>
    <hyperlink r:id="rId2775" ref="C1349"/>
    <hyperlink r:id="rId2776" ref="H1349"/>
    <hyperlink r:id="rId2777" ref="C1350"/>
    <hyperlink r:id="rId2778" ref="H1350"/>
    <hyperlink r:id="rId2779" ref="H1351"/>
    <hyperlink r:id="rId2780" ref="C1352"/>
    <hyperlink r:id="rId2781" ref="H1352"/>
    <hyperlink r:id="rId2782" ref="C1353"/>
    <hyperlink r:id="rId2783" ref="H1353"/>
    <hyperlink r:id="rId2784" ref="H1354"/>
    <hyperlink r:id="rId2785" ref="C1355"/>
    <hyperlink r:id="rId2786" ref="H1355"/>
    <hyperlink r:id="rId2787" ref="C1356"/>
    <hyperlink r:id="rId2788" ref="H1356"/>
    <hyperlink r:id="rId2789" ref="C1357"/>
    <hyperlink r:id="rId2790" ref="H1357"/>
    <hyperlink r:id="rId2791" ref="C1358"/>
    <hyperlink r:id="rId2792" ref="H1358"/>
    <hyperlink r:id="rId2793" ref="C1359"/>
    <hyperlink r:id="rId2794" ref="H1359"/>
    <hyperlink r:id="rId2795" ref="C1360"/>
    <hyperlink r:id="rId2796" ref="C1361"/>
    <hyperlink r:id="rId2797" ref="C1362"/>
    <hyperlink r:id="rId2798" ref="C1363"/>
    <hyperlink r:id="rId2799" ref="C1364"/>
    <hyperlink r:id="rId2800" ref="H1364"/>
    <hyperlink r:id="rId2801" ref="C1365"/>
    <hyperlink r:id="rId2802" ref="H1365"/>
    <hyperlink r:id="rId2803" ref="C1366"/>
    <hyperlink r:id="rId2804" ref="H1366"/>
    <hyperlink r:id="rId2805" ref="C1367"/>
    <hyperlink r:id="rId2806" ref="H1367"/>
    <hyperlink r:id="rId2807" ref="C1368"/>
    <hyperlink r:id="rId2808" ref="H1368"/>
    <hyperlink r:id="rId2809" ref="C1369"/>
    <hyperlink r:id="rId2810" ref="H1369"/>
    <hyperlink r:id="rId2811" ref="C1370"/>
    <hyperlink r:id="rId2812" ref="H1370"/>
    <hyperlink r:id="rId2813" ref="C1371"/>
    <hyperlink r:id="rId2814" ref="H1371"/>
    <hyperlink r:id="rId2815" ref="C1372"/>
    <hyperlink r:id="rId2816" ref="H1372"/>
    <hyperlink r:id="rId2817" ref="C1373"/>
    <hyperlink r:id="rId2818" ref="H1373"/>
    <hyperlink r:id="rId2819" ref="C1374"/>
    <hyperlink r:id="rId2820" ref="H1374"/>
    <hyperlink r:id="rId2821" ref="C1375"/>
    <hyperlink r:id="rId2822" ref="H1375"/>
    <hyperlink r:id="rId2823" ref="C1376"/>
    <hyperlink r:id="rId2824" ref="H1376"/>
    <hyperlink r:id="rId2825" ref="C1377"/>
    <hyperlink r:id="rId2826" ref="H1377"/>
    <hyperlink r:id="rId2827" ref="C1378"/>
    <hyperlink r:id="rId2828" ref="H1378"/>
    <hyperlink r:id="rId2829" ref="C1379"/>
    <hyperlink r:id="rId2830" ref="H1379"/>
    <hyperlink r:id="rId2831" ref="C1380"/>
    <hyperlink r:id="rId2832" ref="H1380"/>
    <hyperlink r:id="rId2833" ref="C1381"/>
    <hyperlink r:id="rId2834" ref="H1381"/>
    <hyperlink r:id="rId2835" ref="C1382"/>
    <hyperlink r:id="rId2836" ref="H1382"/>
    <hyperlink r:id="rId2837" ref="C1383"/>
    <hyperlink r:id="rId2838" ref="H1383"/>
    <hyperlink r:id="rId2839" ref="C1384"/>
    <hyperlink r:id="rId2840" ref="H1384"/>
    <hyperlink r:id="rId2841" ref="C1385"/>
    <hyperlink r:id="rId2842" ref="H1385"/>
    <hyperlink r:id="rId2843" ref="C1386"/>
    <hyperlink r:id="rId2844" ref="H1386"/>
    <hyperlink r:id="rId2845" ref="C1387"/>
    <hyperlink r:id="rId2846" ref="H1387"/>
    <hyperlink r:id="rId2847" ref="C1388"/>
    <hyperlink r:id="rId2848" ref="H1388"/>
    <hyperlink r:id="rId2849" ref="C1389"/>
    <hyperlink r:id="rId2850" ref="H1389"/>
    <hyperlink r:id="rId2851" ref="M1389"/>
    <hyperlink r:id="rId2852" ref="C1390"/>
    <hyperlink r:id="rId2853" ref="H1390"/>
    <hyperlink r:id="rId2854" ref="C1391"/>
    <hyperlink r:id="rId2855" ref="H1391"/>
    <hyperlink r:id="rId2856" ref="C1392"/>
    <hyperlink r:id="rId2857" ref="H1392"/>
    <hyperlink r:id="rId2858" ref="C1393"/>
    <hyperlink r:id="rId2859" ref="H1393"/>
    <hyperlink r:id="rId2860" ref="C1394"/>
    <hyperlink r:id="rId2861" ref="H1394"/>
    <hyperlink r:id="rId2862" location="new-university-collaborators" ref="C1395"/>
    <hyperlink r:id="rId2863" ref="H1395"/>
    <hyperlink r:id="rId2864" ref="C1396"/>
    <hyperlink r:id="rId2865" ref="H1396"/>
    <hyperlink r:id="rId2866" location="postdoc-specializing-in-ai-safety-and-control" ref="C1397"/>
    <hyperlink r:id="rId2867" ref="H1397"/>
    <hyperlink r:id="rId2868" ref="C1398"/>
    <hyperlink r:id="rId2869" ref="H1398"/>
    <hyperlink r:id="rId2870" ref="C1399"/>
    <hyperlink r:id="rId2871" ref="H1399"/>
    <hyperlink r:id="rId2872" ref="C1400"/>
    <hyperlink r:id="rId2873" ref="H1400"/>
    <hyperlink r:id="rId2874" ref="C1401"/>
    <hyperlink r:id="rId2875" ref="H1401"/>
    <hyperlink r:id="rId2876" ref="C1402"/>
    <hyperlink r:id="rId2877" ref="H1402"/>
    <hyperlink r:id="rId2878" ref="C1403"/>
    <hyperlink r:id="rId2879" ref="H1403"/>
    <hyperlink r:id="rId2880" ref="C1404"/>
    <hyperlink r:id="rId2881" ref="H1404"/>
    <hyperlink r:id="rId2882" ref="C1405"/>
    <hyperlink r:id="rId2883" ref="H1405"/>
    <hyperlink r:id="rId2884" ref="C1406"/>
    <hyperlink r:id="rId2885" ref="H1406"/>
    <hyperlink r:id="rId2886" ref="C1407"/>
    <hyperlink r:id="rId2887" ref="C1408"/>
    <hyperlink r:id="rId2888" ref="H1408"/>
    <hyperlink r:id="rId2889" ref="C1409"/>
    <hyperlink r:id="rId2890" ref="H1409"/>
    <hyperlink r:id="rId2891" ref="C1410"/>
    <hyperlink r:id="rId2892" ref="H1410"/>
    <hyperlink r:id="rId2893" ref="C1411"/>
    <hyperlink r:id="rId2894" ref="H1411"/>
    <hyperlink r:id="rId2895" ref="H1412"/>
    <hyperlink r:id="rId2896" ref="C1413"/>
    <hyperlink r:id="rId2897" ref="H1413"/>
    <hyperlink r:id="rId2898" ref="C1414"/>
    <hyperlink r:id="rId2899" ref="H1414"/>
    <hyperlink r:id="rId2900" ref="C1415"/>
    <hyperlink r:id="rId2901" ref="H1415"/>
    <hyperlink r:id="rId2902" ref="C1416"/>
    <hyperlink r:id="rId2903" ref="H1416"/>
    <hyperlink r:id="rId2904" ref="C1417"/>
    <hyperlink r:id="rId2905" ref="H1417"/>
    <hyperlink r:id="rId2906" ref="C1418"/>
    <hyperlink r:id="rId2907" ref="H1418"/>
    <hyperlink r:id="rId2908" ref="C1419"/>
    <hyperlink r:id="rId2909" ref="H1419"/>
    <hyperlink r:id="rId2910" ref="C1420"/>
    <hyperlink r:id="rId2911" ref="H1420"/>
    <hyperlink r:id="rId2912" ref="C1421"/>
    <hyperlink r:id="rId2913" ref="H1421"/>
    <hyperlink r:id="rId2914" ref="C1422"/>
    <hyperlink r:id="rId2915" ref="H1422"/>
    <hyperlink r:id="rId2916" location="jobs" ref="C1423"/>
    <hyperlink r:id="rId2917" ref="H1423"/>
    <hyperlink r:id="rId2918" ref="C1424"/>
    <hyperlink r:id="rId2919" ref="H1424"/>
    <hyperlink r:id="rId2920" ref="C1425"/>
    <hyperlink r:id="rId2921" ref="H1425"/>
    <hyperlink r:id="rId2922" ref="C1426"/>
    <hyperlink r:id="rId2923" ref="H1426"/>
    <hyperlink r:id="rId2924" ref="C1427"/>
    <hyperlink r:id="rId2925" ref="H1427"/>
    <hyperlink r:id="rId2926" ref="C1428"/>
    <hyperlink r:id="rId2927" ref="H1428"/>
    <hyperlink r:id="rId2928" ref="C1429"/>
    <hyperlink r:id="rId2929" ref="H1429"/>
    <hyperlink r:id="rId2930" ref="C1430"/>
    <hyperlink r:id="rId2931" ref="H1430"/>
    <hyperlink r:id="rId2932" ref="C1431"/>
    <hyperlink r:id="rId2933" ref="H1431"/>
    <hyperlink r:id="rId2934" ref="C1432"/>
    <hyperlink r:id="rId2935" ref="H1432"/>
    <hyperlink r:id="rId2936" ref="C1433"/>
    <hyperlink r:id="rId2937" ref="H1433"/>
    <hyperlink r:id="rId2938" ref="C1434"/>
    <hyperlink r:id="rId2939" ref="H1434"/>
    <hyperlink r:id="rId2940" ref="C1435"/>
    <hyperlink r:id="rId2941" ref="H1435"/>
    <hyperlink r:id="rId2942" ref="C1436"/>
    <hyperlink r:id="rId2943" ref="H1436"/>
    <hyperlink r:id="rId2944" ref="H1437"/>
    <hyperlink r:id="rId2945" ref="C1438"/>
    <hyperlink r:id="rId2946" ref="H1438"/>
    <hyperlink r:id="rId2947" ref="M1438"/>
    <hyperlink r:id="rId2948" ref="C1439"/>
    <hyperlink r:id="rId2949" ref="H1439"/>
    <hyperlink r:id="rId2950" ref="C1440"/>
    <hyperlink r:id="rId2951" ref="H1440"/>
    <hyperlink r:id="rId2952" ref="C1441"/>
    <hyperlink r:id="rId2953" ref="H1441"/>
    <hyperlink r:id="rId2954" ref="C1442"/>
    <hyperlink r:id="rId2955" ref="H1442"/>
    <hyperlink r:id="rId2956" ref="C1443"/>
    <hyperlink r:id="rId2957" ref="H1443"/>
    <hyperlink r:id="rId2958" ref="C1444"/>
    <hyperlink r:id="rId2959" ref="H1444"/>
    <hyperlink r:id="rId2960" ref="C1445"/>
    <hyperlink r:id="rId2961" ref="H1445"/>
    <hyperlink r:id="rId2962" ref="C1446"/>
    <hyperlink r:id="rId2963" ref="H1446"/>
    <hyperlink r:id="rId2964" ref="C1447"/>
    <hyperlink r:id="rId2965" ref="H1447"/>
    <hyperlink r:id="rId2966" ref="C1448"/>
    <hyperlink r:id="rId2967" ref="H1448"/>
    <hyperlink r:id="rId2968" ref="C1449"/>
    <hyperlink r:id="rId2969" ref="H1449"/>
    <hyperlink r:id="rId2970" ref="C1450"/>
    <hyperlink r:id="rId2971" ref="H1450"/>
    <hyperlink r:id="rId2972" ref="C1451"/>
    <hyperlink r:id="rId2973" ref="H1451"/>
    <hyperlink r:id="rId2974" ref="H1452"/>
    <hyperlink r:id="rId2975" ref="C1453"/>
    <hyperlink r:id="rId2976" ref="H1453"/>
    <hyperlink r:id="rId2977" ref="C1454"/>
    <hyperlink r:id="rId2978" ref="H1454"/>
    <hyperlink r:id="rId2979" ref="C1455"/>
    <hyperlink r:id="rId2980" ref="H1455"/>
    <hyperlink r:id="rId2981" ref="C1456"/>
    <hyperlink r:id="rId2982" ref="H1456"/>
    <hyperlink r:id="rId2983" ref="C1457"/>
    <hyperlink r:id="rId2984" ref="H1457"/>
    <hyperlink r:id="rId2985" ref="C1458"/>
    <hyperlink r:id="rId2986" ref="H1458"/>
    <hyperlink r:id="rId2987" ref="M1458"/>
    <hyperlink r:id="rId2988" ref="C1459"/>
    <hyperlink r:id="rId2989" ref="H1459"/>
    <hyperlink r:id="rId2990" ref="M1459"/>
    <hyperlink r:id="rId2991" ref="C1460"/>
    <hyperlink r:id="rId2992" ref="H1460"/>
    <hyperlink r:id="rId2993" ref="M1460"/>
    <hyperlink r:id="rId2994" ref="C1461"/>
    <hyperlink r:id="rId2995" ref="H1461"/>
    <hyperlink r:id="rId2996" ref="C1462"/>
    <hyperlink r:id="rId2997" ref="H1462"/>
    <hyperlink r:id="rId2998" ref="M1462"/>
    <hyperlink r:id="rId2999" ref="C1463"/>
    <hyperlink r:id="rId3000" ref="H1463"/>
    <hyperlink r:id="rId3001" ref="C1464"/>
    <hyperlink r:id="rId3002" ref="H1464"/>
    <hyperlink r:id="rId3003" ref="C1465"/>
    <hyperlink r:id="rId3004" ref="H1465"/>
    <hyperlink r:id="rId3005" ref="C1466"/>
    <hyperlink r:id="rId3006" ref="H1466"/>
    <hyperlink r:id="rId3007" ref="C1467"/>
    <hyperlink r:id="rId3008" ref="H1467"/>
    <hyperlink r:id="rId3009" ref="M1467"/>
    <hyperlink r:id="rId3010" ref="C1468"/>
    <hyperlink r:id="rId3011" ref="H1468"/>
    <hyperlink r:id="rId3012" ref="C1469"/>
    <hyperlink r:id="rId3013" ref="H1469"/>
    <hyperlink r:id="rId3014" ref="C1470"/>
    <hyperlink r:id="rId3015" ref="H1470"/>
    <hyperlink r:id="rId3016" ref="C1471"/>
    <hyperlink r:id="rId3017" ref="H1471"/>
    <hyperlink r:id="rId3018" ref="C1472"/>
    <hyperlink r:id="rId3019" ref="H1472"/>
    <hyperlink r:id="rId3020" ref="C1473"/>
    <hyperlink r:id="rId3021" ref="H1473"/>
    <hyperlink r:id="rId3022" ref="C1474"/>
    <hyperlink r:id="rId3023" ref="H1474"/>
    <hyperlink r:id="rId3024" ref="C1475"/>
    <hyperlink r:id="rId3025" ref="H1475"/>
    <hyperlink r:id="rId3026" ref="C1476"/>
    <hyperlink r:id="rId3027" ref="H1476"/>
    <hyperlink r:id="rId3028" ref="C1477"/>
    <hyperlink r:id="rId3029" ref="H1477"/>
    <hyperlink r:id="rId3030" ref="C1478"/>
    <hyperlink r:id="rId3031" ref="H1478"/>
    <hyperlink r:id="rId3032" ref="C1479"/>
    <hyperlink r:id="rId3033" ref="H1479"/>
    <hyperlink r:id="rId3034" ref="C1480"/>
    <hyperlink r:id="rId3035" ref="H1480"/>
    <hyperlink r:id="rId3036" ref="C1481"/>
    <hyperlink r:id="rId3037" ref="H1481"/>
    <hyperlink r:id="rId3038" ref="H1482"/>
    <hyperlink r:id="rId3039" ref="M1482"/>
    <hyperlink r:id="rId3040" ref="C1483"/>
    <hyperlink r:id="rId3041" ref="H1483"/>
    <hyperlink r:id="rId3042" ref="C1484"/>
    <hyperlink r:id="rId3043" ref="H1484"/>
    <hyperlink r:id="rId3044" ref="C1485"/>
    <hyperlink r:id="rId3045" ref="H1485"/>
    <hyperlink r:id="rId3046" ref="C1486"/>
    <hyperlink r:id="rId3047" ref="H1486"/>
    <hyperlink r:id="rId3048" ref="C1487"/>
    <hyperlink r:id="rId3049" ref="H1487"/>
    <hyperlink r:id="rId3050" ref="C1488"/>
    <hyperlink r:id="rId3051" ref="H1488"/>
    <hyperlink r:id="rId3052" ref="C1489"/>
    <hyperlink r:id="rId3053" ref="H1489"/>
    <hyperlink r:id="rId3054" ref="L1489"/>
    <hyperlink r:id="rId3055" ref="C1490"/>
    <hyperlink r:id="rId3056" ref="H1490"/>
    <hyperlink r:id="rId3057" ref="C1491"/>
    <hyperlink r:id="rId3058" ref="H1491"/>
    <hyperlink r:id="rId3059" ref="M1491"/>
    <hyperlink r:id="rId3060" ref="C1492"/>
    <hyperlink r:id="rId3061" ref="H1492"/>
    <hyperlink r:id="rId3062" ref="C1493"/>
    <hyperlink r:id="rId3063" ref="H1493"/>
    <hyperlink r:id="rId3064" ref="C1494"/>
    <hyperlink r:id="rId3065" ref="H1494"/>
    <hyperlink r:id="rId3066" ref="C1495"/>
    <hyperlink r:id="rId3067" ref="H1495"/>
    <hyperlink r:id="rId3068" ref="C1496"/>
    <hyperlink r:id="rId3069" ref="H1496"/>
    <hyperlink r:id="rId3070" ref="M1496"/>
    <hyperlink r:id="rId3071" ref="C1497"/>
    <hyperlink r:id="rId3072" ref="H1497"/>
    <hyperlink r:id="rId3073" ref="C1498"/>
    <hyperlink r:id="rId3074" ref="H1498"/>
    <hyperlink r:id="rId3075" ref="C1499"/>
    <hyperlink r:id="rId3076" ref="H1499"/>
    <hyperlink r:id="rId3077" ref="C1500"/>
    <hyperlink r:id="rId3078" ref="H1500"/>
    <hyperlink r:id="rId3079" ref="C1501"/>
    <hyperlink r:id="rId3080" ref="H1501"/>
    <hyperlink r:id="rId3081" ref="C1502"/>
    <hyperlink r:id="rId3082" ref="H1502"/>
    <hyperlink r:id="rId3083" ref="C1503"/>
    <hyperlink r:id="rId3084" ref="H1504"/>
    <hyperlink r:id="rId3085" location="t7ynAhKfgZpqKKgn5" ref="C1505"/>
    <hyperlink r:id="rId3086" ref="H1505"/>
    <hyperlink r:id="rId3087" ref="C1506"/>
    <hyperlink r:id="rId3088" ref="H1506"/>
    <hyperlink r:id="rId3089" location="addendum" ref="C1507"/>
    <hyperlink r:id="rId3090" ref="H1507"/>
    <hyperlink r:id="rId3091" ref="C1508"/>
    <hyperlink r:id="rId3092" ref="H1508"/>
    <hyperlink r:id="rId3093" ref="C1509"/>
    <hyperlink r:id="rId3094" ref="H1509"/>
    <hyperlink r:id="rId3095" ref="C1510"/>
    <hyperlink r:id="rId3096" ref="H1510"/>
    <hyperlink r:id="rId3097" ref="C1511"/>
    <hyperlink r:id="rId3098" ref="H1511"/>
    <hyperlink r:id="rId3099" ref="C1512"/>
    <hyperlink r:id="rId3100" ref="H1512"/>
    <hyperlink r:id="rId3101" ref="C1513"/>
    <hyperlink r:id="rId3102" ref="H1513"/>
    <hyperlink r:id="rId3103" ref="C1514"/>
    <hyperlink r:id="rId3104" ref="H1514"/>
    <hyperlink r:id="rId3105" ref="C1515"/>
    <hyperlink r:id="rId3106" ref="H1515"/>
    <hyperlink r:id="rId3107" ref="C1516"/>
    <hyperlink r:id="rId3108" ref="H1516"/>
    <hyperlink r:id="rId3109" ref="C1517"/>
    <hyperlink r:id="rId3110" ref="H1517"/>
    <hyperlink r:id="rId3111" ref="M1517"/>
    <hyperlink r:id="rId3112" ref="C1518"/>
    <hyperlink r:id="rId3113" ref="H1518"/>
    <hyperlink r:id="rId3114" ref="C1519"/>
    <hyperlink r:id="rId3115" ref="H1519"/>
    <hyperlink r:id="rId3116" ref="C1520"/>
    <hyperlink r:id="rId3117" ref="H1520"/>
    <hyperlink r:id="rId3118" ref="C1521"/>
    <hyperlink r:id="rId3119" ref="H1521"/>
    <hyperlink r:id="rId3120" ref="C1522"/>
    <hyperlink r:id="rId3121" ref="H1522"/>
    <hyperlink r:id="rId3122" ref="C1523"/>
    <hyperlink r:id="rId3123" ref="H1523"/>
    <hyperlink r:id="rId3124" ref="C1524"/>
    <hyperlink r:id="rId3125" ref="H1524"/>
    <hyperlink r:id="rId3126" ref="C1525"/>
    <hyperlink r:id="rId3127" ref="H1525"/>
    <hyperlink r:id="rId3128" ref="C1526"/>
    <hyperlink r:id="rId3129" ref="H1526"/>
    <hyperlink r:id="rId3130" ref="C1527"/>
    <hyperlink r:id="rId3131" ref="H1527"/>
    <hyperlink r:id="rId3132" ref="C1528"/>
    <hyperlink r:id="rId3133" ref="H1528"/>
    <hyperlink r:id="rId3134" ref="C1529"/>
    <hyperlink r:id="rId3135" ref="H1529"/>
    <hyperlink r:id="rId3136" ref="M1529"/>
    <hyperlink r:id="rId3137" ref="C1530"/>
    <hyperlink r:id="rId3138" ref="H1530"/>
    <hyperlink r:id="rId3139" ref="C1531"/>
    <hyperlink r:id="rId3140" ref="H1531"/>
    <hyperlink r:id="rId3141" ref="C1532"/>
    <hyperlink r:id="rId3142" ref="H1532"/>
    <hyperlink r:id="rId3143" ref="C1533"/>
    <hyperlink r:id="rId3144" ref="H1533"/>
    <hyperlink r:id="rId3145" ref="C1534"/>
    <hyperlink r:id="rId3146" ref="H1534"/>
    <hyperlink r:id="rId3147" ref="M1534"/>
    <hyperlink r:id="rId3148" ref="C1535"/>
    <hyperlink r:id="rId3149" ref="H1535"/>
    <hyperlink r:id="rId3150" ref="C1536"/>
    <hyperlink r:id="rId3151" ref="H1536"/>
    <hyperlink r:id="rId3152" ref="C1537"/>
    <hyperlink r:id="rId3153" ref="H1537"/>
    <hyperlink r:id="rId3154" ref="C1538"/>
    <hyperlink r:id="rId3155" ref="H1538"/>
    <hyperlink r:id="rId3156" ref="C1539"/>
    <hyperlink r:id="rId3157" ref="H1539"/>
    <hyperlink r:id="rId3158" ref="H1540"/>
    <hyperlink r:id="rId3159" ref="C1541"/>
    <hyperlink r:id="rId3160" ref="H1541"/>
    <hyperlink r:id="rId3161" ref="C1542"/>
    <hyperlink r:id="rId3162" ref="H1542"/>
    <hyperlink r:id="rId3163" ref="C1543"/>
    <hyperlink r:id="rId3164" ref="H1543"/>
    <hyperlink r:id="rId3165" ref="C1544"/>
    <hyperlink r:id="rId3166" ref="H1544"/>
    <hyperlink r:id="rId3167" ref="C1545"/>
    <hyperlink r:id="rId3168" ref="H1545"/>
    <hyperlink r:id="rId3169" ref="C1546"/>
    <hyperlink r:id="rId3170" ref="H1546"/>
    <hyperlink r:id="rId3171" ref="C1547"/>
    <hyperlink r:id="rId3172" ref="H1547"/>
    <hyperlink r:id="rId3173" ref="C1548"/>
    <hyperlink r:id="rId3174" ref="H1548"/>
    <hyperlink r:id="rId3175" ref="L1548"/>
    <hyperlink r:id="rId3176" ref="C1549"/>
    <hyperlink r:id="rId3177" ref="H1549"/>
    <hyperlink r:id="rId3178" ref="C1550"/>
    <hyperlink r:id="rId3179" ref="H1550"/>
    <hyperlink r:id="rId3180" ref="C1551"/>
    <hyperlink r:id="rId3181" ref="H1551"/>
    <hyperlink r:id="rId3182" ref="C1552"/>
    <hyperlink r:id="rId3183" ref="H1552"/>
    <hyperlink r:id="rId3184" ref="C1553"/>
    <hyperlink r:id="rId3185" ref="H1553"/>
    <hyperlink r:id="rId3186" ref="C1554"/>
    <hyperlink r:id="rId3187" ref="H1554"/>
    <hyperlink r:id="rId3188" ref="C1555"/>
    <hyperlink r:id="rId3189" ref="H1555"/>
    <hyperlink r:id="rId3190" ref="C1556"/>
    <hyperlink r:id="rId3191" ref="H1556"/>
    <hyperlink r:id="rId3192" ref="C1557"/>
    <hyperlink r:id="rId3193" ref="H1557"/>
    <hyperlink r:id="rId3194" ref="C1558"/>
    <hyperlink r:id="rId3195" ref="C1559"/>
    <hyperlink r:id="rId3196" ref="H1559"/>
    <hyperlink r:id="rId3197" ref="C1560"/>
    <hyperlink r:id="rId3198" ref="H1560"/>
    <hyperlink r:id="rId3199" ref="C1561"/>
    <hyperlink r:id="rId3200" ref="H1561"/>
    <hyperlink r:id="rId3201" ref="C1562"/>
    <hyperlink r:id="rId3202" ref="H1562"/>
    <hyperlink r:id="rId3203" ref="C1563"/>
    <hyperlink r:id="rId3204" ref="H1563"/>
    <hyperlink r:id="rId3205" ref="C1564"/>
    <hyperlink r:id="rId3206" ref="H1564"/>
    <hyperlink r:id="rId3207" ref="C1565"/>
    <hyperlink r:id="rId3208" ref="H1565"/>
    <hyperlink r:id="rId3209" ref="C1566"/>
    <hyperlink r:id="rId3210" ref="H1566"/>
    <hyperlink r:id="rId3211" ref="M1566"/>
    <hyperlink r:id="rId3212" ref="C1567"/>
    <hyperlink r:id="rId3213" ref="H1567"/>
    <hyperlink r:id="rId3214" ref="C1568"/>
    <hyperlink r:id="rId3215" ref="H1568"/>
    <hyperlink r:id="rId3216" ref="C1569"/>
    <hyperlink r:id="rId3217" ref="H1569"/>
    <hyperlink r:id="rId3218" ref="C1570"/>
    <hyperlink r:id="rId3219" ref="H1570"/>
    <hyperlink r:id="rId3220" ref="C1571"/>
    <hyperlink r:id="rId3221" ref="H1571"/>
    <hyperlink r:id="rId3222" ref="C1572"/>
    <hyperlink r:id="rId3223" ref="H1572"/>
    <hyperlink r:id="rId3224" ref="C1573"/>
    <hyperlink r:id="rId3225" ref="H1573"/>
    <hyperlink r:id="rId3226" ref="C1574"/>
    <hyperlink r:id="rId3227" ref="H1574"/>
    <hyperlink r:id="rId3228" ref="C1575"/>
    <hyperlink r:id="rId3229" ref="H1575"/>
    <hyperlink r:id="rId3230" ref="C1576"/>
    <hyperlink r:id="rId3231" ref="H1576"/>
    <hyperlink r:id="rId3232" ref="C1577"/>
    <hyperlink r:id="rId3233" ref="H1577"/>
    <hyperlink r:id="rId3234" ref="C1578"/>
    <hyperlink r:id="rId3235" ref="H1578"/>
    <hyperlink r:id="rId3236" ref="C1579"/>
    <hyperlink r:id="rId3237" ref="H1579"/>
    <hyperlink r:id="rId3238" ref="C1580"/>
    <hyperlink r:id="rId3239" ref="H1580"/>
    <hyperlink r:id="rId3240" ref="C1581"/>
    <hyperlink r:id="rId3241" ref="C1582"/>
    <hyperlink r:id="rId3242" ref="H1582"/>
    <hyperlink r:id="rId3243" ref="C1583"/>
    <hyperlink r:id="rId3244" ref="H1583"/>
    <hyperlink r:id="rId3245" ref="C1584"/>
    <hyperlink r:id="rId3246" ref="H1584"/>
    <hyperlink r:id="rId3247" ref="C1585"/>
    <hyperlink r:id="rId3248" ref="H1585"/>
    <hyperlink r:id="rId3249" ref="C1586"/>
    <hyperlink r:id="rId3250" ref="H1586"/>
    <hyperlink r:id="rId3251" ref="C1587"/>
    <hyperlink r:id="rId3252" ref="H1587"/>
    <hyperlink r:id="rId3253" ref="C1588"/>
    <hyperlink r:id="rId3254" ref="H1588"/>
    <hyperlink r:id="rId3255" ref="C1589"/>
    <hyperlink r:id="rId3256" ref="H1589"/>
    <hyperlink r:id="rId3257" ref="C1590"/>
    <hyperlink r:id="rId3258" ref="H1590"/>
    <hyperlink r:id="rId3259" ref="C1591"/>
    <hyperlink r:id="rId3260" ref="H1591"/>
    <hyperlink r:id="rId3261" ref="C1592"/>
    <hyperlink r:id="rId3262" ref="H1592"/>
    <hyperlink r:id="rId3263" ref="C1593"/>
    <hyperlink r:id="rId3264" ref="H1593"/>
    <hyperlink r:id="rId3265" ref="M1593"/>
    <hyperlink r:id="rId3266" ref="C1594"/>
    <hyperlink r:id="rId3267" ref="H1594"/>
    <hyperlink r:id="rId3268" ref="C1595"/>
    <hyperlink r:id="rId3269" ref="H1595"/>
    <hyperlink r:id="rId3270" ref="C1596"/>
    <hyperlink r:id="rId3271" ref="H1596"/>
    <hyperlink r:id="rId3272" ref="C1597"/>
    <hyperlink r:id="rId3273" ref="H1597"/>
    <hyperlink r:id="rId3274" ref="C1598"/>
    <hyperlink r:id="rId3275" ref="H1598"/>
    <hyperlink r:id="rId3276" ref="C1599"/>
    <hyperlink r:id="rId3277" ref="H1599"/>
    <hyperlink r:id="rId3278" ref="C1600"/>
    <hyperlink r:id="rId3279" ref="H1600"/>
    <hyperlink r:id="rId3280" ref="C1601"/>
    <hyperlink r:id="rId3281" ref="H1601"/>
    <hyperlink r:id="rId3282" ref="C1602"/>
    <hyperlink r:id="rId3283" ref="H1602"/>
    <hyperlink r:id="rId3284" ref="M1602"/>
    <hyperlink r:id="rId3285" ref="C1603"/>
    <hyperlink r:id="rId3286" ref="H1603"/>
    <hyperlink r:id="rId3287" ref="M1603"/>
    <hyperlink r:id="rId3288" ref="C1604"/>
    <hyperlink r:id="rId3289" ref="H1604"/>
    <hyperlink r:id="rId3290" ref="C1605"/>
    <hyperlink r:id="rId3291" ref="H1605"/>
    <hyperlink r:id="rId3292" ref="C1606"/>
    <hyperlink r:id="rId3293" ref="H1606"/>
    <hyperlink r:id="rId3294" ref="C1607"/>
    <hyperlink r:id="rId3295" ref="H1607"/>
    <hyperlink r:id="rId3296" ref="C1608"/>
    <hyperlink r:id="rId3297" ref="H1608"/>
    <hyperlink r:id="rId3298" ref="C1609"/>
    <hyperlink r:id="rId3299" ref="H1609"/>
    <hyperlink r:id="rId3300" ref="C1610"/>
    <hyperlink r:id="rId3301" ref="H1610"/>
    <hyperlink r:id="rId3302" ref="C1611"/>
    <hyperlink r:id="rId3303" ref="H1611"/>
    <hyperlink r:id="rId3304" ref="M1611"/>
    <hyperlink r:id="rId3305" ref="C1612"/>
    <hyperlink r:id="rId3306" ref="H1612"/>
    <hyperlink r:id="rId3307" ref="C1613"/>
    <hyperlink r:id="rId3308" ref="H1613"/>
    <hyperlink r:id="rId3309" ref="C1614"/>
    <hyperlink r:id="rId3310" ref="H1614"/>
    <hyperlink r:id="rId3311" ref="M1614"/>
    <hyperlink r:id="rId3312" ref="C1615"/>
    <hyperlink r:id="rId3313" ref="H1615"/>
    <hyperlink r:id="rId3314" ref="C1616"/>
    <hyperlink r:id="rId3315" ref="H1616"/>
    <hyperlink r:id="rId3316" ref="M1616"/>
    <hyperlink r:id="rId3317" ref="C1617"/>
    <hyperlink r:id="rId3318" ref="H1617"/>
    <hyperlink r:id="rId3319" ref="M1617"/>
    <hyperlink r:id="rId3320" ref="C1618"/>
    <hyperlink r:id="rId3321" ref="H1618"/>
    <hyperlink r:id="rId3322" ref="C1619"/>
    <hyperlink r:id="rId3323" ref="H1619"/>
    <hyperlink r:id="rId3324" ref="C1620"/>
    <hyperlink r:id="rId3325" ref="H1620"/>
    <hyperlink r:id="rId3326" ref="M1620"/>
    <hyperlink r:id="rId3327" ref="C1621"/>
    <hyperlink r:id="rId3328" ref="H1621"/>
    <hyperlink r:id="rId3329" ref="C1622"/>
    <hyperlink r:id="rId3330" ref="H1622"/>
    <hyperlink r:id="rId3331" ref="C1623"/>
    <hyperlink r:id="rId3332" ref="H1623"/>
    <hyperlink r:id="rId3333" ref="C1624"/>
    <hyperlink r:id="rId3334" ref="H1624"/>
    <hyperlink r:id="rId3335" ref="M1624"/>
    <hyperlink r:id="rId3336" ref="C1625"/>
    <hyperlink r:id="rId3337" ref="H1625"/>
    <hyperlink r:id="rId3338" ref="C1626"/>
    <hyperlink r:id="rId3339" ref="H1626"/>
    <hyperlink r:id="rId3340" ref="C1627"/>
    <hyperlink r:id="rId3341" ref="H1627"/>
    <hyperlink r:id="rId3342" ref="C1628"/>
    <hyperlink r:id="rId3343" ref="H1628"/>
    <hyperlink r:id="rId3344" ref="C1629"/>
    <hyperlink r:id="rId3345" ref="H1629"/>
    <hyperlink r:id="rId3346" ref="C1630"/>
    <hyperlink r:id="rId3347" ref="H1630"/>
    <hyperlink r:id="rId3348" ref="C1631"/>
    <hyperlink r:id="rId3349" ref="H1631"/>
    <hyperlink r:id="rId3350" ref="C1632"/>
    <hyperlink r:id="rId3351" ref="H1632"/>
    <hyperlink r:id="rId3352" ref="C1633"/>
    <hyperlink r:id="rId3353" ref="H1633"/>
    <hyperlink r:id="rId3354" ref="C1634"/>
    <hyperlink r:id="rId3355" ref="H1634"/>
    <hyperlink r:id="rId3356" ref="C1635"/>
    <hyperlink r:id="rId3357" ref="C1636"/>
    <hyperlink r:id="rId3358" ref="H1636"/>
    <hyperlink r:id="rId3359" ref="C1637"/>
    <hyperlink r:id="rId3360" ref="H1637"/>
    <hyperlink r:id="rId3361" ref="M1637"/>
    <hyperlink r:id="rId3362" ref="C1638"/>
    <hyperlink r:id="rId3363" ref="H1638"/>
    <hyperlink r:id="rId3364" ref="C1639"/>
    <hyperlink r:id="rId3365" ref="H1639"/>
    <hyperlink r:id="rId3366" ref="C1640"/>
    <hyperlink r:id="rId3367" ref="H1640"/>
    <hyperlink r:id="rId3368" ref="C1641"/>
    <hyperlink r:id="rId3369" ref="H1641"/>
    <hyperlink r:id="rId3370" ref="C1642"/>
    <hyperlink r:id="rId3371" ref="H1642"/>
    <hyperlink r:id="rId3372" ref="C1643"/>
    <hyperlink r:id="rId3373" ref="H1643"/>
    <hyperlink r:id="rId3374" ref="M1643"/>
    <hyperlink r:id="rId3375" ref="C1644"/>
    <hyperlink r:id="rId3376" ref="H1644"/>
    <hyperlink r:id="rId3377" ref="C1645"/>
    <hyperlink r:id="rId3378" ref="H1645"/>
    <hyperlink r:id="rId3379" ref="C1646"/>
    <hyperlink r:id="rId3380" ref="H1646"/>
    <hyperlink r:id="rId3381" ref="C1647"/>
    <hyperlink r:id="rId3382" ref="H1647"/>
    <hyperlink r:id="rId3383" ref="C1648"/>
    <hyperlink r:id="rId3384" ref="C1649"/>
    <hyperlink r:id="rId3385" ref="H1649"/>
    <hyperlink r:id="rId3386" ref="C1650"/>
    <hyperlink r:id="rId3387" ref="H1650"/>
    <hyperlink r:id="rId3388" ref="M1650"/>
    <hyperlink r:id="rId3389" ref="C1651"/>
    <hyperlink r:id="rId3390" ref="H1651"/>
    <hyperlink r:id="rId3391" ref="C1652"/>
    <hyperlink r:id="rId3392" ref="H1652"/>
    <hyperlink r:id="rId3393" ref="M1652"/>
    <hyperlink r:id="rId3394" ref="C1653"/>
    <hyperlink r:id="rId3395" ref="H1653"/>
    <hyperlink r:id="rId3396" ref="M1653"/>
    <hyperlink r:id="rId3397" ref="C1654"/>
    <hyperlink r:id="rId3398" ref="H1654"/>
    <hyperlink r:id="rId3399" ref="M1654"/>
    <hyperlink r:id="rId3400" ref="C1655"/>
    <hyperlink r:id="rId3401" ref="H1655"/>
    <hyperlink r:id="rId3402" ref="C1656"/>
    <hyperlink r:id="rId3403" ref="H1656"/>
    <hyperlink r:id="rId3404" ref="H1657"/>
    <hyperlink r:id="rId3405" ref="C1658"/>
    <hyperlink r:id="rId3406" ref="H1658"/>
    <hyperlink r:id="rId3407" ref="C1659"/>
    <hyperlink r:id="rId3408" ref="H1659"/>
    <hyperlink r:id="rId3409" ref="C1660"/>
    <hyperlink r:id="rId3410" ref="H1660"/>
    <hyperlink r:id="rId3411" ref="C1661"/>
    <hyperlink r:id="rId3412" ref="H1661"/>
    <hyperlink r:id="rId3413" ref="C1662"/>
    <hyperlink r:id="rId3414" ref="H1662"/>
    <hyperlink r:id="rId3415" ref="C1663"/>
    <hyperlink r:id="rId3416" ref="H1663"/>
    <hyperlink r:id="rId3417" ref="C1664"/>
    <hyperlink r:id="rId3418" ref="H1664"/>
    <hyperlink r:id="rId3419" ref="M1664"/>
    <hyperlink r:id="rId3420" ref="C1665"/>
    <hyperlink r:id="rId3421" ref="H1665"/>
    <hyperlink r:id="rId3422" ref="C1666"/>
    <hyperlink r:id="rId3423" ref="H1666"/>
    <hyperlink r:id="rId3424" ref="C1667"/>
    <hyperlink r:id="rId3425" ref="H1667"/>
    <hyperlink r:id="rId3426" ref="C1668"/>
    <hyperlink r:id="rId3427" ref="H1668"/>
    <hyperlink r:id="rId3428" ref="C1669"/>
    <hyperlink r:id="rId3429" ref="H1669"/>
    <hyperlink r:id="rId3430" ref="C1670"/>
    <hyperlink r:id="rId3431" ref="H1670"/>
    <hyperlink r:id="rId3432" ref="M1670"/>
    <hyperlink r:id="rId3433" ref="C1671"/>
    <hyperlink r:id="rId3434" ref="H1671"/>
    <hyperlink r:id="rId3435" ref="C1672"/>
    <hyperlink r:id="rId3436" ref="H1672"/>
    <hyperlink r:id="rId3437" ref="C1673"/>
    <hyperlink r:id="rId3438" ref="H1673"/>
    <hyperlink r:id="rId3439" ref="C1674"/>
    <hyperlink r:id="rId3440" ref="H1674"/>
    <hyperlink r:id="rId3441" ref="C1675"/>
    <hyperlink r:id="rId3442" ref="H1675"/>
    <hyperlink r:id="rId3443" ref="M1675"/>
    <hyperlink r:id="rId3444" ref="C1676"/>
    <hyperlink r:id="rId3445" ref="H1676"/>
    <hyperlink r:id="rId3446" ref="C1677"/>
    <hyperlink r:id="rId3447" ref="H1677"/>
    <hyperlink r:id="rId3448" ref="C1678"/>
    <hyperlink r:id="rId3449" ref="H1678"/>
    <hyperlink r:id="rId3450" ref="C1679"/>
    <hyperlink r:id="rId3451" ref="H1679"/>
    <hyperlink r:id="rId3452" ref="C1680"/>
    <hyperlink r:id="rId3453" ref="H1680"/>
    <hyperlink r:id="rId3454" ref="C1681"/>
    <hyperlink r:id="rId3455" ref="H1681"/>
    <hyperlink r:id="rId3456" ref="C1682"/>
    <hyperlink r:id="rId3457" ref="H1682"/>
    <hyperlink r:id="rId3458" ref="C1683"/>
    <hyperlink r:id="rId3459" ref="H1683"/>
    <hyperlink r:id="rId3460" ref="C1684"/>
    <hyperlink r:id="rId3461" ref="H1684"/>
    <hyperlink r:id="rId3462" ref="C1685"/>
    <hyperlink r:id="rId3463" ref="H1685"/>
    <hyperlink r:id="rId3464" ref="C1686"/>
    <hyperlink r:id="rId3465" ref="H1686"/>
    <hyperlink r:id="rId3466" ref="C1687"/>
    <hyperlink r:id="rId3467" ref="H1687"/>
    <hyperlink r:id="rId3468" ref="C1688"/>
    <hyperlink r:id="rId3469" ref="H1688"/>
    <hyperlink r:id="rId3470" ref="C1689"/>
    <hyperlink r:id="rId3471" ref="H1689"/>
    <hyperlink r:id="rId3472" ref="M1689"/>
    <hyperlink r:id="rId3473" ref="C1690"/>
    <hyperlink r:id="rId3474" ref="H1690"/>
    <hyperlink r:id="rId3475" ref="C1691"/>
    <hyperlink r:id="rId3476" ref="H1691"/>
    <hyperlink r:id="rId3477" ref="C1692"/>
    <hyperlink r:id="rId3478" ref="H1692"/>
    <hyperlink r:id="rId3479" ref="C1693"/>
    <hyperlink r:id="rId3480" ref="H1693"/>
    <hyperlink r:id="rId3481" ref="C1694"/>
    <hyperlink r:id="rId3482" ref="H1694"/>
    <hyperlink r:id="rId3483" ref="C1695"/>
    <hyperlink r:id="rId3484" ref="H1695"/>
    <hyperlink r:id="rId3485" ref="C1696"/>
    <hyperlink r:id="rId3486" ref="H1696"/>
    <hyperlink r:id="rId3487" ref="C1697"/>
    <hyperlink r:id="rId3488" ref="H1697"/>
    <hyperlink r:id="rId3489" ref="C1698"/>
    <hyperlink r:id="rId3490" ref="H1698"/>
    <hyperlink r:id="rId3491" ref="C1699"/>
    <hyperlink r:id="rId3492" ref="H1699"/>
    <hyperlink r:id="rId3493" ref="C1700"/>
    <hyperlink r:id="rId3494" ref="H1700"/>
    <hyperlink r:id="rId3495" ref="C1701"/>
    <hyperlink r:id="rId3496" ref="H1701"/>
    <hyperlink r:id="rId3497" ref="C1702"/>
    <hyperlink r:id="rId3498" ref="H1702"/>
    <hyperlink r:id="rId3499" ref="C1703"/>
    <hyperlink r:id="rId3500" ref="H1703"/>
    <hyperlink r:id="rId3501" ref="C1704"/>
    <hyperlink r:id="rId3502" ref="H1704"/>
    <hyperlink r:id="rId3503" ref="C1705"/>
    <hyperlink r:id="rId3504" ref="H1705"/>
    <hyperlink r:id="rId3505" ref="C1706"/>
    <hyperlink r:id="rId3506" ref="H1706"/>
    <hyperlink r:id="rId3507" ref="C1707"/>
    <hyperlink r:id="rId3508" ref="H1707"/>
    <hyperlink r:id="rId3509" ref="C1708"/>
    <hyperlink r:id="rId3510" ref="H1708"/>
    <hyperlink r:id="rId3511" ref="C1709"/>
    <hyperlink r:id="rId3512" ref="H1709"/>
    <hyperlink r:id="rId3513" ref="C1710"/>
    <hyperlink r:id="rId3514" ref="H1710"/>
    <hyperlink r:id="rId3515" ref="C1711"/>
    <hyperlink r:id="rId3516" ref="H1711"/>
    <hyperlink r:id="rId3517" ref="C1712"/>
    <hyperlink r:id="rId3518" ref="H1712"/>
    <hyperlink r:id="rId3519" ref="C1713"/>
    <hyperlink r:id="rId3520" ref="H1713"/>
    <hyperlink r:id="rId3521" ref="C1714"/>
    <hyperlink r:id="rId3522" ref="H1714"/>
    <hyperlink r:id="rId3523" ref="C1715"/>
    <hyperlink r:id="rId3524" ref="H1715"/>
    <hyperlink r:id="rId3525" ref="C1716"/>
    <hyperlink r:id="rId3526" ref="H1716"/>
    <hyperlink r:id="rId3527" ref="C1717"/>
    <hyperlink r:id="rId3528" ref="H1717"/>
    <hyperlink r:id="rId3529" ref="C1718"/>
    <hyperlink r:id="rId3530" ref="H1718"/>
    <hyperlink r:id="rId3531" ref="C1719"/>
    <hyperlink r:id="rId3532" ref="H1719"/>
    <hyperlink r:id="rId3533" ref="C1720"/>
    <hyperlink r:id="rId3534" ref="H1720"/>
    <hyperlink r:id="rId3535" ref="C1721"/>
    <hyperlink r:id="rId3536" ref="H1721"/>
    <hyperlink r:id="rId3537" ref="C1722"/>
    <hyperlink r:id="rId3538" ref="H1722"/>
    <hyperlink r:id="rId3539" ref="C1723"/>
    <hyperlink r:id="rId3540" ref="H1723"/>
    <hyperlink r:id="rId3541" ref="C1724"/>
    <hyperlink r:id="rId3542" ref="H1724"/>
    <hyperlink r:id="rId3543" ref="C1725"/>
    <hyperlink r:id="rId3544" ref="H1725"/>
    <hyperlink r:id="rId3545" ref="C1726"/>
    <hyperlink r:id="rId3546" ref="H1726"/>
    <hyperlink r:id="rId3547" ref="C1727"/>
    <hyperlink r:id="rId3548" ref="H1727"/>
    <hyperlink r:id="rId3549" ref="C1728"/>
    <hyperlink r:id="rId3550" ref="H1728"/>
    <hyperlink r:id="rId3551" ref="C1729"/>
    <hyperlink r:id="rId3552" ref="H1729"/>
    <hyperlink r:id="rId3553" ref="C1730"/>
    <hyperlink r:id="rId3554" ref="H1730"/>
    <hyperlink r:id="rId3555" ref="C1731"/>
    <hyperlink r:id="rId3556" ref="H1731"/>
    <hyperlink r:id="rId3557" ref="C1732"/>
    <hyperlink r:id="rId3558" ref="H1732"/>
    <hyperlink r:id="rId3559" ref="C1733"/>
    <hyperlink r:id="rId3560" ref="H1733"/>
    <hyperlink r:id="rId3561" ref="C1734"/>
    <hyperlink r:id="rId3562" ref="H1734"/>
    <hyperlink r:id="rId3563" ref="C1735"/>
    <hyperlink r:id="rId3564" ref="H1735"/>
    <hyperlink r:id="rId3565" ref="C1736"/>
    <hyperlink r:id="rId3566" ref="H1736"/>
    <hyperlink r:id="rId3567" ref="C1737"/>
    <hyperlink r:id="rId3568" ref="H1737"/>
    <hyperlink r:id="rId3569" ref="C1738"/>
    <hyperlink r:id="rId3570" ref="H1738"/>
    <hyperlink r:id="rId3571" ref="M1738"/>
    <hyperlink r:id="rId3572" ref="C1739"/>
    <hyperlink r:id="rId3573" ref="H1739"/>
    <hyperlink r:id="rId3574" ref="C1740"/>
    <hyperlink r:id="rId3575" ref="H1740"/>
    <hyperlink r:id="rId3576" ref="M1740"/>
    <hyperlink r:id="rId3577" ref="C1741"/>
    <hyperlink r:id="rId3578" ref="H1741"/>
    <hyperlink r:id="rId3579" ref="C1742"/>
    <hyperlink r:id="rId3580" ref="H1742"/>
    <hyperlink r:id="rId3581" ref="C1743"/>
    <hyperlink r:id="rId3582" ref="H1743"/>
    <hyperlink r:id="rId3583" ref="C1744"/>
    <hyperlink r:id="rId3584" ref="H1744"/>
    <hyperlink r:id="rId3585" ref="C1745"/>
    <hyperlink r:id="rId3586" ref="H1745"/>
    <hyperlink r:id="rId3587" ref="C1746"/>
    <hyperlink r:id="rId3588" ref="H1746"/>
    <hyperlink r:id="rId3589" ref="M1746"/>
    <hyperlink r:id="rId3590" ref="C1747"/>
    <hyperlink r:id="rId3591" ref="H1747"/>
    <hyperlink r:id="rId3592" ref="C1748"/>
    <hyperlink r:id="rId3593" ref="H1748"/>
    <hyperlink r:id="rId3594" ref="C1749"/>
    <hyperlink r:id="rId3595" ref="H1749"/>
    <hyperlink r:id="rId3596" ref="C1750"/>
    <hyperlink r:id="rId3597" ref="H1750"/>
    <hyperlink r:id="rId3598" ref="C1751"/>
    <hyperlink r:id="rId3599" ref="M1751"/>
    <hyperlink r:id="rId3600" ref="C1752"/>
    <hyperlink r:id="rId3601" ref="H1752"/>
    <hyperlink r:id="rId3602" ref="C1753"/>
    <hyperlink r:id="rId3603" ref="H1753"/>
    <hyperlink r:id="rId3604" ref="C1754"/>
    <hyperlink r:id="rId3605" ref="H1754"/>
    <hyperlink r:id="rId3606" ref="C1755"/>
    <hyperlink r:id="rId3607" ref="H1755"/>
    <hyperlink r:id="rId3608" ref="C1756"/>
    <hyperlink r:id="rId3609" ref="H1756"/>
    <hyperlink r:id="rId3610" ref="C1757"/>
    <hyperlink r:id="rId3611" ref="H1757"/>
    <hyperlink r:id="rId3612" ref="C1758"/>
    <hyperlink r:id="rId3613" ref="H1758"/>
    <hyperlink r:id="rId3614" ref="C1759"/>
    <hyperlink r:id="rId3615" ref="H1759"/>
    <hyperlink r:id="rId3616" ref="C1760"/>
    <hyperlink r:id="rId3617" ref="H1760"/>
    <hyperlink r:id="rId3618" ref="C1761"/>
    <hyperlink r:id="rId3619" ref="H1761"/>
    <hyperlink r:id="rId3620" ref="C1762"/>
    <hyperlink r:id="rId3621" ref="H1762"/>
    <hyperlink r:id="rId3622" ref="M1762"/>
    <hyperlink r:id="rId3623" ref="C1763"/>
    <hyperlink r:id="rId3624" ref="H1763"/>
    <hyperlink r:id="rId3625" ref="C1764"/>
    <hyperlink r:id="rId3626" ref="H1764"/>
    <hyperlink r:id="rId3627" ref="C1765"/>
    <hyperlink r:id="rId3628" ref="H1765"/>
    <hyperlink r:id="rId3629" ref="C1766"/>
    <hyperlink r:id="rId3630" ref="H1766"/>
    <hyperlink r:id="rId3631" ref="C1767"/>
    <hyperlink r:id="rId3632" ref="H1767"/>
    <hyperlink r:id="rId3633" ref="C1768"/>
    <hyperlink r:id="rId3634" ref="H1768"/>
    <hyperlink r:id="rId3635" ref="C1769"/>
    <hyperlink r:id="rId3636" ref="H1769"/>
    <hyperlink r:id="rId3637" ref="C1770"/>
    <hyperlink r:id="rId3638" ref="H1770"/>
    <hyperlink r:id="rId3639" ref="C1771"/>
    <hyperlink r:id="rId3640" ref="H1771"/>
    <hyperlink r:id="rId3641" ref="C1772"/>
    <hyperlink r:id="rId3642" ref="H1772"/>
    <hyperlink r:id="rId3643" ref="C1773"/>
    <hyperlink r:id="rId3644" ref="H1773"/>
    <hyperlink r:id="rId3645" ref="C1774"/>
    <hyperlink r:id="rId3646" ref="H1774"/>
    <hyperlink r:id="rId3647" ref="C1775"/>
    <hyperlink r:id="rId3648" ref="H1775"/>
    <hyperlink r:id="rId3649" ref="C1776"/>
    <hyperlink r:id="rId3650" ref="H1776"/>
    <hyperlink r:id="rId3651" ref="C1777"/>
    <hyperlink r:id="rId3652" ref="H1777"/>
    <hyperlink r:id="rId3653" ref="C1778"/>
    <hyperlink r:id="rId3654" ref="H1778"/>
    <hyperlink r:id="rId3655" ref="C1779"/>
    <hyperlink r:id="rId3656" ref="H1779"/>
    <hyperlink r:id="rId3657" ref="C1780"/>
    <hyperlink r:id="rId3658" ref="H1780"/>
    <hyperlink r:id="rId3659" ref="C1781"/>
    <hyperlink r:id="rId3660" ref="H1781"/>
    <hyperlink r:id="rId3661" ref="C1782"/>
    <hyperlink r:id="rId3662" ref="H1782"/>
    <hyperlink r:id="rId3663" ref="C1783"/>
    <hyperlink r:id="rId3664" ref="H1783"/>
    <hyperlink r:id="rId3665" ref="C1784"/>
    <hyperlink r:id="rId3666" ref="H1784"/>
    <hyperlink r:id="rId3667" ref="C1785"/>
    <hyperlink r:id="rId3668" ref="H1785"/>
    <hyperlink r:id="rId3669" ref="C1786"/>
    <hyperlink r:id="rId3670" ref="H1786"/>
    <hyperlink r:id="rId3671" ref="C1787"/>
    <hyperlink r:id="rId3672" ref="H1787"/>
    <hyperlink r:id="rId3673" ref="C1788"/>
    <hyperlink r:id="rId3674" ref="H1788"/>
    <hyperlink r:id="rId3675" ref="C1789"/>
    <hyperlink r:id="rId3676" ref="H1789"/>
    <hyperlink r:id="rId3677" ref="C1790"/>
    <hyperlink r:id="rId3678" ref="C1791"/>
    <hyperlink r:id="rId3679" ref="H1792"/>
    <hyperlink r:id="rId3680" ref="C1793"/>
    <hyperlink r:id="rId3681" ref="H1793"/>
    <hyperlink r:id="rId3682" ref="C1794"/>
    <hyperlink r:id="rId3683" ref="H1794"/>
    <hyperlink r:id="rId3684" ref="C1795"/>
    <hyperlink r:id="rId3685" ref="H1795"/>
    <hyperlink r:id="rId3686" ref="C1796"/>
    <hyperlink r:id="rId3687" ref="H1796"/>
    <hyperlink r:id="rId3688" ref="H1797"/>
    <hyperlink r:id="rId3689" ref="C1798"/>
    <hyperlink r:id="rId3690" ref="H1798"/>
    <hyperlink r:id="rId3691" ref="C1799"/>
    <hyperlink r:id="rId3692" ref="H1799"/>
    <hyperlink r:id="rId3693" ref="H1800"/>
    <hyperlink r:id="rId3694" ref="H1801"/>
    <hyperlink r:id="rId3695" ref="C1802"/>
    <hyperlink r:id="rId3696" ref="H1802"/>
    <hyperlink r:id="rId3697" ref="C1803"/>
    <hyperlink r:id="rId3698" ref="H1803"/>
    <hyperlink r:id="rId3699" ref="C1804"/>
    <hyperlink r:id="rId3700" ref="H1804"/>
    <hyperlink r:id="rId3701" ref="C1805"/>
    <hyperlink r:id="rId3702" ref="H1805"/>
    <hyperlink r:id="rId3703" ref="H1806"/>
    <hyperlink r:id="rId3704" ref="C1807"/>
    <hyperlink r:id="rId3705" ref="H1807"/>
    <hyperlink r:id="rId3706" ref="C1808"/>
    <hyperlink r:id="rId3707" ref="H1808"/>
    <hyperlink r:id="rId3708" ref="C1809"/>
    <hyperlink r:id="rId3709" ref="H1809"/>
    <hyperlink r:id="rId3710" ref="C1810"/>
    <hyperlink r:id="rId3711" ref="H1810"/>
    <hyperlink r:id="rId3712" ref="C1811"/>
    <hyperlink r:id="rId3713" ref="H1811"/>
    <hyperlink r:id="rId3714" ref="C1812"/>
    <hyperlink r:id="rId3715" ref="H1812"/>
    <hyperlink r:id="rId3716" ref="C1813"/>
    <hyperlink r:id="rId3717" ref="H1813"/>
    <hyperlink r:id="rId3718" ref="C1814"/>
    <hyperlink r:id="rId3719" ref="H1814"/>
    <hyperlink r:id="rId3720" ref="C1815"/>
    <hyperlink r:id="rId3721" ref="H1815"/>
    <hyperlink r:id="rId3722" ref="C1816"/>
    <hyperlink r:id="rId3723" ref="H1816"/>
    <hyperlink r:id="rId3724" ref="C1817"/>
    <hyperlink r:id="rId3725" ref="H1817"/>
    <hyperlink r:id="rId3726" ref="C1818"/>
    <hyperlink r:id="rId3727" ref="H1818"/>
    <hyperlink r:id="rId3728" ref="C1819"/>
    <hyperlink r:id="rId3729" ref="H1819"/>
    <hyperlink r:id="rId3730" ref="C1820"/>
    <hyperlink r:id="rId3731" ref="H1820"/>
    <hyperlink r:id="rId3732" ref="C1821"/>
    <hyperlink r:id="rId3733" ref="H1821"/>
    <hyperlink r:id="rId3734" ref="C1822"/>
    <hyperlink r:id="rId3735" ref="H1822"/>
    <hyperlink r:id="rId3736" ref="C1823"/>
    <hyperlink r:id="rId3737" ref="H1823"/>
    <hyperlink r:id="rId3738" ref="C1824"/>
    <hyperlink r:id="rId3739" ref="H1824"/>
    <hyperlink r:id="rId3740" ref="C1825"/>
    <hyperlink r:id="rId3741" ref="H1825"/>
    <hyperlink r:id="rId3742" ref="C1826"/>
    <hyperlink r:id="rId3743" ref="H1826"/>
    <hyperlink r:id="rId3744" ref="C1827"/>
    <hyperlink r:id="rId3745" ref="H1827"/>
    <hyperlink r:id="rId3746" ref="C1828"/>
    <hyperlink r:id="rId3747" ref="H1828"/>
    <hyperlink r:id="rId3748" ref="C1829"/>
    <hyperlink r:id="rId3749" ref="H1829"/>
    <hyperlink r:id="rId3750" ref="C1830"/>
    <hyperlink r:id="rId3751" ref="H1830"/>
    <hyperlink r:id="rId3752" ref="C1831"/>
    <hyperlink r:id="rId3753" ref="H1831"/>
    <hyperlink r:id="rId3754" ref="C1832"/>
    <hyperlink r:id="rId3755" ref="H1832"/>
    <hyperlink r:id="rId3756" ref="C1833"/>
    <hyperlink r:id="rId3757" ref="H1833"/>
    <hyperlink r:id="rId3758" ref="C1834"/>
    <hyperlink r:id="rId3759" ref="H1834"/>
    <hyperlink r:id="rId3760" ref="C1835"/>
    <hyperlink r:id="rId3761" ref="H1835"/>
    <hyperlink r:id="rId3762" ref="C1836"/>
    <hyperlink r:id="rId3763" ref="H1836"/>
    <hyperlink r:id="rId3764" ref="C1837"/>
    <hyperlink r:id="rId3765" ref="H1837"/>
    <hyperlink r:id="rId3766" ref="C1838"/>
    <hyperlink r:id="rId3767" ref="H1838"/>
    <hyperlink r:id="rId3768" ref="C1839"/>
    <hyperlink r:id="rId3769" ref="H1839"/>
    <hyperlink r:id="rId3770" ref="C1840"/>
    <hyperlink r:id="rId3771" ref="H1840"/>
    <hyperlink r:id="rId3772" ref="C1841"/>
    <hyperlink r:id="rId3773" ref="H1841"/>
    <hyperlink r:id="rId3774" ref="C1842"/>
    <hyperlink r:id="rId3775" ref="H1842"/>
    <hyperlink r:id="rId3776" ref="C1843"/>
    <hyperlink r:id="rId3777" ref="H1843"/>
    <hyperlink r:id="rId3778" ref="C1844"/>
    <hyperlink r:id="rId3779" ref="H1844"/>
    <hyperlink r:id="rId3780" ref="C1845"/>
    <hyperlink r:id="rId3781" ref="H1845"/>
    <hyperlink r:id="rId3782" ref="C1846"/>
    <hyperlink r:id="rId3783" ref="H1846"/>
    <hyperlink r:id="rId3784" ref="C1847"/>
    <hyperlink r:id="rId3785" ref="H1847"/>
    <hyperlink r:id="rId3786" ref="C1848"/>
    <hyperlink r:id="rId3787" ref="H1848"/>
    <hyperlink r:id="rId3788" ref="C1849"/>
    <hyperlink r:id="rId3789" ref="H1849"/>
    <hyperlink r:id="rId3790" ref="C1850"/>
    <hyperlink r:id="rId3791" ref="H1850"/>
    <hyperlink r:id="rId3792" ref="C1851"/>
    <hyperlink r:id="rId3793" ref="H1851"/>
    <hyperlink r:id="rId3794" ref="C1852"/>
    <hyperlink r:id="rId3795" ref="H1852"/>
    <hyperlink r:id="rId3796" ref="C1853"/>
    <hyperlink r:id="rId3797" ref="H1853"/>
    <hyperlink r:id="rId3798" ref="C1854"/>
    <hyperlink r:id="rId3799" ref="H1854"/>
    <hyperlink r:id="rId3800" ref="C1855"/>
    <hyperlink r:id="rId3801" ref="H1855"/>
    <hyperlink r:id="rId3802" ref="C1856"/>
    <hyperlink r:id="rId3803" ref="H1856"/>
    <hyperlink r:id="rId3804" ref="C1857"/>
    <hyperlink r:id="rId3805" ref="H1857"/>
    <hyperlink r:id="rId3806" ref="C1858"/>
    <hyperlink r:id="rId3807" ref="H1858"/>
    <hyperlink r:id="rId3808" ref="C1859"/>
    <hyperlink r:id="rId3809" ref="H1859"/>
    <hyperlink r:id="rId3810" ref="C1860"/>
    <hyperlink r:id="rId3811" ref="H1860"/>
    <hyperlink r:id="rId3812" ref="C1861"/>
    <hyperlink r:id="rId3813" ref="H1861"/>
    <hyperlink r:id="rId3814" ref="C1862"/>
    <hyperlink r:id="rId3815" ref="H1862"/>
    <hyperlink r:id="rId3816" ref="C1863"/>
    <hyperlink r:id="rId3817" ref="H1863"/>
    <hyperlink r:id="rId3818" ref="C1864"/>
    <hyperlink r:id="rId3819" ref="H1864"/>
    <hyperlink r:id="rId3820" ref="C1865"/>
    <hyperlink r:id="rId3821" ref="H1865"/>
    <hyperlink r:id="rId3822" ref="C1866"/>
    <hyperlink r:id="rId3823" ref="H1866"/>
    <hyperlink r:id="rId3824" ref="C1867"/>
    <hyperlink r:id="rId3825" ref="H1867"/>
    <hyperlink r:id="rId3826" ref="C1868"/>
    <hyperlink r:id="rId3827" ref="H1868"/>
    <hyperlink r:id="rId3828" ref="M1868"/>
    <hyperlink r:id="rId3829" ref="C1869"/>
    <hyperlink r:id="rId3830" ref="H1869"/>
    <hyperlink r:id="rId3831" ref="C1870"/>
    <hyperlink r:id="rId3832" ref="H1870"/>
    <hyperlink r:id="rId3833" ref="C1871"/>
    <hyperlink r:id="rId3834" ref="M1871"/>
    <hyperlink r:id="rId3835" ref="C1872"/>
    <hyperlink r:id="rId3836" ref="H1872"/>
    <hyperlink r:id="rId3837" ref="C1873"/>
    <hyperlink r:id="rId3838" ref="H1873"/>
    <hyperlink r:id="rId3839" ref="C1874"/>
    <hyperlink r:id="rId3840" ref="H1874"/>
    <hyperlink r:id="rId3841" ref="C1875"/>
    <hyperlink r:id="rId3842" ref="H1875"/>
    <hyperlink r:id="rId3843" ref="C1876"/>
    <hyperlink r:id="rId3844" ref="H1876"/>
    <hyperlink r:id="rId3845" ref="C1877"/>
    <hyperlink r:id="rId3846" ref="H1877"/>
    <hyperlink r:id="rId3847" ref="H1878"/>
    <hyperlink r:id="rId3848" ref="C1879"/>
    <hyperlink r:id="rId3849" ref="H1879"/>
    <hyperlink r:id="rId3850" ref="C1880"/>
    <hyperlink r:id="rId3851" ref="H1880"/>
    <hyperlink r:id="rId3852" ref="C1881"/>
    <hyperlink r:id="rId3853" ref="H1881"/>
    <hyperlink r:id="rId3854" ref="C1882"/>
    <hyperlink r:id="rId3855" ref="H1882"/>
    <hyperlink r:id="rId3856" ref="C1883"/>
    <hyperlink r:id="rId3857" ref="H1883"/>
    <hyperlink r:id="rId3858" ref="C1884"/>
    <hyperlink r:id="rId3859" ref="H1884"/>
    <hyperlink r:id="rId3860" ref="C1885"/>
    <hyperlink r:id="rId3861" ref="H1885"/>
    <hyperlink r:id="rId3862" ref="C1886"/>
    <hyperlink r:id="rId3863" ref="H1886"/>
    <hyperlink r:id="rId3864" ref="M1886"/>
    <hyperlink r:id="rId3865" ref="C1887"/>
    <hyperlink r:id="rId3866" ref="H1887"/>
    <hyperlink r:id="rId3867" ref="C1888"/>
    <hyperlink r:id="rId3868" ref="H1888"/>
    <hyperlink r:id="rId3869" ref="C1889"/>
    <hyperlink r:id="rId3870" ref="H1889"/>
    <hyperlink r:id="rId3871" ref="C1890"/>
    <hyperlink r:id="rId3872" ref="H1890"/>
    <hyperlink r:id="rId3873" ref="C1891"/>
    <hyperlink r:id="rId3874" ref="H1891"/>
    <hyperlink r:id="rId3875" ref="C1892"/>
    <hyperlink r:id="rId3876" ref="H1892"/>
    <hyperlink r:id="rId3877" ref="C1893"/>
    <hyperlink r:id="rId3878" ref="H1893"/>
    <hyperlink r:id="rId3879" ref="C1894"/>
    <hyperlink r:id="rId3880" ref="H1894"/>
    <hyperlink r:id="rId3881" ref="C1895"/>
    <hyperlink r:id="rId3882" ref="H1895"/>
    <hyperlink r:id="rId3883" ref="C1896"/>
    <hyperlink r:id="rId3884" ref="H1896"/>
    <hyperlink r:id="rId3885" ref="C1897"/>
    <hyperlink r:id="rId3886" ref="H1897"/>
    <hyperlink r:id="rId3887" ref="C1898"/>
    <hyperlink r:id="rId3888" ref="H1898"/>
    <hyperlink r:id="rId3889" ref="C1899"/>
    <hyperlink r:id="rId3890" ref="H1899"/>
    <hyperlink r:id="rId3891" ref="C1900"/>
    <hyperlink r:id="rId3892" ref="H1900"/>
    <hyperlink r:id="rId3893" ref="C1901"/>
    <hyperlink r:id="rId3894" ref="H1901"/>
    <hyperlink r:id="rId3895" ref="C1902"/>
    <hyperlink r:id="rId3896" ref="H1902"/>
    <hyperlink r:id="rId3897" ref="C1903"/>
    <hyperlink r:id="rId3898" ref="H1903"/>
    <hyperlink r:id="rId3899" ref="C1904"/>
    <hyperlink r:id="rId3900" ref="H1904"/>
    <hyperlink r:id="rId3901" ref="M1904"/>
    <hyperlink r:id="rId3902" ref="C1905"/>
    <hyperlink r:id="rId3903" ref="H1905"/>
    <hyperlink r:id="rId3904" ref="C1906"/>
    <hyperlink r:id="rId3905" ref="H1906"/>
    <hyperlink r:id="rId3906" ref="M1906"/>
    <hyperlink r:id="rId3907" ref="C1907"/>
    <hyperlink r:id="rId3908" ref="H1907"/>
    <hyperlink r:id="rId3909" ref="C1908"/>
    <hyperlink r:id="rId3910" ref="H1908"/>
    <hyperlink r:id="rId3911" ref="M1908"/>
    <hyperlink r:id="rId3912" ref="C1909"/>
    <hyperlink r:id="rId3913" ref="E1909"/>
    <hyperlink r:id="rId3914" ref="H1909"/>
    <hyperlink r:id="rId3915" ref="C1910"/>
    <hyperlink r:id="rId3916" ref="H1910"/>
    <hyperlink r:id="rId3917" ref="C1911"/>
    <hyperlink r:id="rId3918" ref="H1911"/>
    <hyperlink r:id="rId3919" ref="C1912"/>
    <hyperlink r:id="rId3920" ref="H1912"/>
    <hyperlink r:id="rId3921" ref="C1913"/>
    <hyperlink r:id="rId3922" ref="C1914"/>
    <hyperlink r:id="rId3923" ref="H1914"/>
    <hyperlink r:id="rId3924" ref="C1915"/>
    <hyperlink r:id="rId3925" ref="H1915"/>
    <hyperlink r:id="rId3926" ref="C1916"/>
    <hyperlink r:id="rId3927" ref="H1916"/>
    <hyperlink r:id="rId3928" ref="C1917"/>
    <hyperlink r:id="rId3929" ref="H1917"/>
    <hyperlink r:id="rId3930" ref="C1918"/>
    <hyperlink r:id="rId3931" ref="H1918"/>
    <hyperlink r:id="rId3932" ref="C1919"/>
    <hyperlink r:id="rId3933" ref="H1919"/>
    <hyperlink r:id="rId3934" ref="C1920"/>
    <hyperlink r:id="rId3935" ref="H1920"/>
    <hyperlink r:id="rId3936" ref="C1921"/>
    <hyperlink r:id="rId3937" ref="H1921"/>
    <hyperlink r:id="rId3938" ref="M1921"/>
    <hyperlink r:id="rId3939" ref="C1922"/>
    <hyperlink r:id="rId3940" ref="H1922"/>
    <hyperlink r:id="rId3941" ref="C1923"/>
    <hyperlink r:id="rId3942" ref="H1923"/>
    <hyperlink r:id="rId3943" ref="C1924"/>
    <hyperlink r:id="rId3944" ref="H1924"/>
    <hyperlink r:id="rId3945" ref="C1925"/>
    <hyperlink r:id="rId3946" ref="H1925"/>
    <hyperlink r:id="rId3947" ref="C1926"/>
    <hyperlink r:id="rId3948" ref="H1926"/>
    <hyperlink r:id="rId3949" ref="C1927"/>
    <hyperlink r:id="rId3950" ref="H1927"/>
    <hyperlink r:id="rId3951" ref="C1928"/>
    <hyperlink r:id="rId3952" ref="H1928"/>
    <hyperlink r:id="rId3953" ref="M1928"/>
    <hyperlink r:id="rId3954" ref="C1929"/>
    <hyperlink r:id="rId3955" ref="H1929"/>
    <hyperlink r:id="rId3956" ref="C1930"/>
    <hyperlink r:id="rId3957" ref="H1930"/>
    <hyperlink r:id="rId3958" ref="C1931"/>
    <hyperlink r:id="rId3959" ref="H1931"/>
    <hyperlink r:id="rId3960" ref="C1932"/>
    <hyperlink r:id="rId3961" ref="H1932"/>
    <hyperlink r:id="rId3962" ref="C1933"/>
    <hyperlink r:id="rId3963" ref="H1933"/>
    <hyperlink r:id="rId3964" ref="M1933"/>
    <hyperlink r:id="rId3965" ref="C1934"/>
    <hyperlink r:id="rId3966" ref="H1934"/>
    <hyperlink r:id="rId3967" ref="C1935"/>
    <hyperlink r:id="rId3968" ref="H1935"/>
    <hyperlink r:id="rId3969" ref="M1935"/>
    <hyperlink r:id="rId3970" ref="C1936"/>
    <hyperlink r:id="rId3971" ref="H1936"/>
    <hyperlink r:id="rId3972" ref="C1937"/>
    <hyperlink r:id="rId3973" ref="H1937"/>
    <hyperlink r:id="rId3974" ref="C1938"/>
    <hyperlink r:id="rId3975" ref="H1938"/>
    <hyperlink r:id="rId3976" ref="C1939"/>
    <hyperlink r:id="rId3977" ref="H1939"/>
    <hyperlink r:id="rId3978" ref="C1940"/>
    <hyperlink r:id="rId3979" ref="H1940"/>
    <hyperlink r:id="rId3980" ref="C1941"/>
    <hyperlink r:id="rId3981" ref="H1941"/>
    <hyperlink r:id="rId3982" ref="C1942"/>
    <hyperlink r:id="rId3983" ref="H1942"/>
    <hyperlink r:id="rId3984" ref="C1943"/>
    <hyperlink r:id="rId3985" ref="H1943"/>
    <hyperlink r:id="rId3986" ref="C1944"/>
    <hyperlink r:id="rId3987" ref="H1944"/>
    <hyperlink r:id="rId3988" ref="C1945"/>
    <hyperlink r:id="rId3989" ref="H1945"/>
    <hyperlink r:id="rId3990" ref="C1946"/>
    <hyperlink r:id="rId3991" ref="H1946"/>
    <hyperlink r:id="rId3992" ref="C1947"/>
    <hyperlink r:id="rId3993" ref="H1947"/>
    <hyperlink r:id="rId3994" ref="C1948"/>
    <hyperlink r:id="rId3995" ref="H1948"/>
    <hyperlink r:id="rId3996" ref="C1949"/>
    <hyperlink r:id="rId3997" ref="H1949"/>
    <hyperlink r:id="rId3998" ref="C1950"/>
    <hyperlink r:id="rId3999" ref="H1950"/>
    <hyperlink r:id="rId4000" ref="C1951"/>
    <hyperlink r:id="rId4001" ref="H1951"/>
    <hyperlink r:id="rId4002" ref="C1952"/>
    <hyperlink r:id="rId4003" ref="H1952"/>
    <hyperlink r:id="rId4004" ref="C1953"/>
    <hyperlink r:id="rId4005" ref="H1953"/>
    <hyperlink r:id="rId4006" ref="C1954"/>
    <hyperlink r:id="rId4007" ref="H1954"/>
    <hyperlink r:id="rId4008" ref="C1955"/>
    <hyperlink r:id="rId4009" ref="H1955"/>
    <hyperlink r:id="rId4010" ref="C1956"/>
    <hyperlink r:id="rId4011" ref="H1956"/>
    <hyperlink r:id="rId4012" ref="C1957"/>
    <hyperlink r:id="rId4013" ref="H1957"/>
    <hyperlink r:id="rId4014" ref="C1958"/>
    <hyperlink r:id="rId4015" ref="H1958"/>
    <hyperlink r:id="rId4016" ref="C1959"/>
    <hyperlink r:id="rId4017" ref="H1959"/>
    <hyperlink r:id="rId4018" ref="C1960"/>
    <hyperlink r:id="rId4019" ref="H1960"/>
    <hyperlink r:id="rId4020" ref="C1961"/>
    <hyperlink r:id="rId4021" ref="H1961"/>
    <hyperlink r:id="rId4022" ref="C1962"/>
    <hyperlink r:id="rId4023" ref="H1962"/>
    <hyperlink r:id="rId4024" ref="C1963"/>
    <hyperlink r:id="rId4025" ref="H1963"/>
    <hyperlink r:id="rId4026" ref="C1964"/>
    <hyperlink r:id="rId4027" ref="H1964"/>
    <hyperlink r:id="rId4028" ref="C1965"/>
    <hyperlink r:id="rId4029" ref="H1965"/>
    <hyperlink r:id="rId4030" ref="C1966"/>
    <hyperlink r:id="rId4031" ref="H1966"/>
    <hyperlink r:id="rId4032" ref="C1967"/>
    <hyperlink r:id="rId4033" ref="H1967"/>
    <hyperlink r:id="rId4034" ref="C1968"/>
    <hyperlink r:id="rId4035" ref="H1968"/>
    <hyperlink r:id="rId4036" ref="C1969"/>
    <hyperlink r:id="rId4037" ref="H1969"/>
    <hyperlink r:id="rId4038" ref="C1970"/>
    <hyperlink r:id="rId4039" ref="H1970"/>
    <hyperlink r:id="rId4040" ref="C1971"/>
    <hyperlink r:id="rId4041" ref="H1971"/>
    <hyperlink r:id="rId4042" ref="C1972"/>
    <hyperlink r:id="rId4043" ref="H1972"/>
    <hyperlink r:id="rId4044" ref="C1973"/>
    <hyperlink r:id="rId4045" ref="H1973"/>
    <hyperlink r:id="rId4046" ref="C1974"/>
    <hyperlink r:id="rId4047" ref="H1974"/>
    <hyperlink r:id="rId4048" ref="C1975"/>
    <hyperlink r:id="rId4049" ref="H1975"/>
    <hyperlink r:id="rId4050" ref="C1976"/>
    <hyperlink r:id="rId4051" ref="H1976"/>
    <hyperlink r:id="rId4052" ref="C1977"/>
    <hyperlink r:id="rId4053" ref="H1977"/>
    <hyperlink r:id="rId4054" ref="C1978"/>
    <hyperlink r:id="rId4055" ref="H1978"/>
    <hyperlink r:id="rId4056" ref="C1979"/>
    <hyperlink r:id="rId4057" ref="H1979"/>
    <hyperlink r:id="rId4058" ref="C1980"/>
    <hyperlink r:id="rId4059" ref="H1980"/>
    <hyperlink r:id="rId4060" ref="C1981"/>
    <hyperlink r:id="rId4061" ref="H1981"/>
    <hyperlink r:id="rId4062" ref="C1982"/>
    <hyperlink r:id="rId4063" ref="H1982"/>
    <hyperlink r:id="rId4064" ref="C1983"/>
    <hyperlink r:id="rId4065" ref="H1983"/>
    <hyperlink r:id="rId4066" ref="C1984"/>
    <hyperlink r:id="rId4067" ref="H1984"/>
    <hyperlink r:id="rId4068" ref="C1985"/>
    <hyperlink r:id="rId4069" ref="H1985"/>
  </hyperlinks>
  <drawing r:id="rId4070"/>
</worksheet>
</file>