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__FDSCACHE__" sheetId="1" r:id="rId4"/>
    <sheet state="visible" name="DCF" sheetId="2" r:id="rId5"/>
    <sheet state="visible" name="WACC" sheetId="3" r:id="rId6"/>
  </sheets>
  <definedNames>
    <definedName name="tgr">DCF!$D$10</definedName>
    <definedName name="wacc">DCF!$D$9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&lt;?xml version="1.0" encoding="utf-8"?&gt;&lt;Schema xmlns:xsd="http://www.w3.org/2001/XMLSchema" xmlns:xsi="http://www.w3.org/2001/XMLSchema-instance" Version="2" Timestamp="1658677764"&gt;&lt;FQL&gt;&lt;Q&gt;AMZN^FE_ESTIMATE(DEP_AMORT_EXP,MEAN,ANN_ROLL,2022,NOW,,,'')&lt;/Q&gt;&lt;R&gt;1&lt;/R&gt;&lt;C&gt;1&lt;/C&gt;&lt;D xsi:type="xsd:double"&gt;38716.438&lt;/D&gt;&lt;/FQL&gt;&lt;FQL&gt;&lt;Q&gt;AMZN^FE_ESTIMATE(DEP_AMORT_EXP,MEAN,ANN_ROLL,2023,NOW,,,'')&lt;/Q&gt;&lt;R&gt;1&lt;/R&gt;&lt;C&gt;1&lt;/C&gt;&lt;D xsi:type="xsd:double"&gt;44728.72&lt;/D&gt;&lt;/FQL&gt;&lt;FQL&gt;&lt;Q&gt;AMZN^FE_ESTIMATE(DEP_AMORT_EXP,MEAN,ANN_ROLL,2024,NOW,,,'')&lt;/Q&gt;&lt;R&gt;1&lt;/R&gt;&lt;C&gt;1&lt;/C&gt;&lt;D xsi:type="xsd:double"&gt;52136.97&lt;/D&gt;&lt;/FQL&gt;&lt;FQL&gt;&lt;Q&gt;AMZN^FE_ESTIMATE(DEP_AMORT_EXP,MEAN,ANN_ROLL,2025,NOW,,,'')&lt;/Q&gt;&lt;R&gt;1&lt;/R&gt;&lt;C&gt;1&lt;/C&gt;&lt;D xsi:type="xsd:double"&gt;55507.54&lt;/D&gt;&lt;/FQL&gt;&lt;FQL&gt;&lt;Q&gt;AMZN^FE_ESTIMATE(DEP_AMORT_EXP,MEAN,ANN_ROLL,2026,NOW,,,'')&lt;/Q&gt;&lt;R&gt;1&lt;/R&gt;&lt;C&gt;1&lt;/C&gt;&lt;D xsi:type="xsd:double"&gt;58234.55&lt;/D&gt;&lt;/FQL&gt;&lt;FQL&gt;&lt;Q&gt;AMZN^FE_ESTIMATE(DEP_AMORT_EXP,MEAN,ANN_ROLL,2027,NOW,,,'')&lt;/Q&gt;&lt;R&gt;1&lt;/R&gt;&lt;C&gt;1&lt;/C&gt;&lt;D xsi:type="xsd:double"&gt;64625&lt;/D&gt;&lt;/FQL&gt;&lt;FQL&gt;&lt;Q&gt;AMZN^FE_ESTIMATE(CAPEX,MEAN,ANN_ROLL,2022,NOW,,,'')&lt;/Q&gt;&lt;R&gt;1&lt;/R&gt;&lt;C&gt;1&lt;/C&gt;&lt;D xsi:type="xsd:double"&gt;61050.723&lt;/D&gt;&lt;/FQL&gt;&lt;FQL&gt;&lt;Q&gt;AMZN^FE_ESTIMATE(CAPEX,MEAN,ANN_ROLL,2023,NOW,,,'')&lt;/Q&gt;&lt;R&gt;1&lt;/R&gt;&lt;C&gt;1&lt;/C&gt;&lt;D xsi:type="xsd:double"&gt;62598.887&lt;/D&gt;&lt;/FQL&gt;&lt;FQL&gt;&lt;Q&gt;AMZN^FE_ESTIMATE(CAPEX,MEAN,ANN_ROLL,2024,NOW,,,'')&lt;/Q&gt;&lt;R&gt;1&lt;/R&gt;&lt;C&gt;1&lt;/C&gt;&lt;D xsi:type="xsd:double"&gt;64481.453&lt;/D&gt;&lt;/FQL&gt;&lt;FQL&gt;&lt;Q&gt;AMZN^FE_ESTIMATE(CAPEX,MEAN,ANN_ROLL,2025,NOW,,,'')&lt;/Q&gt;&lt;R&gt;1&lt;/R&gt;&lt;C&gt;1&lt;/C&gt;&lt;D xsi:type="xsd:double"&gt;69493.41&lt;/D&gt;&lt;/FQL&gt;&lt;FQL&gt;&lt;Q&gt;AMZN^FE_ESTIMATE(CAPEX,MEAN,ANN_ROLL,2026,NOW,,,'')&lt;/Q&gt;&lt;R&gt;1&lt;/R&gt;&lt;C&gt;1&lt;/C&gt;&lt;D xsi:type="xsd:double"&gt;65697&lt;/D&gt;&lt;/FQL&gt;&lt;FQL&gt;&lt;Q&gt;AMZN^FE_ESTIMATE(CAPEX,MEAN,ANN_ROLL,2027,NOW,,,'')&lt;/Q&gt;&lt;R&gt;1&lt;/R&gt;&lt;C&gt;1&lt;/C&gt;&lt;D xsi:type="xsd:double"&gt;69051.93&lt;/D&gt;&lt;/FQL&gt;&lt;/Schema&gt;</t>
      </text>
    </comment>
  </commentList>
</comments>
</file>

<file path=xl/sharedStrings.xml><?xml version="1.0" encoding="utf-8"?>
<sst xmlns="http://schemas.openxmlformats.org/spreadsheetml/2006/main" count="83" uniqueCount="70">
  <si>
    <t>This sheet contains FactSet XML data for use with this workbook's =FDS codes.  Modifying the worksheet's contents may damage the workbook's =FDS functionality.</t>
  </si>
  <si>
    <t>FAST DCF</t>
  </si>
  <si>
    <t>Ticker</t>
  </si>
  <si>
    <t>FAST</t>
  </si>
  <si>
    <t>Implied Share Price</t>
  </si>
  <si>
    <t>Downside</t>
  </si>
  <si>
    <t>Today's Share Price</t>
  </si>
  <si>
    <t>Assumptions</t>
  </si>
  <si>
    <t>Valuation Assumptions</t>
  </si>
  <si>
    <t>WACC</t>
  </si>
  <si>
    <t>TGR</t>
  </si>
  <si>
    <t>https://fred.stlouisfed.org/series/NGDPNSAXDCUSQ</t>
  </si>
  <si>
    <t>(7364675-7029115)/7029115</t>
  </si>
  <si>
    <t>Forecast</t>
  </si>
  <si>
    <t>Revenue growth</t>
  </si>
  <si>
    <t>in millions</t>
  </si>
  <si>
    <t>Income Statement</t>
  </si>
  <si>
    <t>Net Sales (Revenue)</t>
  </si>
  <si>
    <t>% growth</t>
  </si>
  <si>
    <t>COGS</t>
  </si>
  <si>
    <t>% of revenues</t>
  </si>
  <si>
    <t>SG&amp;A</t>
  </si>
  <si>
    <t>EBIT</t>
  </si>
  <si>
    <t>% of sales</t>
  </si>
  <si>
    <t>Taxes</t>
  </si>
  <si>
    <t>% of EBIT</t>
  </si>
  <si>
    <t>DCF</t>
  </si>
  <si>
    <t>EBIAT</t>
  </si>
  <si>
    <t>Cash Flow Items</t>
  </si>
  <si>
    <t>PPE Beginning</t>
  </si>
  <si>
    <t>D&amp;A</t>
  </si>
  <si>
    <t>% of PPE Beginning</t>
  </si>
  <si>
    <t>CAPEx</t>
  </si>
  <si>
    <t>PPE Ending</t>
  </si>
  <si>
    <t xml:space="preserve">Cash </t>
  </si>
  <si>
    <t>Days receivables</t>
  </si>
  <si>
    <t>Days Payables</t>
  </si>
  <si>
    <t>Days Inventory</t>
  </si>
  <si>
    <t xml:space="preserve">Acc payable </t>
  </si>
  <si>
    <t xml:space="preserve">Acc receivable </t>
  </si>
  <si>
    <t xml:space="preserve">Invenotry </t>
  </si>
  <si>
    <t>NWC</t>
  </si>
  <si>
    <t>Change in NWC</t>
  </si>
  <si>
    <t>FCF</t>
  </si>
  <si>
    <t>Present Value of FCF</t>
  </si>
  <si>
    <t>Terminal Value</t>
  </si>
  <si>
    <t>Present Value of Terminal Value</t>
  </si>
  <si>
    <t>Enterprise Value</t>
  </si>
  <si>
    <t>+ Cash</t>
  </si>
  <si>
    <t>- Debt</t>
  </si>
  <si>
    <t>Equity Value</t>
  </si>
  <si>
    <t>Shares</t>
  </si>
  <si>
    <t>Share Price</t>
  </si>
  <si>
    <t>Sensitivity analysis (Effect on enterprise value)</t>
  </si>
  <si>
    <t xml:space="preserve">Sensitivity analysis </t>
  </si>
  <si>
    <t>(Effect on share price)</t>
  </si>
  <si>
    <t>Long term growth rate</t>
  </si>
  <si>
    <t>x</t>
  </si>
  <si>
    <t>WACC =  (% Equity x Cost of Equity) + (% Debt x Cost of Debt x (1 -Tax rate))</t>
  </si>
  <si>
    <t>Cost of Equity = Risk Free Rate + (Beta x (Expected Market Return - Risk Free Rate))</t>
  </si>
  <si>
    <t>Debt</t>
  </si>
  <si>
    <t>% Debt</t>
  </si>
  <si>
    <t>Cost of Debt</t>
  </si>
  <si>
    <t>Tax Rate</t>
  </si>
  <si>
    <t>% Equity</t>
  </si>
  <si>
    <t>Cost of Equity</t>
  </si>
  <si>
    <t>Risk Free Rate</t>
  </si>
  <si>
    <t>Beta</t>
  </si>
  <si>
    <t>Market Risk Premium</t>
  </si>
  <si>
    <t>Debt +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</si>
</sst>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&quot;$&quot;#,##0.00"/>
    <numFmt numFmtId="165" formatCode="_([$$-409]* #,##0.00_);_([$$-409]* \(#,##0.00\);_([$$-409]* &quot;-&quot;??_);_(@_)"/>
    <numFmt numFmtId="166" formatCode="0%;\(0%\)"/>
    <numFmt numFmtId="167" formatCode="0.0%;\(0.0%\)"/>
    <numFmt numFmtId="168" formatCode="0.000%"/>
    <numFmt numFmtId="169" formatCode="0.0%"/>
    <numFmt numFmtId="170" formatCode="#,##0.0"/>
    <numFmt numFmtId="171" formatCode="0.0000"/>
    <numFmt numFmtId="172" formatCode="0.0"/>
    <numFmt numFmtId="173" formatCode="_(#,##0.0_);(#,##0.0)"/>
  </numFmts>
  <fonts count="17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Times New Roman"/>
    </font>
    <font>
      <b/>
      <sz val="12.0"/>
      <color theme="1"/>
      <name val="Times New Roman"/>
    </font>
    <font>
      <sz val="12.0"/>
      <color rgb="FF232A31"/>
      <name val="Times New Roman"/>
    </font>
    <font>
      <b/>
      <sz val="12.0"/>
      <color theme="0"/>
      <name val="Times New Roman"/>
    </font>
    <font>
      <u/>
      <sz val="12.0"/>
      <color rgb="FF0000FF"/>
      <name val="Times New Roman"/>
    </font>
    <font>
      <b/>
      <sz val="12.0"/>
      <color rgb="FFFFFFFF"/>
      <name val="Times New Roman"/>
    </font>
    <font>
      <b/>
      <sz val="12.0"/>
      <color rgb="FF000000"/>
      <name val="Times New Roman"/>
    </font>
    <font>
      <i/>
      <sz val="12.0"/>
      <color theme="1"/>
      <name val="Times New Roman"/>
    </font>
    <font>
      <sz val="12.0"/>
      <color rgb="FF000000"/>
      <name val="Times New Roman"/>
    </font>
    <font>
      <sz val="12.0"/>
      <color rgb="FF548135"/>
      <name val="Times New Roman"/>
    </font>
    <font>
      <sz val="12.0"/>
      <color rgb="FFC00000"/>
      <name val="Times New Roman"/>
    </font>
    <font>
      <sz val="11.0"/>
      <color theme="1"/>
      <name val="Calibri"/>
    </font>
    <font>
      <b/>
      <sz val="16.0"/>
      <color theme="1"/>
      <name val="Calibri"/>
    </font>
    <font>
      <b/>
      <sz val="11.0"/>
      <color theme="0"/>
      <name val="Calibri"/>
    </font>
    <font>
      <b/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2F2F2"/>
        <bgColor rgb="FFF2F2F2"/>
      </patternFill>
    </fill>
  </fills>
  <borders count="5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right style="thin">
        <color rgb="FF000000"/>
      </right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</border>
    <border>
      <left/>
      <right/>
      <top/>
    </border>
    <border>
      <left/>
      <right style="thin">
        <color rgb="FF000000"/>
      </right>
      <top/>
    </border>
    <border>
      <right/>
      <top/>
    </border>
    <border>
      <lef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/>
      <top/>
      <bottom style="thin">
        <color rgb="FF000000"/>
      </bottom>
    </border>
    <border>
      <left/>
      <top/>
    </border>
    <border>
      <left style="thin">
        <color rgb="FF000000"/>
      </left>
      <right/>
    </border>
    <border>
      <left/>
      <right style="thin">
        <color rgb="FF000000"/>
      </right>
    </border>
    <border>
      <right/>
    </border>
    <border>
      <left/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/>
    </border>
    <border>
      <lef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/>
      <bottom style="thin">
        <color rgb="FF000000"/>
      </bottom>
    </border>
    <border>
      <left/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right/>
      <bottom/>
    </border>
    <border>
      <left/>
      <right/>
      <bottom/>
    </border>
    <border>
      <left/>
      <bottom/>
    </border>
    <border>
      <left/>
      <right style="thin">
        <color rgb="FF000000"/>
      </right>
      <bottom/>
    </border>
    <border>
      <left/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</border>
    <border>
      <left style="thin">
        <color rgb="FF000000"/>
      </left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/>
    </border>
    <border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2" numFmtId="0" xfId="0" applyBorder="1" applyFont="1"/>
    <xf borderId="1" fillId="0" fontId="3" numFmtId="0" xfId="0" applyAlignment="1" applyBorder="1" applyFont="1">
      <alignment readingOrder="0"/>
    </xf>
    <xf borderId="2" fillId="2" fontId="2" numFmtId="0" xfId="0" applyAlignment="1" applyBorder="1" applyFill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3" fillId="0" fontId="2" numFmtId="10" xfId="0" applyAlignment="1" applyBorder="1" applyFont="1" applyNumberFormat="1">
      <alignment horizontal="center"/>
    </xf>
    <xf borderId="0" fillId="0" fontId="2" numFmtId="165" xfId="0" applyFont="1" applyNumberFormat="1"/>
    <xf borderId="0" fillId="0" fontId="2" numFmtId="166" xfId="0" applyFont="1" applyNumberFormat="1"/>
    <xf borderId="0" fillId="0" fontId="2" numFmtId="14" xfId="0" applyAlignment="1" applyFont="1" applyNumberFormat="1">
      <alignment horizontal="center"/>
    </xf>
    <xf borderId="0" fillId="3" fontId="4" numFmtId="164" xfId="0" applyAlignment="1" applyFill="1" applyFont="1" applyNumberFormat="1">
      <alignment readingOrder="0" shrinkToFit="0" wrapText="0"/>
    </xf>
    <xf borderId="0" fillId="0" fontId="2" numFmtId="167" xfId="0" applyAlignment="1" applyFont="1" applyNumberFormat="1">
      <alignment horizontal="center"/>
    </xf>
    <xf borderId="4" fillId="0" fontId="2" numFmtId="0" xfId="0" applyBorder="1" applyFont="1"/>
    <xf borderId="5" fillId="4" fontId="5" numFmtId="0" xfId="0" applyBorder="1" applyFill="1" applyFont="1"/>
    <xf borderId="5" fillId="4" fontId="2" numFmtId="0" xfId="0" applyBorder="1" applyFont="1"/>
    <xf borderId="0" fillId="0" fontId="3" numFmtId="0" xfId="0" applyFont="1"/>
    <xf borderId="6" fillId="0" fontId="2" numFmtId="0" xfId="0" applyBorder="1" applyFont="1"/>
    <xf borderId="7" fillId="0" fontId="2" numFmtId="0" xfId="0" applyBorder="1" applyFont="1"/>
    <xf borderId="2" fillId="0" fontId="2" numFmtId="168" xfId="0" applyAlignment="1" applyBorder="1" applyFont="1" applyNumberFormat="1">
      <alignment readingOrder="0"/>
    </xf>
    <xf borderId="2" fillId="0" fontId="2" numFmtId="10" xfId="0" applyAlignment="1" applyBorder="1" applyFont="1" applyNumberFormat="1">
      <alignment readingOrder="0"/>
    </xf>
    <xf borderId="0" fillId="0" fontId="6" numFmtId="0" xfId="0" applyAlignment="1" applyFont="1">
      <alignment readingOrder="0"/>
    </xf>
    <xf borderId="6" fillId="0" fontId="2" numFmtId="0" xfId="0" applyAlignment="1" applyBorder="1" applyFont="1">
      <alignment readingOrder="0"/>
    </xf>
    <xf borderId="2" fillId="3" fontId="2" numFmtId="10" xfId="0" applyAlignment="1" applyBorder="1" applyFont="1" applyNumberFormat="1">
      <alignment horizontal="center" readingOrder="0"/>
    </xf>
    <xf borderId="0" fillId="3" fontId="2" numFmtId="169" xfId="0" applyAlignment="1" applyFont="1" applyNumberFormat="1">
      <alignment horizontal="center"/>
    </xf>
    <xf borderId="4" fillId="0" fontId="2" numFmtId="0" xfId="0" applyAlignment="1" applyBorder="1" applyFont="1">
      <alignment readingOrder="0"/>
    </xf>
    <xf borderId="0" fillId="0" fontId="2" numFmtId="0" xfId="0" applyAlignment="1" applyFont="1">
      <alignment horizontal="right" vertical="bottom"/>
    </xf>
    <xf borderId="8" fillId="4" fontId="5" numFmtId="0" xfId="0" applyBorder="1" applyFont="1"/>
    <xf borderId="8" fillId="4" fontId="2" numFmtId="0" xfId="0" applyBorder="1" applyFont="1"/>
    <xf borderId="9" fillId="4" fontId="7" numFmtId="0" xfId="0" applyAlignment="1" applyBorder="1" applyFont="1">
      <alignment readingOrder="0"/>
    </xf>
    <xf borderId="9" fillId="4" fontId="5" numFmtId="0" xfId="0" applyBorder="1" applyFont="1"/>
    <xf borderId="10" fillId="4" fontId="5" numFmtId="0" xfId="0" applyBorder="1" applyFont="1"/>
    <xf borderId="11" fillId="5" fontId="5" numFmtId="0" xfId="0" applyBorder="1" applyFill="1" applyFont="1"/>
    <xf borderId="9" fillId="5" fontId="5" numFmtId="0" xfId="0" applyBorder="1" applyFont="1"/>
    <xf borderId="12" fillId="6" fontId="2" numFmtId="0" xfId="0" applyBorder="1" applyFill="1" applyFont="1"/>
    <xf borderId="13" fillId="7" fontId="2" numFmtId="0" xfId="0" applyAlignment="1" applyBorder="1" applyFill="1" applyFont="1">
      <alignment readingOrder="0"/>
    </xf>
    <xf borderId="14" fillId="7" fontId="2" numFmtId="0" xfId="0" applyBorder="1" applyFont="1"/>
    <xf borderId="15" fillId="7" fontId="2" numFmtId="0" xfId="0" applyBorder="1" applyFont="1"/>
    <xf borderId="16" fillId="0" fontId="8" numFmtId="170" xfId="0" applyAlignment="1" applyBorder="1" applyFont="1" applyNumberFormat="1">
      <alignment readingOrder="0"/>
    </xf>
    <xf borderId="17" fillId="0" fontId="8" numFmtId="170" xfId="0" applyAlignment="1" applyBorder="1" applyFont="1" applyNumberFormat="1">
      <alignment readingOrder="0"/>
    </xf>
    <xf borderId="18" fillId="0" fontId="8" numFmtId="4" xfId="0" applyAlignment="1" applyBorder="1" applyFont="1" applyNumberFormat="1">
      <alignment readingOrder="0"/>
    </xf>
    <xf borderId="19" fillId="6" fontId="8" numFmtId="2" xfId="0" applyBorder="1" applyFont="1" applyNumberFormat="1"/>
    <xf borderId="20" fillId="6" fontId="8" numFmtId="2" xfId="0" applyBorder="1" applyFont="1" applyNumberFormat="1"/>
    <xf borderId="21" fillId="6" fontId="8" numFmtId="2" xfId="0" applyBorder="1" applyFont="1" applyNumberFormat="1"/>
    <xf borderId="22" fillId="6" fontId="2" numFmtId="0" xfId="0" applyBorder="1" applyFont="1"/>
    <xf borderId="5" fillId="6" fontId="2" numFmtId="0" xfId="0" applyBorder="1" applyFont="1"/>
    <xf borderId="13" fillId="7" fontId="9" numFmtId="0" xfId="0" applyBorder="1" applyFont="1"/>
    <xf borderId="23" fillId="6" fontId="10" numFmtId="169" xfId="0" applyBorder="1" applyFont="1" applyNumberFormat="1"/>
    <xf borderId="24" fillId="6" fontId="10" numFmtId="169" xfId="0" applyBorder="1" applyFont="1" applyNumberFormat="1"/>
    <xf borderId="25" fillId="6" fontId="10" numFmtId="169" xfId="0" applyBorder="1" applyFont="1" applyNumberFormat="1"/>
    <xf borderId="26" fillId="0" fontId="10" numFmtId="10" xfId="0" applyAlignment="1" applyBorder="1" applyFont="1" applyNumberFormat="1">
      <alignment readingOrder="0"/>
    </xf>
    <xf borderId="27" fillId="6" fontId="2" numFmtId="0" xfId="0" applyBorder="1" applyFont="1"/>
    <xf borderId="28" fillId="6" fontId="3" numFmtId="0" xfId="0" applyBorder="1" applyFont="1"/>
    <xf borderId="8" fillId="6" fontId="2" numFmtId="0" xfId="0" applyBorder="1" applyFont="1"/>
    <xf borderId="29" fillId="6" fontId="2" numFmtId="0" xfId="0" applyBorder="1" applyFont="1"/>
    <xf borderId="30" fillId="6" fontId="10" numFmtId="0" xfId="0" applyBorder="1" applyFont="1"/>
    <xf borderId="8" fillId="6" fontId="10" numFmtId="0" xfId="0" applyBorder="1" applyFont="1"/>
    <xf borderId="31" fillId="6" fontId="10" numFmtId="0" xfId="0" applyBorder="1" applyFont="1"/>
    <xf borderId="29" fillId="6" fontId="10" numFmtId="0" xfId="0" applyBorder="1" applyFont="1"/>
    <xf borderId="13" fillId="6" fontId="10" numFmtId="0" xfId="0" applyBorder="1" applyFont="1"/>
    <xf borderId="14" fillId="6" fontId="10" numFmtId="0" xfId="0" applyBorder="1" applyFont="1"/>
    <xf borderId="15" fillId="6" fontId="10" numFmtId="0" xfId="0" applyBorder="1" applyFont="1"/>
    <xf borderId="0" fillId="6" fontId="2" numFmtId="0" xfId="0" applyFont="1"/>
    <xf borderId="13" fillId="7" fontId="3" numFmtId="0" xfId="0" applyAlignment="1" applyBorder="1" applyFont="1">
      <alignment readingOrder="0"/>
    </xf>
    <xf borderId="16" fillId="0" fontId="8" numFmtId="4" xfId="0" applyAlignment="1" applyBorder="1" applyFont="1" applyNumberFormat="1">
      <alignment readingOrder="0"/>
    </xf>
    <xf borderId="17" fillId="0" fontId="8" numFmtId="4" xfId="0" applyAlignment="1" applyBorder="1" applyFont="1" applyNumberFormat="1">
      <alignment readingOrder="0"/>
    </xf>
    <xf borderId="19" fillId="6" fontId="8" numFmtId="4" xfId="0" applyBorder="1" applyFont="1" applyNumberFormat="1"/>
    <xf borderId="20" fillId="6" fontId="8" numFmtId="4" xfId="0" applyBorder="1" applyFont="1" applyNumberFormat="1"/>
    <xf borderId="21" fillId="6" fontId="8" numFmtId="4" xfId="0" applyBorder="1" applyFont="1" applyNumberFormat="1"/>
    <xf borderId="23" fillId="6" fontId="10" numFmtId="10" xfId="0" applyBorder="1" applyFont="1" applyNumberFormat="1"/>
    <xf borderId="24" fillId="6" fontId="10" numFmtId="10" xfId="0" applyBorder="1" applyFont="1" applyNumberFormat="1"/>
    <xf borderId="25" fillId="6" fontId="10" numFmtId="10" xfId="0" applyBorder="1" applyFont="1" applyNumberFormat="1"/>
    <xf borderId="26" fillId="6" fontId="10" numFmtId="10" xfId="0" applyBorder="1" applyFont="1" applyNumberFormat="1"/>
    <xf borderId="32" fillId="6" fontId="10" numFmtId="10" xfId="0" applyBorder="1" applyFont="1" applyNumberFormat="1"/>
    <xf borderId="28" fillId="6" fontId="3" numFmtId="0" xfId="0" applyAlignment="1" applyBorder="1" applyFont="1">
      <alignment readingOrder="0"/>
    </xf>
    <xf borderId="0" fillId="6" fontId="10" numFmtId="171" xfId="0" applyFont="1" applyNumberFormat="1"/>
    <xf borderId="4" fillId="6" fontId="10" numFmtId="171" xfId="0" applyBorder="1" applyFont="1" applyNumberFormat="1"/>
    <xf borderId="13" fillId="6" fontId="10" numFmtId="171" xfId="0" applyBorder="1" applyFont="1" applyNumberFormat="1"/>
    <xf borderId="14" fillId="6" fontId="10" numFmtId="171" xfId="0" applyBorder="1" applyFont="1" applyNumberFormat="1"/>
    <xf borderId="15" fillId="6" fontId="10" numFmtId="171" xfId="0" applyBorder="1" applyFont="1" applyNumberFormat="1"/>
    <xf borderId="18" fillId="0" fontId="8" numFmtId="170" xfId="0" applyAlignment="1" applyBorder="1" applyFont="1" applyNumberFormat="1">
      <alignment readingOrder="0"/>
    </xf>
    <xf borderId="0" fillId="6" fontId="10" numFmtId="0" xfId="0" applyFont="1"/>
    <xf borderId="4" fillId="6" fontId="10" numFmtId="0" xfId="0" applyBorder="1" applyFont="1"/>
    <xf borderId="13" fillId="7" fontId="2" numFmtId="0" xfId="0" applyBorder="1" applyFont="1"/>
    <xf borderId="33" fillId="6" fontId="8" numFmtId="2" xfId="0" applyBorder="1" applyFont="1" applyNumberFormat="1"/>
    <xf borderId="34" fillId="6" fontId="10" numFmtId="169" xfId="0" applyBorder="1" applyFont="1" applyNumberFormat="1"/>
    <xf borderId="1" fillId="6" fontId="10" numFmtId="169" xfId="0" applyBorder="1" applyFont="1" applyNumberFormat="1"/>
    <xf borderId="26" fillId="6" fontId="10" numFmtId="169" xfId="0" applyBorder="1" applyFont="1" applyNumberFormat="1"/>
    <xf borderId="28" fillId="6" fontId="2" numFmtId="0" xfId="0" applyBorder="1" applyFont="1"/>
    <xf borderId="13" fillId="8" fontId="2" numFmtId="0" xfId="0" applyBorder="1" applyFill="1" applyFont="1"/>
    <xf borderId="14" fillId="8" fontId="2" numFmtId="0" xfId="0" applyBorder="1" applyFont="1"/>
    <xf borderId="15" fillId="8" fontId="2" numFmtId="0" xfId="0" applyBorder="1" applyFont="1"/>
    <xf borderId="35" fillId="8" fontId="8" numFmtId="4" xfId="0" applyBorder="1" applyFont="1" applyNumberFormat="1"/>
    <xf borderId="20" fillId="8" fontId="8" numFmtId="4" xfId="0" applyBorder="1" applyFont="1" applyNumberFormat="1"/>
    <xf borderId="36" fillId="8" fontId="8" numFmtId="4" xfId="0" applyBorder="1" applyFont="1" applyNumberFormat="1"/>
    <xf borderId="17" fillId="8" fontId="8" numFmtId="4" xfId="0" applyBorder="1" applyFont="1" applyNumberFormat="1"/>
    <xf borderId="19" fillId="8" fontId="8" numFmtId="4" xfId="0" applyBorder="1" applyFont="1" applyNumberFormat="1"/>
    <xf borderId="21" fillId="8" fontId="8" numFmtId="4" xfId="0" applyBorder="1" applyFont="1" applyNumberFormat="1"/>
    <xf borderId="13" fillId="8" fontId="9" numFmtId="0" xfId="0" applyBorder="1" applyFont="1"/>
    <xf borderId="23" fillId="8" fontId="10" numFmtId="10" xfId="0" applyAlignment="1" applyBorder="1" applyFont="1" applyNumberFormat="1">
      <alignment readingOrder="0"/>
    </xf>
    <xf borderId="24" fillId="8" fontId="10" numFmtId="10" xfId="0" applyAlignment="1" applyBorder="1" applyFont="1" applyNumberFormat="1">
      <alignment readingOrder="0"/>
    </xf>
    <xf borderId="34" fillId="8" fontId="10" numFmtId="10" xfId="0" applyAlignment="1" applyBorder="1" applyFont="1" applyNumberFormat="1">
      <alignment readingOrder="0"/>
    </xf>
    <xf borderId="1" fillId="8" fontId="10" numFmtId="10" xfId="0" applyAlignment="1" applyBorder="1" applyFont="1" applyNumberFormat="1">
      <alignment readingOrder="0"/>
    </xf>
    <xf borderId="26" fillId="8" fontId="10" numFmtId="10" xfId="0" applyAlignment="1" applyBorder="1" applyFont="1" applyNumberFormat="1">
      <alignment readingOrder="0"/>
    </xf>
    <xf borderId="25" fillId="8" fontId="10" numFmtId="169" xfId="0" applyAlignment="1" applyBorder="1" applyFont="1" applyNumberFormat="1">
      <alignment readingOrder="0"/>
    </xf>
    <xf borderId="26" fillId="6" fontId="10" numFmtId="10" xfId="0" applyAlignment="1" applyBorder="1" applyFont="1" applyNumberFormat="1">
      <alignment readingOrder="0"/>
    </xf>
    <xf borderId="24" fillId="6" fontId="10" numFmtId="10" xfId="0" applyAlignment="1" applyBorder="1" applyFont="1" applyNumberFormat="1">
      <alignment readingOrder="0"/>
    </xf>
    <xf borderId="25" fillId="6" fontId="10" numFmtId="10" xfId="0" applyAlignment="1" applyBorder="1" applyFont="1" applyNumberFormat="1">
      <alignment readingOrder="0"/>
    </xf>
    <xf borderId="37" fillId="6" fontId="2" numFmtId="0" xfId="0" applyBorder="1" applyFont="1"/>
    <xf borderId="38" fillId="6" fontId="2" numFmtId="0" xfId="0" applyBorder="1" applyFont="1"/>
    <xf borderId="39" fillId="6" fontId="2" numFmtId="0" xfId="0" applyBorder="1" applyFont="1"/>
    <xf borderId="40" fillId="6" fontId="2" numFmtId="0" xfId="0" applyBorder="1" applyFont="1"/>
    <xf borderId="41" fillId="6" fontId="2" numFmtId="0" xfId="0" applyBorder="1" applyFont="1"/>
    <xf borderId="42" fillId="6" fontId="2" numFmtId="0" xfId="0" applyBorder="1" applyFont="1"/>
    <xf borderId="43" fillId="6" fontId="2" numFmtId="0" xfId="0" applyBorder="1" applyFont="1"/>
    <xf borderId="41" fillId="4" fontId="5" numFmtId="0" xfId="0" applyBorder="1" applyFont="1"/>
    <xf borderId="41" fillId="4" fontId="2" numFmtId="0" xfId="0" applyBorder="1" applyFont="1"/>
    <xf borderId="44" fillId="4" fontId="5" numFmtId="0" xfId="0" applyBorder="1" applyFont="1"/>
    <xf borderId="6" fillId="0" fontId="3" numFmtId="0" xfId="0" applyBorder="1" applyFont="1"/>
    <xf borderId="7" fillId="0" fontId="3" numFmtId="0" xfId="0" applyBorder="1" applyFont="1"/>
    <xf borderId="45" fillId="0" fontId="3" numFmtId="0" xfId="0" applyBorder="1" applyFont="1"/>
    <xf borderId="7" fillId="0" fontId="2" numFmtId="170" xfId="0" applyBorder="1" applyFont="1" applyNumberFormat="1"/>
    <xf borderId="1" fillId="0" fontId="2" numFmtId="170" xfId="0" applyBorder="1" applyFont="1" applyNumberFormat="1"/>
    <xf borderId="45" fillId="0" fontId="2" numFmtId="4" xfId="0" applyBorder="1" applyFont="1" applyNumberFormat="1"/>
    <xf borderId="6" fillId="0" fontId="2" numFmtId="2" xfId="0" applyBorder="1" applyFont="1" applyNumberFormat="1"/>
    <xf borderId="7" fillId="0" fontId="2" numFmtId="2" xfId="0" applyBorder="1" applyFont="1" applyNumberFormat="1"/>
    <xf borderId="45" fillId="0" fontId="2" numFmtId="2" xfId="0" applyBorder="1" applyFont="1" applyNumberFormat="1"/>
    <xf borderId="30" fillId="6" fontId="2" numFmtId="0" xfId="0" applyBorder="1" applyFont="1"/>
    <xf borderId="31" fillId="6" fontId="2" numFmtId="0" xfId="0" applyBorder="1" applyFont="1"/>
    <xf borderId="11" fillId="6" fontId="2" numFmtId="0" xfId="0" applyBorder="1" applyFont="1"/>
    <xf borderId="9" fillId="6" fontId="2" numFmtId="0" xfId="0" applyBorder="1" applyFont="1"/>
    <xf borderId="44" fillId="6" fontId="2" numFmtId="0" xfId="0" applyBorder="1" applyFont="1"/>
    <xf borderId="5" fillId="4" fontId="7" numFmtId="0" xfId="0" applyAlignment="1" applyBorder="1" applyFont="1">
      <alignment readingOrder="0"/>
    </xf>
    <xf borderId="12" fillId="4" fontId="5" numFmtId="0" xfId="0" applyBorder="1" applyFont="1"/>
    <xf borderId="0" fillId="4" fontId="5" numFmtId="0" xfId="0" applyFont="1"/>
    <xf borderId="11" fillId="4" fontId="5" numFmtId="0" xfId="0" applyBorder="1" applyFont="1"/>
    <xf borderId="22" fillId="5" fontId="5" numFmtId="0" xfId="0" applyBorder="1" applyFont="1"/>
    <xf borderId="5" fillId="5" fontId="5" numFmtId="0" xfId="0" applyBorder="1" applyFont="1"/>
    <xf borderId="30" fillId="3" fontId="2" numFmtId="0" xfId="0" applyBorder="1" applyFont="1"/>
    <xf borderId="8" fillId="3" fontId="2" numFmtId="0" xfId="0" applyBorder="1" applyFont="1"/>
    <xf borderId="31" fillId="3" fontId="2" numFmtId="0" xfId="0" applyBorder="1" applyFont="1"/>
    <xf borderId="11" fillId="6" fontId="11" numFmtId="4" xfId="0" applyBorder="1" applyFont="1" applyNumberFormat="1"/>
    <xf borderId="9" fillId="6" fontId="11" numFmtId="4" xfId="0" applyBorder="1" applyFont="1" applyNumberFormat="1"/>
    <xf borderId="27" fillId="6" fontId="11" numFmtId="4" xfId="0" applyBorder="1" applyFont="1" applyNumberFormat="1"/>
    <xf borderId="0" fillId="6" fontId="11" numFmtId="4" xfId="0" applyFont="1" applyNumberFormat="1"/>
    <xf borderId="0" fillId="6" fontId="12" numFmtId="4" xfId="0" applyFont="1" applyNumberFormat="1"/>
    <xf borderId="46" fillId="6" fontId="2" numFmtId="4" xfId="0" applyBorder="1" applyFont="1" applyNumberFormat="1"/>
    <xf borderId="0" fillId="3" fontId="3" numFmtId="172" xfId="0" applyFont="1" applyNumberFormat="1"/>
    <xf borderId="6" fillId="3" fontId="2" numFmtId="0" xfId="0" applyAlignment="1" applyBorder="1" applyFont="1">
      <alignment readingOrder="0"/>
    </xf>
    <xf borderId="7" fillId="3" fontId="2" numFmtId="0" xfId="0" applyBorder="1" applyFont="1"/>
    <xf borderId="45" fillId="3" fontId="2" numFmtId="0" xfId="0" applyBorder="1" applyFont="1"/>
    <xf borderId="7" fillId="3" fontId="2" numFmtId="10" xfId="0" applyBorder="1" applyFont="1" applyNumberFormat="1"/>
    <xf borderId="7" fillId="0" fontId="2" numFmtId="2" xfId="0" applyAlignment="1" applyBorder="1" applyFont="1" applyNumberFormat="1">
      <alignment readingOrder="0"/>
    </xf>
    <xf borderId="7" fillId="3" fontId="2" numFmtId="0" xfId="0" applyAlignment="1" applyBorder="1" applyFont="1">
      <alignment readingOrder="0"/>
    </xf>
    <xf borderId="7" fillId="3" fontId="2" numFmtId="4" xfId="0" applyAlignment="1" applyBorder="1" applyFont="1" applyNumberFormat="1">
      <alignment readingOrder="0"/>
    </xf>
    <xf borderId="45" fillId="3" fontId="2" numFmtId="4" xfId="0" applyAlignment="1" applyBorder="1" applyFont="1" applyNumberFormat="1">
      <alignment readingOrder="0"/>
    </xf>
    <xf borderId="47" fillId="3" fontId="2" numFmtId="0" xfId="0" applyAlignment="1" applyBorder="1" applyFont="1">
      <alignment readingOrder="0"/>
    </xf>
    <xf borderId="0" fillId="3" fontId="2" numFmtId="0" xfId="0" applyFont="1"/>
    <xf borderId="4" fillId="3" fontId="2" numFmtId="0" xfId="0" applyBorder="1" applyFont="1"/>
    <xf borderId="0" fillId="3" fontId="2" numFmtId="10" xfId="0" applyFont="1" applyNumberFormat="1"/>
    <xf borderId="0" fillId="0" fontId="2" numFmtId="2" xfId="0" applyAlignment="1" applyFont="1" applyNumberFormat="1">
      <alignment readingOrder="0"/>
    </xf>
    <xf borderId="0" fillId="3" fontId="2" numFmtId="0" xfId="0" applyAlignment="1" applyFont="1">
      <alignment readingOrder="0"/>
    </xf>
    <xf borderId="4" fillId="3" fontId="2" numFmtId="0" xfId="0" applyAlignment="1" applyBorder="1" applyFont="1">
      <alignment readingOrder="0"/>
    </xf>
    <xf borderId="6" fillId="7" fontId="2" numFmtId="0" xfId="0" applyAlignment="1" applyBorder="1" applyFont="1">
      <alignment readingOrder="0"/>
    </xf>
    <xf borderId="7" fillId="7" fontId="2" numFmtId="0" xfId="0" applyBorder="1" applyFont="1"/>
    <xf borderId="45" fillId="7" fontId="2" numFmtId="0" xfId="0" applyBorder="1" applyFont="1"/>
    <xf borderId="6" fillId="6" fontId="8" numFmtId="4" xfId="0" applyBorder="1" applyFont="1" applyNumberFormat="1"/>
    <xf borderId="48" fillId="6" fontId="8" numFmtId="4" xfId="0" applyBorder="1" applyFont="1" applyNumberFormat="1"/>
    <xf borderId="14" fillId="6" fontId="8" numFmtId="4" xfId="0" applyBorder="1" applyFont="1" applyNumberFormat="1"/>
    <xf borderId="49" fillId="6" fontId="8" numFmtId="4" xfId="0" applyBorder="1" applyFont="1" applyNumberFormat="1"/>
    <xf borderId="7" fillId="6" fontId="8" numFmtId="4" xfId="0" applyBorder="1" applyFont="1" applyNumberFormat="1"/>
    <xf borderId="45" fillId="6" fontId="3" numFmtId="4" xfId="0" applyBorder="1" applyFont="1" applyNumberFormat="1"/>
    <xf borderId="7" fillId="3" fontId="3" numFmtId="172" xfId="0" applyBorder="1" applyFont="1" applyNumberFormat="1"/>
    <xf borderId="45" fillId="3" fontId="3" numFmtId="172" xfId="0" applyBorder="1" applyFont="1" applyNumberFormat="1"/>
    <xf borderId="4" fillId="6" fontId="2" numFmtId="10" xfId="0" applyBorder="1" applyFont="1" applyNumberFormat="1"/>
    <xf borderId="0" fillId="3" fontId="2" numFmtId="10" xfId="0" applyAlignment="1" applyFont="1" applyNumberFormat="1">
      <alignment readingOrder="0"/>
    </xf>
    <xf borderId="4" fillId="3" fontId="2" numFmtId="10" xfId="0" applyAlignment="1" applyBorder="1" applyFont="1" applyNumberFormat="1">
      <alignment readingOrder="0"/>
    </xf>
    <xf borderId="6" fillId="3" fontId="8" numFmtId="170" xfId="0" applyAlignment="1" applyBorder="1" applyFont="1" applyNumberFormat="1">
      <alignment readingOrder="0"/>
    </xf>
    <xf borderId="7" fillId="0" fontId="3" numFmtId="170" xfId="0" applyAlignment="1" applyBorder="1" applyFont="1" applyNumberFormat="1">
      <alignment readingOrder="0"/>
    </xf>
    <xf borderId="45" fillId="0" fontId="3" numFmtId="170" xfId="0" applyAlignment="1" applyBorder="1" applyFont="1" applyNumberFormat="1">
      <alignment readingOrder="0"/>
    </xf>
    <xf borderId="7" fillId="3" fontId="3" numFmtId="2" xfId="0" applyAlignment="1" applyBorder="1" applyFont="1" applyNumberFormat="1">
      <alignment readingOrder="0"/>
    </xf>
    <xf borderId="45" fillId="3" fontId="3" numFmtId="2" xfId="0" applyAlignment="1" applyBorder="1" applyFont="1" applyNumberFormat="1">
      <alignment readingOrder="0"/>
    </xf>
    <xf borderId="0" fillId="0" fontId="2" numFmtId="170" xfId="0" applyAlignment="1" applyFont="1" applyNumberFormat="1">
      <alignment readingOrder="0"/>
    </xf>
    <xf borderId="4" fillId="0" fontId="2" numFmtId="10" xfId="0" applyAlignment="1" applyBorder="1" applyFont="1" applyNumberFormat="1">
      <alignment readingOrder="0"/>
    </xf>
    <xf borderId="7" fillId="3" fontId="2" numFmtId="2" xfId="0" applyBorder="1" applyFont="1" applyNumberFormat="1"/>
    <xf borderId="7" fillId="3" fontId="2" numFmtId="4" xfId="0" applyBorder="1" applyFont="1" applyNumberFormat="1"/>
    <xf borderId="45" fillId="3" fontId="2" numFmtId="4" xfId="0" applyBorder="1" applyFont="1" applyNumberFormat="1"/>
    <xf borderId="0" fillId="3" fontId="3" numFmtId="0" xfId="0" applyAlignment="1" applyFont="1">
      <alignment readingOrder="0"/>
    </xf>
    <xf borderId="0" fillId="3" fontId="3" numFmtId="0" xfId="0" applyFont="1"/>
    <xf borderId="0" fillId="3" fontId="3" numFmtId="10" xfId="0" applyFont="1" applyNumberFormat="1"/>
    <xf borderId="0" fillId="3" fontId="3" numFmtId="0" xfId="0" applyFont="1"/>
    <xf borderId="4" fillId="3" fontId="3" numFmtId="0" xfId="0" applyBorder="1" applyFont="1"/>
    <xf borderId="0" fillId="0" fontId="10" numFmtId="0" xfId="0" applyFont="1"/>
    <xf borderId="4" fillId="0" fontId="10" numFmtId="0" xfId="0" applyBorder="1" applyFont="1"/>
    <xf borderId="16" fillId="6" fontId="2" numFmtId="0" xfId="0" applyAlignment="1" applyBorder="1" applyFont="1">
      <alignment readingOrder="0"/>
    </xf>
    <xf borderId="17" fillId="6" fontId="2" numFmtId="0" xfId="0" applyBorder="1" applyFont="1"/>
    <xf borderId="17" fillId="6" fontId="10" numFmtId="172" xfId="0" applyAlignment="1" applyBorder="1" applyFont="1" applyNumberFormat="1">
      <alignment readingOrder="0"/>
    </xf>
    <xf borderId="17" fillId="0" fontId="10" numFmtId="172" xfId="0" applyAlignment="1" applyBorder="1" applyFont="1" applyNumberFormat="1">
      <alignment readingOrder="0"/>
    </xf>
    <xf borderId="16" fillId="6" fontId="10" numFmtId="2" xfId="0" applyBorder="1" applyFont="1" applyNumberFormat="1"/>
    <xf borderId="17" fillId="6" fontId="10" numFmtId="2" xfId="0" applyBorder="1" applyFont="1" applyNumberFormat="1"/>
    <xf borderId="18" fillId="6" fontId="10" numFmtId="2" xfId="0" applyBorder="1" applyFont="1" applyNumberFormat="1"/>
    <xf borderId="50" fillId="6" fontId="2" numFmtId="0" xfId="0" applyAlignment="1" applyBorder="1" applyFont="1">
      <alignment readingOrder="0"/>
    </xf>
    <xf borderId="1" fillId="6" fontId="2" numFmtId="0" xfId="0" applyBorder="1" applyFont="1"/>
    <xf borderId="1" fillId="6" fontId="10" numFmtId="9" xfId="0" applyAlignment="1" applyBorder="1" applyFont="1" applyNumberFormat="1">
      <alignment readingOrder="0"/>
    </xf>
    <xf borderId="1" fillId="6" fontId="10" numFmtId="9" xfId="0" applyBorder="1" applyFont="1" applyNumberFormat="1"/>
    <xf borderId="50" fillId="6" fontId="10" numFmtId="0" xfId="0" applyBorder="1" applyFont="1"/>
    <xf borderId="1" fillId="6" fontId="10" numFmtId="0" xfId="0" applyBorder="1" applyFont="1"/>
    <xf borderId="51" fillId="6" fontId="10" numFmtId="0" xfId="0" applyBorder="1" applyFont="1"/>
    <xf borderId="28" fillId="6" fontId="2" numFmtId="0" xfId="0" applyAlignment="1" applyBorder="1" applyFont="1">
      <alignment readingOrder="0"/>
    </xf>
    <xf borderId="0" fillId="6" fontId="10" numFmtId="3" xfId="0" applyAlignment="1" applyFont="1" applyNumberFormat="1">
      <alignment readingOrder="0"/>
    </xf>
    <xf borderId="0" fillId="6" fontId="10" numFmtId="3" xfId="0" applyFont="1" applyNumberFormat="1"/>
    <xf borderId="40" fillId="6" fontId="10" numFmtId="0" xfId="0" applyBorder="1" applyFont="1"/>
    <xf borderId="52" fillId="6" fontId="10" numFmtId="0" xfId="0" applyBorder="1" applyFont="1"/>
    <xf borderId="22" fillId="6" fontId="10" numFmtId="0" xfId="0" applyBorder="1" applyFont="1"/>
    <xf borderId="53" fillId="6" fontId="10" numFmtId="0" xfId="0" applyBorder="1" applyFont="1"/>
    <xf borderId="22" fillId="6" fontId="2" numFmtId="169" xfId="0" applyBorder="1" applyFont="1" applyNumberFormat="1"/>
    <xf borderId="5" fillId="6" fontId="2" numFmtId="169" xfId="0" applyBorder="1" applyFont="1" applyNumberFormat="1"/>
    <xf borderId="11" fillId="6" fontId="10" numFmtId="0" xfId="0" applyBorder="1" applyFont="1"/>
    <xf borderId="46" fillId="6" fontId="10" numFmtId="0" xfId="0" applyBorder="1" applyFont="1"/>
    <xf borderId="0" fillId="6" fontId="2" numFmtId="169" xfId="0" applyFont="1" applyNumberFormat="1"/>
    <xf borderId="13" fillId="6" fontId="2" numFmtId="0" xfId="0" applyAlignment="1" applyBorder="1" applyFont="1">
      <alignment readingOrder="0"/>
    </xf>
    <xf borderId="14" fillId="6" fontId="2" numFmtId="0" xfId="0" applyBorder="1" applyFont="1"/>
    <xf borderId="15" fillId="6" fontId="2" numFmtId="0" xfId="0" applyBorder="1" applyFont="1"/>
    <xf borderId="7" fillId="6" fontId="10" numFmtId="3" xfId="0" applyBorder="1" applyFont="1" applyNumberFormat="1"/>
    <xf borderId="7" fillId="0" fontId="10" numFmtId="3" xfId="0" applyAlignment="1" applyBorder="1" applyFont="1" applyNumberFormat="1">
      <alignment readingOrder="0"/>
    </xf>
    <xf borderId="45" fillId="6" fontId="10" numFmtId="0" xfId="0" applyBorder="1" applyFont="1"/>
    <xf borderId="48" fillId="6" fontId="10" numFmtId="2" xfId="0" applyBorder="1" applyFont="1" applyNumberFormat="1"/>
    <xf borderId="45" fillId="6" fontId="10" numFmtId="2" xfId="0" applyBorder="1" applyFont="1" applyNumberFormat="1"/>
    <xf borderId="4" fillId="3" fontId="2" numFmtId="0" xfId="0" applyBorder="1" applyFont="1"/>
    <xf borderId="54" fillId="6" fontId="2" numFmtId="0" xfId="0" applyBorder="1" applyFont="1"/>
    <xf borderId="18" fillId="6" fontId="10" numFmtId="0" xfId="0" applyBorder="1" applyFont="1"/>
    <xf borderId="0" fillId="3" fontId="2" numFmtId="0" xfId="0" applyFont="1"/>
    <xf borderId="30" fillId="3" fontId="2" numFmtId="0" xfId="0" applyAlignment="1" applyBorder="1" applyFont="1">
      <alignment readingOrder="0"/>
    </xf>
    <xf borderId="0" fillId="0" fontId="10" numFmtId="173" xfId="0" applyAlignment="1" applyFont="1" applyNumberFormat="1">
      <alignment readingOrder="0"/>
    </xf>
    <xf borderId="45" fillId="0" fontId="10" numFmtId="173" xfId="0" applyAlignment="1" applyBorder="1" applyFont="1" applyNumberFormat="1">
      <alignment readingOrder="0"/>
    </xf>
    <xf borderId="30" fillId="6" fontId="10" numFmtId="172" xfId="0" applyBorder="1" applyFont="1" applyNumberFormat="1"/>
    <xf borderId="39" fillId="7" fontId="2" numFmtId="0" xfId="0" applyBorder="1" applyFont="1"/>
    <xf borderId="16" fillId="0" fontId="8" numFmtId="173" xfId="0" applyAlignment="1" applyBorder="1" applyFont="1" applyNumberFormat="1">
      <alignment readingOrder="0"/>
    </xf>
    <xf borderId="17" fillId="0" fontId="8" numFmtId="173" xfId="0" applyAlignment="1" applyBorder="1" applyFont="1" applyNumberFormat="1">
      <alignment readingOrder="0"/>
    </xf>
    <xf borderId="4" fillId="0" fontId="8" numFmtId="173" xfId="0" applyAlignment="1" applyBorder="1" applyFont="1" applyNumberFormat="1">
      <alignment readingOrder="0"/>
    </xf>
    <xf borderId="19" fillId="6" fontId="8" numFmtId="172" xfId="0" applyBorder="1" applyFont="1" applyNumberFormat="1"/>
    <xf borderId="33" fillId="6" fontId="8" numFmtId="172" xfId="0" applyBorder="1" applyFont="1" applyNumberFormat="1"/>
    <xf borderId="7" fillId="7" fontId="2" numFmtId="0" xfId="0" applyBorder="1" applyFont="1"/>
    <xf borderId="45" fillId="7" fontId="2" numFmtId="0" xfId="0" applyBorder="1" applyFont="1"/>
    <xf borderId="50" fillId="0" fontId="10" numFmtId="10" xfId="0" applyBorder="1" applyFont="1" applyNumberFormat="1"/>
    <xf borderId="1" fillId="0" fontId="10" numFmtId="10" xfId="0" applyBorder="1" applyFont="1" applyNumberFormat="1"/>
    <xf borderId="51" fillId="0" fontId="10" numFmtId="10" xfId="0" applyBorder="1" applyFont="1" applyNumberFormat="1"/>
    <xf borderId="1" fillId="0" fontId="10" numFmtId="0" xfId="0" applyBorder="1" applyFont="1"/>
    <xf borderId="51" fillId="0" fontId="10" numFmtId="0" xfId="0" applyBorder="1" applyFont="1"/>
    <xf borderId="0" fillId="3" fontId="2" numFmtId="169" xfId="0" applyFont="1" applyNumberFormat="1"/>
    <xf borderId="47" fillId="3" fontId="2" numFmtId="0" xfId="0" applyBorder="1" applyFont="1"/>
    <xf borderId="0" fillId="0" fontId="10" numFmtId="10" xfId="0" applyAlignment="1" applyFont="1" applyNumberFormat="1">
      <alignment readingOrder="0"/>
    </xf>
    <xf borderId="4" fillId="0" fontId="10" numFmtId="10" xfId="0" applyAlignment="1" applyBorder="1" applyFont="1" applyNumberFormat="1">
      <alignment readingOrder="0"/>
    </xf>
    <xf borderId="13" fillId="6" fontId="10" numFmtId="10" xfId="0" applyBorder="1" applyFont="1" applyNumberFormat="1"/>
    <xf borderId="13" fillId="6" fontId="10" numFmtId="37" xfId="0" applyBorder="1" applyFont="1" applyNumberFormat="1"/>
    <xf borderId="7" fillId="0" fontId="8" numFmtId="173" xfId="0" applyAlignment="1" applyBorder="1" applyFont="1" applyNumberFormat="1">
      <alignment readingOrder="0"/>
    </xf>
    <xf borderId="45" fillId="0" fontId="8" numFmtId="173" xfId="0" applyAlignment="1" applyBorder="1" applyFont="1" applyNumberFormat="1">
      <alignment readingOrder="0"/>
    </xf>
    <xf borderId="50" fillId="0" fontId="2" numFmtId="0" xfId="0" applyBorder="1" applyFont="1"/>
    <xf borderId="1" fillId="0" fontId="2" numFmtId="0" xfId="0" applyBorder="1" applyFont="1"/>
    <xf borderId="51" fillId="0" fontId="2" numFmtId="0" xfId="0" applyBorder="1" applyFont="1"/>
    <xf borderId="50" fillId="0" fontId="10" numFmtId="0" xfId="0" applyBorder="1" applyFont="1"/>
    <xf borderId="6" fillId="7" fontId="3" numFmtId="0" xfId="0" applyAlignment="1" applyBorder="1" applyFont="1">
      <alignment readingOrder="0"/>
    </xf>
    <xf borderId="7" fillId="7" fontId="3" numFmtId="0" xfId="0" applyBorder="1" applyFont="1"/>
    <xf borderId="45" fillId="7" fontId="3" numFmtId="0" xfId="0" applyBorder="1" applyFont="1"/>
    <xf borderId="6" fillId="0" fontId="8" numFmtId="170" xfId="0" applyBorder="1" applyFont="1" applyNumberFormat="1"/>
    <xf borderId="7" fillId="0" fontId="8" numFmtId="170" xfId="0" applyBorder="1" applyFont="1" applyNumberFormat="1"/>
    <xf borderId="45" fillId="0" fontId="8" numFmtId="4" xfId="0" applyBorder="1" applyFont="1" applyNumberFormat="1"/>
    <xf borderId="7" fillId="0" fontId="8" numFmtId="2" xfId="0" applyBorder="1" applyFont="1" applyNumberFormat="1"/>
    <xf borderId="45" fillId="0" fontId="8" numFmtId="2" xfId="0" applyBorder="1" applyFont="1" applyNumberFormat="1"/>
    <xf borderId="18" fillId="9" fontId="3" numFmtId="39" xfId="0" applyBorder="1" applyFill="1" applyFont="1" applyNumberFormat="1"/>
    <xf borderId="7" fillId="9" fontId="3" numFmtId="39" xfId="0" applyBorder="1" applyFont="1" applyNumberFormat="1"/>
    <xf borderId="45" fillId="9" fontId="3" numFmtId="39" xfId="0" applyBorder="1" applyFont="1" applyNumberFormat="1"/>
    <xf borderId="0" fillId="0" fontId="2" numFmtId="14" xfId="0" applyFont="1" applyNumberFormat="1"/>
    <xf borderId="17" fillId="0" fontId="2" numFmtId="0" xfId="0" applyBorder="1" applyFont="1"/>
    <xf borderId="7" fillId="0" fontId="2" numFmtId="14" xfId="0" applyBorder="1" applyFont="1" applyNumberFormat="1"/>
    <xf borderId="2" fillId="0" fontId="2" numFmtId="37" xfId="0" applyBorder="1" applyFont="1" applyNumberFormat="1"/>
    <xf borderId="6" fillId="0" fontId="2" numFmtId="0" xfId="0" applyBorder="1" applyFont="1"/>
    <xf borderId="7" fillId="0" fontId="2" numFmtId="0" xfId="0" applyBorder="1" applyFont="1"/>
    <xf borderId="2" fillId="0" fontId="3" numFmtId="37" xfId="0" applyBorder="1" applyFont="1" applyNumberFormat="1"/>
    <xf quotePrefix="1" borderId="6" fillId="0" fontId="2" numFmtId="0" xfId="0" applyBorder="1" applyFont="1"/>
    <xf borderId="2" fillId="0" fontId="2" numFmtId="173" xfId="0" applyAlignment="1" applyBorder="1" applyFont="1" applyNumberFormat="1">
      <alignment readingOrder="0"/>
    </xf>
    <xf borderId="2" fillId="0" fontId="2" numFmtId="37" xfId="0" applyAlignment="1" applyBorder="1" applyFont="1" applyNumberFormat="1">
      <alignment readingOrder="0"/>
    </xf>
    <xf borderId="2" fillId="0" fontId="2" numFmtId="39" xfId="0" applyAlignment="1" applyBorder="1" applyFont="1" applyNumberFormat="1">
      <alignment readingOrder="0"/>
    </xf>
    <xf borderId="2" fillId="0" fontId="3" numFmtId="165" xfId="0" applyBorder="1" applyFont="1" applyNumberFormat="1"/>
    <xf borderId="0" fillId="0" fontId="3" numFmtId="0" xfId="0" applyAlignment="1" applyFont="1">
      <alignment readingOrder="0"/>
    </xf>
    <xf borderId="16" fillId="0" fontId="2" numFmtId="0" xfId="0" applyBorder="1" applyFont="1"/>
    <xf borderId="7" fillId="0" fontId="1" numFmtId="0" xfId="0" applyBorder="1" applyFont="1"/>
    <xf borderId="45" fillId="0" fontId="2" numFmtId="0" xfId="0" applyBorder="1" applyFont="1"/>
    <xf borderId="47" fillId="0" fontId="2" numFmtId="0" xfId="0" applyBorder="1" applyFont="1"/>
    <xf borderId="55" fillId="0" fontId="2" numFmtId="0" xfId="0" applyBorder="1" applyFont="1"/>
    <xf borderId="0" fillId="0" fontId="3" numFmtId="37" xfId="0" applyFont="1" applyNumberFormat="1"/>
    <xf borderId="4" fillId="0" fontId="3" numFmtId="37" xfId="0" applyBorder="1" applyFont="1" applyNumberFormat="1"/>
    <xf borderId="16" fillId="0" fontId="3" numFmtId="165" xfId="0" applyBorder="1" applyFont="1" applyNumberFormat="1"/>
    <xf borderId="17" fillId="0" fontId="3" numFmtId="165" xfId="0" applyBorder="1" applyFont="1" applyNumberFormat="1"/>
    <xf borderId="18" fillId="0" fontId="3" numFmtId="165" xfId="0" applyBorder="1" applyFont="1" applyNumberFormat="1"/>
    <xf borderId="56" fillId="0" fontId="2" numFmtId="0" xfId="0" applyAlignment="1" applyBorder="1" applyFont="1">
      <alignment readingOrder="0"/>
    </xf>
    <xf borderId="47" fillId="0" fontId="3" numFmtId="165" xfId="0" applyBorder="1" applyFont="1" applyNumberFormat="1"/>
    <xf borderId="0" fillId="0" fontId="3" numFmtId="165" xfId="0" applyFont="1" applyNumberFormat="1"/>
    <xf borderId="4" fillId="0" fontId="3" numFmtId="165" xfId="0" applyBorder="1" applyFont="1" applyNumberFormat="1"/>
    <xf borderId="57" fillId="0" fontId="2" numFmtId="0" xfId="0" applyBorder="1" applyFont="1"/>
    <xf borderId="1" fillId="0" fontId="3" numFmtId="37" xfId="0" applyBorder="1" applyFont="1" applyNumberFormat="1"/>
    <xf borderId="51" fillId="0" fontId="3" numFmtId="37" xfId="0" applyBorder="1" applyFont="1" applyNumberFormat="1"/>
    <xf borderId="50" fillId="0" fontId="3" numFmtId="165" xfId="0" applyBorder="1" applyFont="1" applyNumberFormat="1"/>
    <xf borderId="1" fillId="0" fontId="3" numFmtId="165" xfId="0" applyBorder="1" applyFont="1" applyNumberFormat="1"/>
    <xf borderId="51" fillId="0" fontId="3" numFmtId="165" xfId="0" applyBorder="1" applyFont="1" applyNumberFormat="1"/>
    <xf borderId="1" fillId="0" fontId="13" numFmtId="0" xfId="0" applyBorder="1" applyFont="1"/>
    <xf borderId="1" fillId="0" fontId="14" numFmtId="0" xfId="0" applyBorder="1" applyFont="1"/>
    <xf borderId="5" fillId="4" fontId="15" numFmtId="0" xfId="0" applyBorder="1" applyFont="1"/>
    <xf borderId="5" fillId="4" fontId="13" numFmtId="0" xfId="0" applyBorder="1" applyFont="1"/>
    <xf borderId="0" fillId="0" fontId="16" numFmtId="0" xfId="0" applyFont="1"/>
    <xf borderId="0" fillId="0" fontId="1" numFmtId="0" xfId="0" applyAlignment="1" applyFont="1">
      <alignment readingOrder="0"/>
    </xf>
    <xf borderId="0" fillId="0" fontId="13" numFmtId="3" xfId="0" applyAlignment="1" applyFont="1" applyNumberFormat="1">
      <alignment readingOrder="0"/>
    </xf>
    <xf borderId="0" fillId="0" fontId="13" numFmtId="10" xfId="0" applyAlignment="1" applyFont="1" applyNumberFormat="1">
      <alignment horizontal="right"/>
    </xf>
    <xf borderId="3" fillId="2" fontId="13" numFmtId="10" xfId="0" applyAlignment="1" applyBorder="1" applyFont="1" applyNumberFormat="1">
      <alignment horizontal="right" readingOrder="0"/>
    </xf>
    <xf borderId="3" fillId="2" fontId="13" numFmtId="169" xfId="0" applyAlignment="1" applyBorder="1" applyFont="1" applyNumberFormat="1">
      <alignment horizontal="right" readingOrder="0"/>
    </xf>
    <xf borderId="0" fillId="0" fontId="13" numFmtId="169" xfId="0" applyFont="1" applyNumberFormat="1"/>
    <xf borderId="0" fillId="0" fontId="13" numFmtId="168" xfId="0" applyFont="1" applyNumberFormat="1"/>
    <xf borderId="3" fillId="2" fontId="13" numFmtId="0" xfId="0" applyAlignment="1" applyBorder="1" applyFont="1">
      <alignment horizontal="right" readingOrder="0"/>
    </xf>
    <xf borderId="0" fillId="0" fontId="13" numFmtId="3" xfId="0" applyFont="1" applyNumberFormat="1"/>
    <xf borderId="13" fillId="10" fontId="16" numFmtId="0" xfId="0" applyBorder="1" applyFill="1" applyFont="1"/>
    <xf borderId="14" fillId="10" fontId="13" numFmtId="0" xfId="0" applyBorder="1" applyFont="1"/>
    <xf borderId="15" fillId="10" fontId="16" numFmtId="168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red.stlouisfed.org/series/NGDPNSAXDCUSQ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1"/>
      <c r="B1" s="1" t="s"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 outlineLevelCol="1" outlineLevelRow="1"/>
  <cols>
    <col customWidth="1" min="1" max="1" width="3.71"/>
    <col customWidth="1" min="2" max="3" width="9.71"/>
    <col customWidth="1" min="4" max="4" width="11.43"/>
    <col customWidth="1" min="5" max="8" width="9.71" outlineLevel="1"/>
    <col customWidth="1" min="9" max="9" width="10.57" outlineLevel="1"/>
    <col customWidth="1" min="10" max="15" width="9.71" outlineLevel="1"/>
    <col customWidth="1" min="16" max="21" width="9.71"/>
    <col customWidth="1" min="22" max="23" width="10.43"/>
    <col customWidth="1" min="24" max="24" width="12.0"/>
    <col customWidth="1" min="25" max="26" width="9.71"/>
    <col customWidth="1" min="27" max="27" width="10.29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/>
      <c r="B4" s="2" t="s">
        <v>2</v>
      </c>
      <c r="C4" s="5" t="s">
        <v>3</v>
      </c>
      <c r="D4" s="2"/>
      <c r="E4" s="2" t="s">
        <v>4</v>
      </c>
      <c r="F4" s="2"/>
      <c r="G4" s="6">
        <v>33.79</v>
      </c>
      <c r="H4" s="2"/>
      <c r="I4" s="7" t="s">
        <v>5</v>
      </c>
      <c r="J4" s="8">
        <f>G4/G5-1</f>
        <v>-0.5481412142</v>
      </c>
      <c r="K4" s="2"/>
      <c r="L4" s="2"/>
      <c r="M4" s="9"/>
      <c r="N4" s="2"/>
      <c r="O4" s="2"/>
      <c r="P4" s="2"/>
      <c r="Q4" s="7"/>
      <c r="R4" s="10"/>
      <c r="S4" s="2"/>
      <c r="T4" s="2"/>
      <c r="U4" s="2"/>
      <c r="V4" s="2"/>
      <c r="W4" s="2"/>
      <c r="X4" s="2"/>
      <c r="Y4" s="2"/>
      <c r="Z4" s="2"/>
      <c r="AA4" s="2"/>
    </row>
    <row r="5">
      <c r="A5" s="2"/>
      <c r="B5" s="2"/>
      <c r="C5" s="11"/>
      <c r="D5" s="2"/>
      <c r="E5" s="2" t="s">
        <v>6</v>
      </c>
      <c r="F5" s="2"/>
      <c r="G5" s="12">
        <v>74.78</v>
      </c>
      <c r="H5" s="2"/>
      <c r="I5" s="2"/>
      <c r="J5" s="2"/>
      <c r="K5" s="13"/>
      <c r="L5" s="2"/>
      <c r="M5" s="9"/>
      <c r="N5" s="2"/>
      <c r="O5" s="14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4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15" t="s">
        <v>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4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17" t="s">
        <v>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18" t="s">
        <v>9</v>
      </c>
      <c r="C9" s="19"/>
      <c r="D9" s="20">
        <v>0.09105</v>
      </c>
      <c r="E9" s="2"/>
      <c r="F9" s="2"/>
      <c r="G9" s="2"/>
      <c r="H9" s="2"/>
      <c r="I9" s="2"/>
      <c r="J9" s="2"/>
      <c r="K9" s="2"/>
      <c r="L9" s="2"/>
      <c r="M9" s="2"/>
      <c r="N9" s="2"/>
      <c r="O9" s="1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18" t="s">
        <v>10</v>
      </c>
      <c r="C10" s="19"/>
      <c r="D10" s="21">
        <v>0.0365</v>
      </c>
      <c r="E10" s="22" t="s">
        <v>11</v>
      </c>
      <c r="F10" s="2"/>
      <c r="G10" s="2"/>
      <c r="H10" s="2"/>
      <c r="I10" s="7" t="s">
        <v>12</v>
      </c>
      <c r="J10" s="2"/>
      <c r="K10" s="2"/>
      <c r="L10" s="2"/>
      <c r="M10" s="2"/>
      <c r="N10" s="2"/>
      <c r="O10" s="14"/>
      <c r="P10" s="2"/>
      <c r="Q10" s="2"/>
      <c r="R10" s="7" t="s">
        <v>13</v>
      </c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3" t="s">
        <v>14</v>
      </c>
      <c r="C11" s="19"/>
      <c r="D11" s="24">
        <v>0.073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1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7"/>
      <c r="C12" s="2"/>
      <c r="D12" s="25"/>
      <c r="E12" s="2"/>
      <c r="F12" s="2"/>
      <c r="G12" s="7" t="s">
        <v>15</v>
      </c>
      <c r="H12" s="2"/>
      <c r="I12" s="2"/>
      <c r="J12" s="2"/>
      <c r="K12" s="2"/>
      <c r="L12" s="2"/>
      <c r="M12" s="2"/>
      <c r="N12" s="2"/>
      <c r="O12" s="26">
        <v>0.0</v>
      </c>
      <c r="P12" s="27">
        <v>1.0</v>
      </c>
      <c r="Q12" s="27">
        <f t="shared" ref="Q12:U12" si="1">P12+1</f>
        <v>2</v>
      </c>
      <c r="R12" s="27">
        <f t="shared" si="1"/>
        <v>3</v>
      </c>
      <c r="S12" s="27">
        <f t="shared" si="1"/>
        <v>4</v>
      </c>
      <c r="T12" s="27">
        <f t="shared" si="1"/>
        <v>5</v>
      </c>
      <c r="U12" s="27">
        <f t="shared" si="1"/>
        <v>6</v>
      </c>
      <c r="V12" s="2"/>
      <c r="W12" s="2"/>
      <c r="X12" s="2"/>
      <c r="Y12" s="2"/>
      <c r="Z12" s="2"/>
      <c r="AA12" s="2"/>
    </row>
    <row r="13" outlineLevel="1">
      <c r="A13" s="2"/>
      <c r="B13" s="28" t="s">
        <v>16</v>
      </c>
      <c r="C13" s="29"/>
      <c r="D13" s="29"/>
      <c r="E13" s="30">
        <v>2014.0</v>
      </c>
      <c r="F13" s="31">
        <f t="shared" ref="F13:U13" si="2">E13+1</f>
        <v>2015</v>
      </c>
      <c r="G13" s="31">
        <f t="shared" si="2"/>
        <v>2016</v>
      </c>
      <c r="H13" s="31">
        <f t="shared" si="2"/>
        <v>2017</v>
      </c>
      <c r="I13" s="32">
        <f t="shared" si="2"/>
        <v>2018</v>
      </c>
      <c r="J13" s="31">
        <f t="shared" si="2"/>
        <v>2019</v>
      </c>
      <c r="K13" s="31">
        <f t="shared" si="2"/>
        <v>2020</v>
      </c>
      <c r="L13" s="31">
        <f t="shared" si="2"/>
        <v>2021</v>
      </c>
      <c r="M13" s="31">
        <f t="shared" si="2"/>
        <v>2022</v>
      </c>
      <c r="N13" s="31">
        <f t="shared" si="2"/>
        <v>2023</v>
      </c>
      <c r="O13" s="32">
        <f t="shared" si="2"/>
        <v>2024</v>
      </c>
      <c r="P13" s="33">
        <f t="shared" si="2"/>
        <v>2025</v>
      </c>
      <c r="Q13" s="34">
        <f t="shared" si="2"/>
        <v>2026</v>
      </c>
      <c r="R13" s="34">
        <f t="shared" si="2"/>
        <v>2027</v>
      </c>
      <c r="S13" s="34">
        <f t="shared" si="2"/>
        <v>2028</v>
      </c>
      <c r="T13" s="34">
        <f t="shared" si="2"/>
        <v>2029</v>
      </c>
      <c r="U13" s="34">
        <f t="shared" si="2"/>
        <v>2030</v>
      </c>
      <c r="V13" s="2"/>
      <c r="W13" s="2"/>
      <c r="X13" s="2"/>
      <c r="Y13" s="2"/>
      <c r="Z13" s="2"/>
      <c r="AA13" s="2"/>
    </row>
    <row r="14" outlineLevel="1">
      <c r="A14" s="35"/>
      <c r="B14" s="36" t="s">
        <v>17</v>
      </c>
      <c r="C14" s="37"/>
      <c r="D14" s="38"/>
      <c r="E14" s="39">
        <v>3733.5</v>
      </c>
      <c r="F14" s="40">
        <v>3869.2</v>
      </c>
      <c r="G14" s="40">
        <v>3962.0</v>
      </c>
      <c r="H14" s="40">
        <v>4390.5</v>
      </c>
      <c r="I14" s="40">
        <v>4965.1</v>
      </c>
      <c r="J14" s="40">
        <v>5333.7</v>
      </c>
      <c r="K14" s="40">
        <v>5647.3</v>
      </c>
      <c r="L14" s="40">
        <v>6010.9</v>
      </c>
      <c r="M14" s="40">
        <v>6980.6</v>
      </c>
      <c r="N14" s="40">
        <v>7346.7</v>
      </c>
      <c r="O14" s="41">
        <v>7546.0</v>
      </c>
      <c r="P14" s="42">
        <f t="shared" ref="P14:U14" si="3">O14*(1+P15)</f>
        <v>8096.858</v>
      </c>
      <c r="Q14" s="43">
        <f t="shared" si="3"/>
        <v>8687.928634</v>
      </c>
      <c r="R14" s="43">
        <f t="shared" si="3"/>
        <v>9322.147424</v>
      </c>
      <c r="S14" s="43">
        <f t="shared" si="3"/>
        <v>10002.66419</v>
      </c>
      <c r="T14" s="43">
        <f t="shared" si="3"/>
        <v>10732.85867</v>
      </c>
      <c r="U14" s="44">
        <f t="shared" si="3"/>
        <v>11516.35735</v>
      </c>
      <c r="V14" s="45"/>
      <c r="W14" s="46"/>
      <c r="X14" s="46"/>
      <c r="Y14" s="46"/>
      <c r="Z14" s="46"/>
      <c r="AA14" s="46"/>
    </row>
    <row r="15" outlineLevel="1">
      <c r="A15" s="35"/>
      <c r="B15" s="47" t="s">
        <v>18</v>
      </c>
      <c r="C15" s="37"/>
      <c r="D15" s="38"/>
      <c r="E15" s="48"/>
      <c r="F15" s="49">
        <f t="shared" ref="F15:O15" si="4">F14/E14-1</f>
        <v>0.03634659167</v>
      </c>
      <c r="G15" s="49">
        <f t="shared" si="4"/>
        <v>0.02398428616</v>
      </c>
      <c r="H15" s="49">
        <f t="shared" si="4"/>
        <v>0.1081524483</v>
      </c>
      <c r="I15" s="49">
        <f t="shared" si="4"/>
        <v>0.1308734768</v>
      </c>
      <c r="J15" s="49">
        <f t="shared" si="4"/>
        <v>0.07423818251</v>
      </c>
      <c r="K15" s="49">
        <f t="shared" si="4"/>
        <v>0.05879595778</v>
      </c>
      <c r="L15" s="49">
        <f t="shared" si="4"/>
        <v>0.06438475023</v>
      </c>
      <c r="M15" s="49">
        <f t="shared" si="4"/>
        <v>0.1613235955</v>
      </c>
      <c r="N15" s="49">
        <f t="shared" si="4"/>
        <v>0.05244534854</v>
      </c>
      <c r="O15" s="50">
        <f t="shared" si="4"/>
        <v>0.0271278261</v>
      </c>
      <c r="P15" s="51">
        <v>0.073</v>
      </c>
      <c r="Q15" s="51">
        <v>0.073</v>
      </c>
      <c r="R15" s="51">
        <v>0.073</v>
      </c>
      <c r="S15" s="51">
        <v>0.073</v>
      </c>
      <c r="T15" s="51">
        <v>0.073</v>
      </c>
      <c r="U15" s="51">
        <v>0.073</v>
      </c>
      <c r="V15" s="45"/>
      <c r="W15" s="46"/>
      <c r="X15" s="46"/>
      <c r="Y15" s="46"/>
      <c r="Z15" s="46"/>
      <c r="AA15" s="46"/>
    </row>
    <row r="16" outlineLevel="1">
      <c r="A16" s="52"/>
      <c r="B16" s="53"/>
      <c r="C16" s="54"/>
      <c r="D16" s="55"/>
      <c r="E16" s="56"/>
      <c r="F16" s="57"/>
      <c r="G16" s="57"/>
      <c r="H16" s="57"/>
      <c r="I16" s="58"/>
      <c r="J16" s="57"/>
      <c r="K16" s="57"/>
      <c r="L16" s="57"/>
      <c r="M16" s="57"/>
      <c r="N16" s="57"/>
      <c r="O16" s="59"/>
      <c r="P16" s="60"/>
      <c r="Q16" s="61"/>
      <c r="R16" s="61"/>
      <c r="S16" s="61"/>
      <c r="T16" s="61"/>
      <c r="U16" s="62"/>
      <c r="V16" s="45"/>
      <c r="W16" s="46"/>
      <c r="X16" s="46"/>
      <c r="Y16" s="46"/>
      <c r="Z16" s="46"/>
      <c r="AA16" s="46"/>
    </row>
    <row r="17" outlineLevel="1">
      <c r="A17" s="63"/>
      <c r="B17" s="64" t="s">
        <v>19</v>
      </c>
      <c r="C17" s="37"/>
      <c r="D17" s="38"/>
      <c r="E17" s="65">
        <f>1836105/1000</f>
        <v>1836.105</v>
      </c>
      <c r="F17" s="66">
        <f>1920253/1000</f>
        <v>1920.253</v>
      </c>
      <c r="G17" s="66">
        <f>1997259/1000</f>
        <v>1997.259</v>
      </c>
      <c r="H17" s="66">
        <v>2226.9</v>
      </c>
      <c r="I17" s="66">
        <v>2566.2</v>
      </c>
      <c r="J17" s="66">
        <v>2818.3</v>
      </c>
      <c r="K17" s="66">
        <v>3079.5</v>
      </c>
      <c r="L17" s="66">
        <v>3233.7</v>
      </c>
      <c r="M17" s="66">
        <v>3764.8</v>
      </c>
      <c r="N17" s="66">
        <v>3992.2</v>
      </c>
      <c r="O17" s="41">
        <v>4144.1</v>
      </c>
      <c r="P17" s="67">
        <f t="shared" ref="P17:U17" si="5">P14*P18</f>
        <v>4239.675668</v>
      </c>
      <c r="Q17" s="68">
        <f t="shared" si="5"/>
        <v>4549.171991</v>
      </c>
      <c r="R17" s="68">
        <f t="shared" si="5"/>
        <v>4881.261547</v>
      </c>
      <c r="S17" s="68">
        <f t="shared" si="5"/>
        <v>5237.59364</v>
      </c>
      <c r="T17" s="68">
        <f t="shared" si="5"/>
        <v>5619.937975</v>
      </c>
      <c r="U17" s="69">
        <f t="shared" si="5"/>
        <v>6030.193447</v>
      </c>
      <c r="V17" s="45"/>
      <c r="W17" s="46"/>
      <c r="X17" s="46"/>
      <c r="Y17" s="46"/>
      <c r="Z17" s="46"/>
      <c r="AA17" s="46"/>
    </row>
    <row r="18" outlineLevel="1">
      <c r="A18" s="63"/>
      <c r="B18" s="64" t="s">
        <v>20</v>
      </c>
      <c r="C18" s="37"/>
      <c r="D18" s="38"/>
      <c r="E18" s="70">
        <f t="shared" ref="E18:O18" si="6">E17/E14</f>
        <v>0.4917918843</v>
      </c>
      <c r="F18" s="71">
        <f t="shared" si="6"/>
        <v>0.4962919983</v>
      </c>
      <c r="G18" s="71">
        <f t="shared" si="6"/>
        <v>0.5041037355</v>
      </c>
      <c r="H18" s="71">
        <f t="shared" si="6"/>
        <v>0.5072087462</v>
      </c>
      <c r="I18" s="71">
        <f t="shared" si="6"/>
        <v>0.5168475962</v>
      </c>
      <c r="J18" s="71">
        <f t="shared" si="6"/>
        <v>0.5283949228</v>
      </c>
      <c r="K18" s="71">
        <f t="shared" si="6"/>
        <v>0.5453048359</v>
      </c>
      <c r="L18" s="71">
        <f t="shared" si="6"/>
        <v>0.537972683</v>
      </c>
      <c r="M18" s="71">
        <f t="shared" si="6"/>
        <v>0.5393232673</v>
      </c>
      <c r="N18" s="71">
        <f t="shared" si="6"/>
        <v>0.5434004383</v>
      </c>
      <c r="O18" s="72">
        <f t="shared" si="6"/>
        <v>0.5491783726</v>
      </c>
      <c r="P18" s="73">
        <f>AVERAGE(E18:O18)</f>
        <v>0.5236198619</v>
      </c>
      <c r="Q18" s="73">
        <f t="shared" ref="Q18:U18" si="7">AVERAGE($E$18:$O$18)</f>
        <v>0.5236198619</v>
      </c>
      <c r="R18" s="73">
        <f t="shared" si="7"/>
        <v>0.5236198619</v>
      </c>
      <c r="S18" s="73">
        <f t="shared" si="7"/>
        <v>0.5236198619</v>
      </c>
      <c r="T18" s="73">
        <f t="shared" si="7"/>
        <v>0.5236198619</v>
      </c>
      <c r="U18" s="74">
        <f t="shared" si="7"/>
        <v>0.5236198619</v>
      </c>
      <c r="V18" s="45"/>
      <c r="W18" s="46"/>
      <c r="X18" s="46"/>
      <c r="Y18" s="46"/>
      <c r="Z18" s="46"/>
      <c r="AA18" s="46"/>
    </row>
    <row r="19" outlineLevel="1">
      <c r="A19" s="63"/>
      <c r="B19" s="75"/>
      <c r="C19" s="54"/>
      <c r="D19" s="55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7"/>
      <c r="P19" s="78"/>
      <c r="Q19" s="79"/>
      <c r="R19" s="79"/>
      <c r="S19" s="79"/>
      <c r="T19" s="79"/>
      <c r="U19" s="80"/>
      <c r="V19" s="45"/>
      <c r="W19" s="46"/>
      <c r="X19" s="46"/>
      <c r="Y19" s="46"/>
      <c r="Z19" s="46"/>
      <c r="AA19" s="46"/>
    </row>
    <row r="20" outlineLevel="1">
      <c r="A20" s="2"/>
      <c r="B20" s="36" t="s">
        <v>21</v>
      </c>
      <c r="C20" s="37"/>
      <c r="D20" s="38"/>
      <c r="E20" s="39">
        <f>1110776/1000</f>
        <v>1110.776</v>
      </c>
      <c r="F20" s="40">
        <f>1121590/1000</f>
        <v>1121.59</v>
      </c>
      <c r="G20" s="40">
        <f>1169470/1000</f>
        <v>1169.47</v>
      </c>
      <c r="H20" s="40">
        <v>1282.8</v>
      </c>
      <c r="I20" s="40">
        <v>1400.2</v>
      </c>
      <c r="J20" s="40">
        <v>1458.2</v>
      </c>
      <c r="K20" s="40">
        <v>1426.0</v>
      </c>
      <c r="L20" s="40">
        <v>1559.8</v>
      </c>
      <c r="M20" s="40">
        <v>1762.2</v>
      </c>
      <c r="N20" s="40">
        <v>1825.8</v>
      </c>
      <c r="O20" s="81">
        <v>1891.9</v>
      </c>
      <c r="P20" s="42">
        <f t="shared" ref="P20:U20" si="8">P21*P14</f>
        <v>2203.689193</v>
      </c>
      <c r="Q20" s="43">
        <f t="shared" si="8"/>
        <v>2364.558504</v>
      </c>
      <c r="R20" s="43">
        <f t="shared" si="8"/>
        <v>2537.171275</v>
      </c>
      <c r="S20" s="43">
        <f t="shared" si="8"/>
        <v>2722.384778</v>
      </c>
      <c r="T20" s="43">
        <f t="shared" si="8"/>
        <v>2921.118866</v>
      </c>
      <c r="U20" s="44">
        <f t="shared" si="8"/>
        <v>3134.360544</v>
      </c>
      <c r="V20" s="45"/>
      <c r="W20" s="46"/>
      <c r="X20" s="46"/>
      <c r="Y20" s="46"/>
      <c r="Z20" s="46"/>
      <c r="AA20" s="46"/>
    </row>
    <row r="21" outlineLevel="1">
      <c r="A21" s="35"/>
      <c r="B21" s="64" t="s">
        <v>20</v>
      </c>
      <c r="C21" s="37"/>
      <c r="D21" s="38"/>
      <c r="E21" s="70">
        <f t="shared" ref="E21:O21" si="9">E20/E14</f>
        <v>0.2975160037</v>
      </c>
      <c r="F21" s="71">
        <f t="shared" si="9"/>
        <v>0.2898764603</v>
      </c>
      <c r="G21" s="71">
        <f t="shared" si="9"/>
        <v>0.2951716305</v>
      </c>
      <c r="H21" s="71">
        <f t="shared" si="9"/>
        <v>0.2921762897</v>
      </c>
      <c r="I21" s="71">
        <f t="shared" si="9"/>
        <v>0.2820084188</v>
      </c>
      <c r="J21" s="71">
        <f t="shared" si="9"/>
        <v>0.2733937042</v>
      </c>
      <c r="K21" s="71">
        <f t="shared" si="9"/>
        <v>0.252510049</v>
      </c>
      <c r="L21" s="71">
        <f t="shared" si="9"/>
        <v>0.2594952503</v>
      </c>
      <c r="M21" s="71">
        <f t="shared" si="9"/>
        <v>0.2524424835</v>
      </c>
      <c r="N21" s="71">
        <f t="shared" si="9"/>
        <v>0.2485197436</v>
      </c>
      <c r="O21" s="72">
        <f t="shared" si="9"/>
        <v>0.2507156109</v>
      </c>
      <c r="P21" s="73">
        <f t="shared" ref="P21:U21" si="10">AVERAGE($E$21:$O$21)</f>
        <v>0.2721659677</v>
      </c>
      <c r="Q21" s="73">
        <f t="shared" si="10"/>
        <v>0.2721659677</v>
      </c>
      <c r="R21" s="73">
        <f t="shared" si="10"/>
        <v>0.2721659677</v>
      </c>
      <c r="S21" s="73">
        <f t="shared" si="10"/>
        <v>0.2721659677</v>
      </c>
      <c r="T21" s="73">
        <f t="shared" si="10"/>
        <v>0.2721659677</v>
      </c>
      <c r="U21" s="73">
        <f t="shared" si="10"/>
        <v>0.2721659677</v>
      </c>
      <c r="V21" s="45"/>
      <c r="W21" s="46"/>
      <c r="X21" s="46"/>
      <c r="Y21" s="46"/>
      <c r="Z21" s="46"/>
      <c r="AA21" s="46"/>
    </row>
    <row r="22" outlineLevel="1">
      <c r="A22" s="35"/>
      <c r="B22" s="75"/>
      <c r="C22" s="54"/>
      <c r="D22" s="55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3"/>
      <c r="P22" s="60"/>
      <c r="Q22" s="61"/>
      <c r="R22" s="61"/>
      <c r="S22" s="61"/>
      <c r="T22" s="61"/>
      <c r="U22" s="62"/>
      <c r="V22" s="45"/>
      <c r="W22" s="46"/>
      <c r="X22" s="46"/>
      <c r="Y22" s="46"/>
      <c r="Z22" s="46"/>
      <c r="AA22" s="46"/>
    </row>
    <row r="23" outlineLevel="1">
      <c r="A23" s="35"/>
      <c r="B23" s="84" t="s">
        <v>22</v>
      </c>
      <c r="C23" s="37"/>
      <c r="D23" s="38"/>
      <c r="E23" s="39">
        <v>787.6</v>
      </c>
      <c r="F23" s="40">
        <v>828.8</v>
      </c>
      <c r="G23" s="40">
        <v>795.8</v>
      </c>
      <c r="H23" s="40">
        <v>881.8</v>
      </c>
      <c r="I23" s="40">
        <v>999.2</v>
      </c>
      <c r="J23" s="40">
        <v>1057.2</v>
      </c>
      <c r="K23" s="40">
        <v>1141.8</v>
      </c>
      <c r="L23" s="40">
        <v>1217.4</v>
      </c>
      <c r="M23" s="40">
        <v>1453.6</v>
      </c>
      <c r="N23" s="40">
        <v>1528.7</v>
      </c>
      <c r="O23" s="41">
        <v>1510.0</v>
      </c>
      <c r="P23" s="42">
        <f t="shared" ref="P23:U23" si="11">P14-P17-P20-P37</f>
        <v>1470.984678</v>
      </c>
      <c r="Q23" s="42">
        <f t="shared" si="11"/>
        <v>1584.334586</v>
      </c>
      <c r="R23" s="42">
        <f t="shared" si="11"/>
        <v>1706.199549</v>
      </c>
      <c r="S23" s="42">
        <f t="shared" si="11"/>
        <v>1837.210858</v>
      </c>
      <c r="T23" s="42">
        <f t="shared" si="11"/>
        <v>1978.046281</v>
      </c>
      <c r="U23" s="85">
        <f t="shared" si="11"/>
        <v>2129.433465</v>
      </c>
      <c r="V23" s="45"/>
      <c r="W23" s="46"/>
      <c r="X23" s="46"/>
      <c r="Y23" s="46"/>
      <c r="Z23" s="46"/>
      <c r="AA23" s="46"/>
    </row>
    <row r="24" outlineLevel="1">
      <c r="A24" s="35"/>
      <c r="B24" s="47" t="s">
        <v>23</v>
      </c>
      <c r="C24" s="37"/>
      <c r="D24" s="38"/>
      <c r="E24" s="48">
        <f t="shared" ref="E24:U24" si="12">E23/E14</f>
        <v>0.2109548681</v>
      </c>
      <c r="F24" s="49">
        <f t="shared" si="12"/>
        <v>0.2142044867</v>
      </c>
      <c r="G24" s="49">
        <f t="shared" si="12"/>
        <v>0.2008581524</v>
      </c>
      <c r="H24" s="86">
        <f t="shared" si="12"/>
        <v>0.2008427286</v>
      </c>
      <c r="I24" s="87">
        <f t="shared" si="12"/>
        <v>0.2012446879</v>
      </c>
      <c r="J24" s="88">
        <f t="shared" si="12"/>
        <v>0.198211373</v>
      </c>
      <c r="K24" s="49">
        <f t="shared" si="12"/>
        <v>0.202185115</v>
      </c>
      <c r="L24" s="49">
        <f t="shared" si="12"/>
        <v>0.2025320667</v>
      </c>
      <c r="M24" s="49">
        <f t="shared" si="12"/>
        <v>0.2082342492</v>
      </c>
      <c r="N24" s="49">
        <f t="shared" si="12"/>
        <v>0.2080798181</v>
      </c>
      <c r="O24" s="50">
        <f t="shared" si="12"/>
        <v>0.2001060164</v>
      </c>
      <c r="P24" s="88">
        <f t="shared" si="12"/>
        <v>0.181673518</v>
      </c>
      <c r="Q24" s="49">
        <f t="shared" si="12"/>
        <v>0.1823604512</v>
      </c>
      <c r="R24" s="49">
        <f t="shared" si="12"/>
        <v>0.1830264499</v>
      </c>
      <c r="S24" s="49">
        <f t="shared" si="12"/>
        <v>0.1836721521</v>
      </c>
      <c r="T24" s="49">
        <f t="shared" si="12"/>
        <v>0.1842981764</v>
      </c>
      <c r="U24" s="50">
        <f t="shared" si="12"/>
        <v>0.1849051223</v>
      </c>
      <c r="V24" s="45"/>
      <c r="W24" s="46"/>
      <c r="X24" s="46"/>
      <c r="Y24" s="46"/>
      <c r="Z24" s="46"/>
      <c r="AA24" s="46"/>
    </row>
    <row r="25" outlineLevel="1">
      <c r="A25" s="35"/>
      <c r="B25" s="89"/>
      <c r="C25" s="54"/>
      <c r="D25" s="55"/>
      <c r="E25" s="56"/>
      <c r="F25" s="57"/>
      <c r="G25" s="57"/>
      <c r="H25" s="58"/>
      <c r="I25" s="82"/>
      <c r="J25" s="56"/>
      <c r="K25" s="57"/>
      <c r="L25" s="57"/>
      <c r="M25" s="57"/>
      <c r="N25" s="57"/>
      <c r="O25" s="59"/>
      <c r="P25" s="60"/>
      <c r="Q25" s="61"/>
      <c r="R25" s="61"/>
      <c r="S25" s="61"/>
      <c r="T25" s="61"/>
      <c r="U25" s="62"/>
      <c r="V25" s="45"/>
      <c r="W25" s="46"/>
      <c r="X25" s="46"/>
      <c r="Y25" s="46"/>
      <c r="Z25" s="46"/>
      <c r="AA25" s="46"/>
    </row>
    <row r="26" outlineLevel="1">
      <c r="A26" s="35"/>
      <c r="B26" s="90" t="s">
        <v>24</v>
      </c>
      <c r="C26" s="91"/>
      <c r="D26" s="92"/>
      <c r="E26" s="93">
        <f t="shared" ref="E26:U26" si="13">E23*E27</f>
        <v>292.9872</v>
      </c>
      <c r="F26" s="94">
        <f t="shared" si="13"/>
        <v>310.8</v>
      </c>
      <c r="G26" s="94">
        <f t="shared" si="13"/>
        <v>292.8544</v>
      </c>
      <c r="H26" s="95">
        <f t="shared" si="13"/>
        <v>297.1666</v>
      </c>
      <c r="I26" s="96">
        <f t="shared" si="13"/>
        <v>237.8096</v>
      </c>
      <c r="J26" s="97">
        <f t="shared" si="13"/>
        <v>255.8424</v>
      </c>
      <c r="K26" s="94">
        <f t="shared" si="13"/>
        <v>276.3156</v>
      </c>
      <c r="L26" s="94">
        <f t="shared" si="13"/>
        <v>284.8716</v>
      </c>
      <c r="M26" s="94">
        <f t="shared" si="13"/>
        <v>356.132</v>
      </c>
      <c r="N26" s="94">
        <f t="shared" si="13"/>
        <v>368.4167</v>
      </c>
      <c r="O26" s="98">
        <f t="shared" si="13"/>
        <v>357.87</v>
      </c>
      <c r="P26" s="67">
        <f t="shared" si="13"/>
        <v>360.3912461</v>
      </c>
      <c r="Q26" s="68">
        <f t="shared" si="13"/>
        <v>388.1619736</v>
      </c>
      <c r="R26" s="68">
        <f t="shared" si="13"/>
        <v>418.0188895</v>
      </c>
      <c r="S26" s="68">
        <f t="shared" si="13"/>
        <v>450.1166603</v>
      </c>
      <c r="T26" s="68">
        <f t="shared" si="13"/>
        <v>484.6213387</v>
      </c>
      <c r="U26" s="69">
        <f t="shared" si="13"/>
        <v>521.711199</v>
      </c>
      <c r="V26" s="45"/>
      <c r="W26" s="46"/>
      <c r="X26" s="46"/>
      <c r="Y26" s="46"/>
      <c r="Z26" s="46"/>
      <c r="AA26" s="46"/>
    </row>
    <row r="27" outlineLevel="1">
      <c r="A27" s="35"/>
      <c r="B27" s="99" t="s">
        <v>25</v>
      </c>
      <c r="C27" s="91"/>
      <c r="D27" s="92"/>
      <c r="E27" s="100">
        <v>0.372</v>
      </c>
      <c r="F27" s="101">
        <v>0.375</v>
      </c>
      <c r="G27" s="101">
        <v>0.368</v>
      </c>
      <c r="H27" s="102">
        <v>0.337</v>
      </c>
      <c r="I27" s="103">
        <v>0.238</v>
      </c>
      <c r="J27" s="104">
        <v>0.242</v>
      </c>
      <c r="K27" s="101">
        <v>0.242</v>
      </c>
      <c r="L27" s="101">
        <v>0.234</v>
      </c>
      <c r="M27" s="101">
        <v>0.245</v>
      </c>
      <c r="N27" s="101">
        <v>0.241</v>
      </c>
      <c r="O27" s="105">
        <v>0.237</v>
      </c>
      <c r="P27" s="106">
        <v>0.245</v>
      </c>
      <c r="Q27" s="107">
        <v>0.245</v>
      </c>
      <c r="R27" s="107">
        <v>0.245</v>
      </c>
      <c r="S27" s="107">
        <v>0.245</v>
      </c>
      <c r="T27" s="107">
        <v>0.245</v>
      </c>
      <c r="U27" s="108">
        <v>0.245</v>
      </c>
      <c r="V27" s="45"/>
      <c r="W27" s="46"/>
      <c r="X27" s="46"/>
      <c r="Y27" s="46"/>
      <c r="Z27" s="46"/>
      <c r="AA27" s="46"/>
    </row>
    <row r="28" ht="15.75" customHeight="1" outlineLevel="1">
      <c r="A28" s="35"/>
      <c r="B28" s="109"/>
      <c r="C28" s="110"/>
      <c r="D28" s="111"/>
      <c r="E28" s="112"/>
      <c r="F28" s="113"/>
      <c r="G28" s="113"/>
      <c r="H28" s="114"/>
      <c r="I28" s="63"/>
      <c r="J28" s="112"/>
      <c r="K28" s="113"/>
      <c r="L28" s="113"/>
      <c r="M28" s="113"/>
      <c r="N28" s="113"/>
      <c r="O28" s="115"/>
      <c r="P28" s="112"/>
      <c r="Q28" s="113"/>
      <c r="R28" s="113"/>
      <c r="S28" s="113"/>
      <c r="T28" s="113"/>
      <c r="U28" s="113"/>
      <c r="V28" s="46"/>
      <c r="W28" s="46"/>
      <c r="X28" s="46"/>
      <c r="Y28" s="46"/>
      <c r="Z28" s="46"/>
      <c r="AA28" s="46"/>
    </row>
    <row r="29" ht="15.75" customHeight="1" outlineLevel="1">
      <c r="A29" s="63"/>
      <c r="B29" s="116" t="s">
        <v>26</v>
      </c>
      <c r="C29" s="117"/>
      <c r="D29" s="117"/>
      <c r="E29" s="15">
        <f t="shared" ref="E29:U29" si="14">E33</f>
        <v>2014</v>
      </c>
      <c r="F29" s="15">
        <f t="shared" si="14"/>
        <v>2015</v>
      </c>
      <c r="G29" s="15">
        <f t="shared" si="14"/>
        <v>2016</v>
      </c>
      <c r="H29" s="15">
        <f t="shared" si="14"/>
        <v>2017</v>
      </c>
      <c r="I29" s="15">
        <f t="shared" si="14"/>
        <v>2018</v>
      </c>
      <c r="J29" s="15">
        <f t="shared" si="14"/>
        <v>2019</v>
      </c>
      <c r="K29" s="15">
        <f t="shared" si="14"/>
        <v>2020</v>
      </c>
      <c r="L29" s="15">
        <f t="shared" si="14"/>
        <v>2021</v>
      </c>
      <c r="M29" s="15">
        <f t="shared" si="14"/>
        <v>2022</v>
      </c>
      <c r="N29" s="15">
        <f t="shared" si="14"/>
        <v>2023</v>
      </c>
      <c r="O29" s="118">
        <f t="shared" si="14"/>
        <v>2024</v>
      </c>
      <c r="P29" s="33">
        <f t="shared" si="14"/>
        <v>2025</v>
      </c>
      <c r="Q29" s="34">
        <f t="shared" si="14"/>
        <v>2026</v>
      </c>
      <c r="R29" s="34">
        <f t="shared" si="14"/>
        <v>2027</v>
      </c>
      <c r="S29" s="34">
        <f t="shared" si="14"/>
        <v>2028</v>
      </c>
      <c r="T29" s="34">
        <f t="shared" si="14"/>
        <v>2029</v>
      </c>
      <c r="U29" s="34">
        <f t="shared" si="14"/>
        <v>2030</v>
      </c>
      <c r="V29" s="63"/>
      <c r="W29" s="63"/>
      <c r="X29" s="63"/>
      <c r="Y29" s="63"/>
      <c r="Z29" s="63"/>
      <c r="AA29" s="63"/>
    </row>
    <row r="30" ht="15.75" customHeight="1" outlineLevel="1">
      <c r="A30" s="63"/>
      <c r="B30" s="119" t="s">
        <v>27</v>
      </c>
      <c r="C30" s="120"/>
      <c r="D30" s="121"/>
      <c r="E30" s="122">
        <f t="shared" ref="E30:U30" si="15">E23-E26</f>
        <v>494.6128</v>
      </c>
      <c r="F30" s="122">
        <f t="shared" si="15"/>
        <v>518</v>
      </c>
      <c r="G30" s="122">
        <f t="shared" si="15"/>
        <v>502.9456</v>
      </c>
      <c r="H30" s="122">
        <f t="shared" si="15"/>
        <v>584.6334</v>
      </c>
      <c r="I30" s="123">
        <f t="shared" si="15"/>
        <v>761.3904</v>
      </c>
      <c r="J30" s="122">
        <f t="shared" si="15"/>
        <v>801.3576</v>
      </c>
      <c r="K30" s="122">
        <f t="shared" si="15"/>
        <v>865.4844</v>
      </c>
      <c r="L30" s="122">
        <f t="shared" si="15"/>
        <v>932.5284</v>
      </c>
      <c r="M30" s="122">
        <f t="shared" si="15"/>
        <v>1097.468</v>
      </c>
      <c r="N30" s="122">
        <f t="shared" si="15"/>
        <v>1160.2833</v>
      </c>
      <c r="O30" s="124">
        <f t="shared" si="15"/>
        <v>1152.13</v>
      </c>
      <c r="P30" s="125">
        <f t="shared" si="15"/>
        <v>1110.593432</v>
      </c>
      <c r="Q30" s="126">
        <f t="shared" si="15"/>
        <v>1196.172612</v>
      </c>
      <c r="R30" s="126">
        <f t="shared" si="15"/>
        <v>1288.180659</v>
      </c>
      <c r="S30" s="126">
        <f t="shared" si="15"/>
        <v>1387.094198</v>
      </c>
      <c r="T30" s="126">
        <f t="shared" si="15"/>
        <v>1493.424942</v>
      </c>
      <c r="U30" s="127">
        <f t="shared" si="15"/>
        <v>1607.722266</v>
      </c>
      <c r="V30" s="63"/>
      <c r="W30" s="63"/>
      <c r="X30" s="63"/>
      <c r="Y30" s="63"/>
      <c r="Z30" s="63"/>
      <c r="AA30" s="63"/>
    </row>
    <row r="31" ht="15.75" customHeight="1" outlineLevel="1">
      <c r="A31" s="63"/>
      <c r="B31" s="128"/>
      <c r="C31" s="54"/>
      <c r="D31" s="129"/>
      <c r="E31" s="45"/>
      <c r="F31" s="46"/>
      <c r="G31" s="46"/>
      <c r="H31" s="35"/>
      <c r="I31" s="63"/>
      <c r="J31" s="130"/>
      <c r="K31" s="131"/>
      <c r="L31" s="131"/>
      <c r="M31" s="131"/>
      <c r="N31" s="131"/>
      <c r="O31" s="132"/>
      <c r="P31" s="112"/>
      <c r="Q31" s="113"/>
      <c r="R31" s="113"/>
      <c r="S31" s="113"/>
      <c r="T31" s="113"/>
      <c r="U31" s="113"/>
      <c r="V31" s="63"/>
      <c r="W31" s="63"/>
      <c r="X31" s="63"/>
      <c r="Y31" s="63"/>
      <c r="Z31" s="63"/>
      <c r="AA31" s="63"/>
    </row>
    <row r="32" ht="15.75" customHeight="1" outlineLevel="1">
      <c r="A32" s="63"/>
      <c r="B32" s="128"/>
      <c r="C32" s="54"/>
      <c r="D32" s="129"/>
      <c r="E32" s="45"/>
      <c r="F32" s="46"/>
      <c r="G32" s="46"/>
      <c r="H32" s="35"/>
      <c r="I32" s="63"/>
      <c r="J32" s="130"/>
      <c r="K32" s="131"/>
      <c r="L32" s="131"/>
      <c r="M32" s="131"/>
      <c r="N32" s="131"/>
      <c r="O32" s="132"/>
      <c r="P32" s="45"/>
      <c r="Q32" s="46"/>
      <c r="R32" s="46"/>
      <c r="S32" s="46"/>
      <c r="T32" s="46"/>
      <c r="U32" s="46"/>
      <c r="V32" s="63"/>
      <c r="W32" s="63"/>
      <c r="X32" s="63"/>
      <c r="Y32" s="63"/>
      <c r="Z32" s="63"/>
      <c r="AA32" s="63"/>
    </row>
    <row r="33" ht="15.75" customHeight="1" outlineLevel="1">
      <c r="A33" s="2"/>
      <c r="B33" s="28" t="s">
        <v>28</v>
      </c>
      <c r="C33" s="29"/>
      <c r="D33" s="29"/>
      <c r="E33" s="133">
        <v>2014.0</v>
      </c>
      <c r="F33" s="15">
        <f t="shared" ref="F33:U33" si="16">E33+1</f>
        <v>2015</v>
      </c>
      <c r="G33" s="15">
        <f t="shared" si="16"/>
        <v>2016</v>
      </c>
      <c r="H33" s="134">
        <f t="shared" si="16"/>
        <v>2017</v>
      </c>
      <c r="I33" s="135">
        <f t="shared" si="16"/>
        <v>2018</v>
      </c>
      <c r="J33" s="136">
        <f t="shared" si="16"/>
        <v>2019</v>
      </c>
      <c r="K33" s="31">
        <f t="shared" si="16"/>
        <v>2020</v>
      </c>
      <c r="L33" s="31">
        <f t="shared" si="16"/>
        <v>2021</v>
      </c>
      <c r="M33" s="31">
        <f t="shared" si="16"/>
        <v>2022</v>
      </c>
      <c r="N33" s="31">
        <f t="shared" si="16"/>
        <v>2023</v>
      </c>
      <c r="O33" s="118">
        <f t="shared" si="16"/>
        <v>2024</v>
      </c>
      <c r="P33" s="137">
        <f t="shared" si="16"/>
        <v>2025</v>
      </c>
      <c r="Q33" s="138">
        <f t="shared" si="16"/>
        <v>2026</v>
      </c>
      <c r="R33" s="138">
        <f t="shared" si="16"/>
        <v>2027</v>
      </c>
      <c r="S33" s="138">
        <f t="shared" si="16"/>
        <v>2028</v>
      </c>
      <c r="T33" s="138">
        <f t="shared" si="16"/>
        <v>2029</v>
      </c>
      <c r="U33" s="138">
        <f t="shared" si="16"/>
        <v>2030</v>
      </c>
      <c r="V33" s="2"/>
      <c r="W33" s="2"/>
      <c r="X33" s="2"/>
      <c r="Y33" s="2"/>
      <c r="Z33" s="2"/>
      <c r="AA33" s="2"/>
    </row>
    <row r="34" ht="15.75" customHeight="1" outlineLevel="1">
      <c r="A34" s="63"/>
      <c r="B34" s="139"/>
      <c r="C34" s="140"/>
      <c r="D34" s="141"/>
      <c r="E34" s="142"/>
      <c r="F34" s="143"/>
      <c r="G34" s="143"/>
      <c r="H34" s="144"/>
      <c r="I34" s="145"/>
      <c r="J34" s="146"/>
      <c r="K34" s="146"/>
      <c r="L34" s="146"/>
      <c r="M34" s="146"/>
      <c r="N34" s="146"/>
      <c r="O34" s="147"/>
      <c r="P34" s="148"/>
      <c r="Q34" s="148"/>
      <c r="R34" s="148"/>
      <c r="S34" s="148"/>
      <c r="T34" s="148"/>
      <c r="U34" s="148"/>
      <c r="V34" s="63"/>
      <c r="W34" s="63"/>
      <c r="X34" s="63"/>
      <c r="Y34" s="63"/>
      <c r="Z34" s="63"/>
      <c r="AA34" s="63"/>
    </row>
    <row r="35" ht="15.75" customHeight="1" outlineLevel="1">
      <c r="A35" s="2"/>
      <c r="B35" s="149" t="s">
        <v>29</v>
      </c>
      <c r="C35" s="150"/>
      <c r="D35" s="151"/>
      <c r="E35" s="152"/>
      <c r="F35" s="153">
        <v>763.889</v>
      </c>
      <c r="G35" s="154">
        <v>822.52</v>
      </c>
      <c r="H35" s="155">
        <f t="shared" ref="H35:U35" si="17">G43</f>
        <v>901.414</v>
      </c>
      <c r="I35" s="155">
        <f t="shared" si="17"/>
        <v>886.514</v>
      </c>
      <c r="J35" s="155">
        <f t="shared" si="17"/>
        <v>915.114</v>
      </c>
      <c r="K35" s="155">
        <f t="shared" si="17"/>
        <v>1006.214</v>
      </c>
      <c r="L35" s="155">
        <f t="shared" si="17"/>
        <v>1001.314</v>
      </c>
      <c r="M35" s="155">
        <f t="shared" si="17"/>
        <v>978.814</v>
      </c>
      <c r="N35" s="155">
        <f t="shared" si="17"/>
        <v>964.614</v>
      </c>
      <c r="O35" s="156">
        <f t="shared" si="17"/>
        <v>958.614</v>
      </c>
      <c r="P35" s="155">
        <f t="shared" si="17"/>
        <v>997.314</v>
      </c>
      <c r="Q35" s="155">
        <f t="shared" si="17"/>
        <v>1037.505754</v>
      </c>
      <c r="R35" s="155">
        <f t="shared" si="17"/>
        <v>1079.317236</v>
      </c>
      <c r="S35" s="155">
        <f t="shared" si="17"/>
        <v>1122.813721</v>
      </c>
      <c r="T35" s="155">
        <f t="shared" si="17"/>
        <v>1168.063114</v>
      </c>
      <c r="U35" s="156">
        <f t="shared" si="17"/>
        <v>1215.136057</v>
      </c>
      <c r="V35" s="2"/>
      <c r="W35" s="46"/>
      <c r="X35" s="46"/>
      <c r="Y35" s="46"/>
      <c r="Z35" s="46"/>
      <c r="AA35" s="46"/>
    </row>
    <row r="36" ht="15.75" customHeight="1" outlineLevel="1">
      <c r="A36" s="2"/>
      <c r="B36" s="157"/>
      <c r="C36" s="158"/>
      <c r="D36" s="159"/>
      <c r="E36" s="160"/>
      <c r="F36" s="161"/>
      <c r="G36" s="162"/>
      <c r="H36" s="162"/>
      <c r="I36" s="162"/>
      <c r="J36" s="162"/>
      <c r="K36" s="162"/>
      <c r="L36" s="162"/>
      <c r="M36" s="162"/>
      <c r="N36" s="162"/>
      <c r="O36" s="163"/>
      <c r="P36" s="162"/>
      <c r="Q36" s="162"/>
      <c r="R36" s="162"/>
      <c r="S36" s="162"/>
      <c r="T36" s="162"/>
      <c r="U36" s="163"/>
      <c r="V36" s="2"/>
      <c r="W36" s="46"/>
      <c r="X36" s="46"/>
      <c r="Y36" s="46"/>
      <c r="Z36" s="46"/>
      <c r="AA36" s="46"/>
    </row>
    <row r="37" ht="15.75" customHeight="1" outlineLevel="1">
      <c r="A37" s="2"/>
      <c r="B37" s="164" t="s">
        <v>30</v>
      </c>
      <c r="C37" s="165"/>
      <c r="D37" s="166"/>
      <c r="E37" s="167">
        <f>72.145+0.527</f>
        <v>72.672</v>
      </c>
      <c r="F37" s="168">
        <f>86.071+0.527</f>
        <v>86.598</v>
      </c>
      <c r="G37" s="169">
        <f>103.525+0.527</f>
        <v>104.052</v>
      </c>
      <c r="H37" s="170">
        <f>123.6+3.8</f>
        <v>127.4</v>
      </c>
      <c r="I37" s="171">
        <f>134.1+4.1</f>
        <v>138.2</v>
      </c>
      <c r="J37" s="171">
        <f>144.6+4.1</f>
        <v>148.7</v>
      </c>
      <c r="K37" s="171">
        <f>153.3+9.1</f>
        <v>162.4</v>
      </c>
      <c r="L37" s="171">
        <f>159.9+10.8</f>
        <v>170.7</v>
      </c>
      <c r="M37" s="171">
        <f>165.9+10.7</f>
        <v>176.6</v>
      </c>
      <c r="N37" s="171">
        <f>166.6</f>
        <v>166.6</v>
      </c>
      <c r="O37" s="172">
        <f>164.7+10.7</f>
        <v>175.4</v>
      </c>
      <c r="P37" s="173">
        <f t="shared" ref="P37:U37" si="18">P38*P35</f>
        <v>182.508462</v>
      </c>
      <c r="Q37" s="173">
        <f t="shared" si="18"/>
        <v>189.863553</v>
      </c>
      <c r="R37" s="173">
        <f t="shared" si="18"/>
        <v>197.5150542</v>
      </c>
      <c r="S37" s="173">
        <f t="shared" si="18"/>
        <v>205.4749109</v>
      </c>
      <c r="T37" s="173">
        <f t="shared" si="18"/>
        <v>213.7555498</v>
      </c>
      <c r="U37" s="174">
        <f t="shared" si="18"/>
        <v>222.3698985</v>
      </c>
      <c r="V37" s="2"/>
      <c r="W37" s="46"/>
      <c r="X37" s="46"/>
      <c r="Y37" s="46"/>
      <c r="Z37" s="46"/>
      <c r="AA37" s="46"/>
    </row>
    <row r="38" ht="15.75" customHeight="1" outlineLevel="1">
      <c r="A38" s="2"/>
      <c r="B38" s="157" t="s">
        <v>31</v>
      </c>
      <c r="C38" s="158"/>
      <c r="D38" s="159"/>
      <c r="E38" s="160"/>
      <c r="F38" s="145"/>
      <c r="G38" s="145"/>
      <c r="H38" s="145"/>
      <c r="I38" s="145"/>
      <c r="J38" s="146"/>
      <c r="K38" s="146"/>
      <c r="L38" s="146"/>
      <c r="M38" s="146"/>
      <c r="N38" s="146"/>
      <c r="O38" s="175">
        <f>O37/O35</f>
        <v>0.1829724999</v>
      </c>
      <c r="P38" s="176">
        <v>0.183</v>
      </c>
      <c r="Q38" s="176">
        <v>0.183</v>
      </c>
      <c r="R38" s="176">
        <v>0.183</v>
      </c>
      <c r="S38" s="176">
        <v>0.183</v>
      </c>
      <c r="T38" s="176">
        <v>0.183</v>
      </c>
      <c r="U38" s="177">
        <v>0.183</v>
      </c>
      <c r="V38" s="2"/>
      <c r="W38" s="46"/>
      <c r="X38" s="46"/>
      <c r="Y38" s="46"/>
      <c r="Z38" s="46"/>
      <c r="AA38" s="46"/>
    </row>
    <row r="39" ht="15.75" customHeight="1" outlineLevel="1">
      <c r="A39" s="2"/>
      <c r="B39" s="157"/>
      <c r="C39" s="158"/>
      <c r="D39" s="159"/>
      <c r="E39" s="160"/>
      <c r="F39" s="145"/>
      <c r="G39" s="145"/>
      <c r="H39" s="145"/>
      <c r="I39" s="145"/>
      <c r="J39" s="146"/>
      <c r="K39" s="146"/>
      <c r="L39" s="146"/>
      <c r="M39" s="146"/>
      <c r="N39" s="146"/>
      <c r="O39" s="175"/>
      <c r="P39" s="176"/>
      <c r="Q39" s="176"/>
      <c r="R39" s="176"/>
      <c r="S39" s="176"/>
      <c r="T39" s="176"/>
      <c r="U39" s="177"/>
      <c r="V39" s="2"/>
      <c r="W39" s="46"/>
      <c r="X39" s="46"/>
      <c r="Y39" s="46"/>
      <c r="Z39" s="46"/>
      <c r="AA39" s="46"/>
    </row>
    <row r="40" ht="15.75" customHeight="1" outlineLevel="1">
      <c r="A40" s="2"/>
      <c r="B40" s="164" t="s">
        <v>32</v>
      </c>
      <c r="C40" s="165"/>
      <c r="D40" s="166"/>
      <c r="E40" s="178">
        <v>183.7</v>
      </c>
      <c r="F40" s="179">
        <v>145.227</v>
      </c>
      <c r="G40" s="179">
        <v>182.946</v>
      </c>
      <c r="H40" s="179">
        <v>112.5</v>
      </c>
      <c r="I40" s="179">
        <v>166.8</v>
      </c>
      <c r="J40" s="179">
        <v>239.8</v>
      </c>
      <c r="K40" s="179">
        <v>157.5</v>
      </c>
      <c r="L40" s="179">
        <v>148.2</v>
      </c>
      <c r="M40" s="179">
        <v>162.4</v>
      </c>
      <c r="N40" s="179">
        <v>160.6</v>
      </c>
      <c r="O40" s="180">
        <v>214.1</v>
      </c>
      <c r="P40" s="181">
        <f t="shared" ref="P40:U40" si="19">P35*P41</f>
        <v>222.7002162</v>
      </c>
      <c r="Q40" s="181">
        <f t="shared" si="19"/>
        <v>231.6750349</v>
      </c>
      <c r="R40" s="181">
        <f t="shared" si="19"/>
        <v>241.0115388</v>
      </c>
      <c r="S40" s="181">
        <f t="shared" si="19"/>
        <v>250.7243038</v>
      </c>
      <c r="T40" s="181">
        <f t="shared" si="19"/>
        <v>260.8284933</v>
      </c>
      <c r="U40" s="182">
        <f t="shared" si="19"/>
        <v>271.3398816</v>
      </c>
      <c r="V40" s="2"/>
      <c r="W40" s="46"/>
      <c r="X40" s="46"/>
      <c r="Y40" s="46"/>
      <c r="Z40" s="46"/>
      <c r="AA40" s="46"/>
    </row>
    <row r="41" ht="15.75" customHeight="1" outlineLevel="1">
      <c r="A41" s="2"/>
      <c r="B41" s="157" t="s">
        <v>31</v>
      </c>
      <c r="C41" s="158"/>
      <c r="D41" s="159"/>
      <c r="E41" s="160"/>
      <c r="F41" s="183"/>
      <c r="G41" s="183"/>
      <c r="H41" s="183"/>
      <c r="I41" s="183"/>
      <c r="J41" s="183"/>
      <c r="K41" s="183"/>
      <c r="L41" s="183"/>
      <c r="M41" s="183"/>
      <c r="N41" s="183"/>
      <c r="O41" s="184">
        <f>O40/O35</f>
        <v>0.2233432852</v>
      </c>
      <c r="P41" s="176">
        <v>0.2233</v>
      </c>
      <c r="Q41" s="176">
        <v>0.2233</v>
      </c>
      <c r="R41" s="176">
        <v>0.2233</v>
      </c>
      <c r="S41" s="176">
        <v>0.2233</v>
      </c>
      <c r="T41" s="176">
        <v>0.2233</v>
      </c>
      <c r="U41" s="177">
        <v>0.2233</v>
      </c>
      <c r="V41" s="2"/>
      <c r="W41" s="46"/>
      <c r="X41" s="46"/>
      <c r="Y41" s="46"/>
      <c r="Z41" s="46"/>
      <c r="AA41" s="46"/>
    </row>
    <row r="42" ht="15.75" customHeight="1" outlineLevel="1">
      <c r="A42" s="2"/>
      <c r="B42" s="157"/>
      <c r="C42" s="158"/>
      <c r="D42" s="159"/>
      <c r="E42" s="160"/>
      <c r="F42" s="183"/>
      <c r="G42" s="183"/>
      <c r="H42" s="183"/>
      <c r="I42" s="183"/>
      <c r="J42" s="183"/>
      <c r="K42" s="183"/>
      <c r="L42" s="183"/>
      <c r="M42" s="183"/>
      <c r="N42" s="183"/>
      <c r="O42" s="184"/>
      <c r="P42" s="176"/>
      <c r="Q42" s="176"/>
      <c r="R42" s="176"/>
      <c r="S42" s="176"/>
      <c r="T42" s="176"/>
      <c r="U42" s="177"/>
      <c r="V42" s="2"/>
      <c r="W42" s="46"/>
      <c r="X42" s="46"/>
      <c r="Y42" s="46"/>
      <c r="Z42" s="46"/>
      <c r="AA42" s="46"/>
    </row>
    <row r="43" ht="15.75" customHeight="1" outlineLevel="1">
      <c r="A43" s="2"/>
      <c r="B43" s="149" t="s">
        <v>33</v>
      </c>
      <c r="C43" s="150"/>
      <c r="D43" s="151"/>
      <c r="E43" s="154">
        <v>763.9</v>
      </c>
      <c r="F43" s="185">
        <f t="shared" ref="F43:U43" si="20">F35-F37+F40</f>
        <v>822.518</v>
      </c>
      <c r="G43" s="186">
        <f t="shared" si="20"/>
        <v>901.414</v>
      </c>
      <c r="H43" s="186">
        <f t="shared" si="20"/>
        <v>886.514</v>
      </c>
      <c r="I43" s="186">
        <f t="shared" si="20"/>
        <v>915.114</v>
      </c>
      <c r="J43" s="186">
        <f t="shared" si="20"/>
        <v>1006.214</v>
      </c>
      <c r="K43" s="186">
        <f t="shared" si="20"/>
        <v>1001.314</v>
      </c>
      <c r="L43" s="186">
        <f t="shared" si="20"/>
        <v>978.814</v>
      </c>
      <c r="M43" s="186">
        <f t="shared" si="20"/>
        <v>964.614</v>
      </c>
      <c r="N43" s="186">
        <f t="shared" si="20"/>
        <v>958.614</v>
      </c>
      <c r="O43" s="187">
        <f t="shared" si="20"/>
        <v>997.314</v>
      </c>
      <c r="P43" s="186">
        <f t="shared" si="20"/>
        <v>1037.505754</v>
      </c>
      <c r="Q43" s="186">
        <f t="shared" si="20"/>
        <v>1079.317236</v>
      </c>
      <c r="R43" s="186">
        <f t="shared" si="20"/>
        <v>1122.813721</v>
      </c>
      <c r="S43" s="186">
        <f t="shared" si="20"/>
        <v>1168.063114</v>
      </c>
      <c r="T43" s="186">
        <f t="shared" si="20"/>
        <v>1215.136057</v>
      </c>
      <c r="U43" s="187">
        <f t="shared" si="20"/>
        <v>1264.10604</v>
      </c>
      <c r="V43" s="2"/>
      <c r="W43" s="46"/>
      <c r="X43" s="46"/>
      <c r="Y43" s="46"/>
      <c r="Z43" s="46"/>
      <c r="AA43" s="46"/>
    </row>
    <row r="44" ht="15.75" customHeight="1" outlineLevel="1">
      <c r="A44" s="2"/>
      <c r="B44" s="188"/>
      <c r="C44" s="189"/>
      <c r="D44" s="189"/>
      <c r="E44" s="190"/>
      <c r="F44" s="191"/>
      <c r="G44" s="191"/>
      <c r="H44" s="191"/>
      <c r="I44" s="191"/>
      <c r="J44" s="191"/>
      <c r="K44" s="191"/>
      <c r="L44" s="191"/>
      <c r="M44" s="191"/>
      <c r="N44" s="191"/>
      <c r="O44" s="192"/>
      <c r="P44" s="191"/>
      <c r="Q44" s="191"/>
      <c r="R44" s="191"/>
      <c r="S44" s="191"/>
      <c r="T44" s="191"/>
      <c r="U44" s="191"/>
      <c r="V44" s="2"/>
      <c r="W44" s="46"/>
      <c r="X44" s="46"/>
      <c r="Y44" s="46"/>
      <c r="Z44" s="46"/>
      <c r="AA44" s="46"/>
    </row>
    <row r="45" ht="15.75" customHeight="1" outlineLevel="1">
      <c r="A45" s="35"/>
      <c r="B45" s="2"/>
      <c r="C45" s="2"/>
      <c r="D45" s="2"/>
      <c r="E45" s="193"/>
      <c r="F45" s="193"/>
      <c r="G45" s="193"/>
      <c r="H45" s="193"/>
      <c r="I45" s="193"/>
      <c r="J45" s="193"/>
      <c r="K45" s="193"/>
      <c r="L45" s="193"/>
      <c r="M45" s="193"/>
      <c r="N45" s="193"/>
      <c r="O45" s="194"/>
      <c r="P45" s="193"/>
      <c r="Q45" s="193"/>
      <c r="R45" s="193"/>
      <c r="S45" s="193"/>
      <c r="T45" s="193"/>
      <c r="U45" s="193"/>
      <c r="V45" s="46"/>
      <c r="W45" s="46"/>
      <c r="X45" s="46"/>
      <c r="Y45" s="46"/>
      <c r="Z45" s="46"/>
      <c r="AA45" s="46"/>
    </row>
    <row r="46" ht="15.75" customHeight="1" outlineLevel="1">
      <c r="A46" s="2"/>
      <c r="B46" s="195" t="s">
        <v>34</v>
      </c>
      <c r="C46" s="196"/>
      <c r="D46" s="196"/>
      <c r="E46" s="197">
        <v>114.496</v>
      </c>
      <c r="F46" s="197">
        <v>129.019</v>
      </c>
      <c r="G46" s="197">
        <v>112.735</v>
      </c>
      <c r="H46" s="198">
        <v>116.9</v>
      </c>
      <c r="I46" s="197">
        <v>167.2</v>
      </c>
      <c r="J46" s="197">
        <v>174.9</v>
      </c>
      <c r="K46" s="197">
        <v>245.7</v>
      </c>
      <c r="L46" s="197">
        <v>236.2</v>
      </c>
      <c r="M46" s="197">
        <v>230.1</v>
      </c>
      <c r="N46" s="197">
        <v>221.3</v>
      </c>
      <c r="O46" s="197">
        <v>255.8</v>
      </c>
      <c r="P46" s="199">
        <f t="shared" ref="P46:U46" si="21">0.03*P14</f>
        <v>242.90574</v>
      </c>
      <c r="Q46" s="200">
        <f t="shared" si="21"/>
        <v>260.637859</v>
      </c>
      <c r="R46" s="200">
        <f t="shared" si="21"/>
        <v>279.6644227</v>
      </c>
      <c r="S46" s="200">
        <f t="shared" si="21"/>
        <v>300.0799256</v>
      </c>
      <c r="T46" s="200">
        <f t="shared" si="21"/>
        <v>321.9857602</v>
      </c>
      <c r="U46" s="201">
        <f t="shared" si="21"/>
        <v>345.4907206</v>
      </c>
      <c r="V46" s="45"/>
      <c r="W46" s="46"/>
      <c r="X46" s="46"/>
      <c r="Y46" s="46"/>
      <c r="Z46" s="46"/>
      <c r="AA46" s="46"/>
    </row>
    <row r="47">
      <c r="A47" s="2"/>
      <c r="B47" s="202" t="s">
        <v>23</v>
      </c>
      <c r="C47" s="203"/>
      <c r="D47" s="203"/>
      <c r="E47" s="204">
        <f t="shared" ref="E47:O47" si="22">E46/E14</f>
        <v>0.03066720236</v>
      </c>
      <c r="F47" s="204">
        <f t="shared" si="22"/>
        <v>0.03334513595</v>
      </c>
      <c r="G47" s="204">
        <f t="shared" si="22"/>
        <v>0.0284540636</v>
      </c>
      <c r="H47" s="204">
        <f t="shared" si="22"/>
        <v>0.02662566906</v>
      </c>
      <c r="I47" s="204">
        <f t="shared" si="22"/>
        <v>0.03367505186</v>
      </c>
      <c r="J47" s="204">
        <f t="shared" si="22"/>
        <v>0.03279149558</v>
      </c>
      <c r="K47" s="204">
        <f t="shared" si="22"/>
        <v>0.04350751687</v>
      </c>
      <c r="L47" s="205">
        <f t="shared" si="22"/>
        <v>0.03929528024</v>
      </c>
      <c r="M47" s="205">
        <f t="shared" si="22"/>
        <v>0.03296278257</v>
      </c>
      <c r="N47" s="205">
        <f t="shared" si="22"/>
        <v>0.03012236787</v>
      </c>
      <c r="O47" s="205">
        <f t="shared" si="22"/>
        <v>0.03389875431</v>
      </c>
      <c r="P47" s="206"/>
      <c r="Q47" s="207"/>
      <c r="R47" s="207"/>
      <c r="S47" s="207"/>
      <c r="T47" s="207"/>
      <c r="U47" s="208"/>
      <c r="V47" s="2"/>
      <c r="W47" s="2"/>
      <c r="X47" s="2"/>
      <c r="Y47" s="2"/>
      <c r="Z47" s="2"/>
      <c r="AA47" s="2"/>
    </row>
    <row r="48" ht="15.75" customHeight="1">
      <c r="A48" s="2"/>
      <c r="B48" s="209" t="s">
        <v>35</v>
      </c>
      <c r="C48" s="54"/>
      <c r="D48" s="55"/>
      <c r="E48" s="210">
        <v>54.0</v>
      </c>
      <c r="F48" s="211"/>
      <c r="G48" s="211"/>
      <c r="H48" s="211"/>
      <c r="I48" s="211"/>
      <c r="J48" s="211"/>
      <c r="K48" s="211"/>
      <c r="L48" s="211"/>
      <c r="M48" s="211"/>
      <c r="N48" s="211"/>
      <c r="O48" s="83"/>
      <c r="P48" s="212"/>
      <c r="Q48" s="212"/>
      <c r="R48" s="212"/>
      <c r="S48" s="212"/>
      <c r="T48" s="212"/>
      <c r="U48" s="213"/>
      <c r="V48" s="2"/>
      <c r="W48" s="2"/>
      <c r="X48" s="2"/>
      <c r="Y48" s="2"/>
      <c r="Z48" s="2"/>
      <c r="AA48" s="2"/>
    </row>
    <row r="49" ht="15.75" customHeight="1">
      <c r="A49" s="2"/>
      <c r="B49" s="209" t="s">
        <v>36</v>
      </c>
      <c r="C49" s="54"/>
      <c r="D49" s="55"/>
      <c r="E49" s="210">
        <v>25.0</v>
      </c>
      <c r="F49" s="211"/>
      <c r="G49" s="211"/>
      <c r="H49" s="211"/>
      <c r="I49" s="211"/>
      <c r="J49" s="211"/>
      <c r="K49" s="211"/>
      <c r="L49" s="211"/>
      <c r="M49" s="211"/>
      <c r="N49" s="211"/>
      <c r="O49" s="83"/>
      <c r="P49" s="214"/>
      <c r="Q49" s="214"/>
      <c r="R49" s="214"/>
      <c r="S49" s="214"/>
      <c r="T49" s="214"/>
      <c r="U49" s="215"/>
      <c r="V49" s="216"/>
      <c r="W49" s="217"/>
      <c r="X49" s="217"/>
      <c r="Y49" s="217"/>
      <c r="Z49" s="217"/>
      <c r="AA49" s="217"/>
    </row>
    <row r="50" ht="15.75" customHeight="1">
      <c r="A50" s="2"/>
      <c r="B50" s="209" t="s">
        <v>37</v>
      </c>
      <c r="C50" s="54"/>
      <c r="D50" s="55"/>
      <c r="E50" s="210">
        <v>150.0</v>
      </c>
      <c r="F50" s="211"/>
      <c r="G50" s="211"/>
      <c r="H50" s="211"/>
      <c r="I50" s="211"/>
      <c r="J50" s="211"/>
      <c r="K50" s="211"/>
      <c r="L50" s="211"/>
      <c r="M50" s="211"/>
      <c r="N50" s="211"/>
      <c r="O50" s="83"/>
      <c r="P50" s="218"/>
      <c r="Q50" s="218"/>
      <c r="R50" s="218"/>
      <c r="S50" s="218"/>
      <c r="T50" s="218"/>
      <c r="U50" s="219"/>
      <c r="V50" s="220"/>
      <c r="W50" s="220"/>
      <c r="X50" s="220"/>
      <c r="Y50" s="220"/>
      <c r="Z50" s="220"/>
      <c r="AA50" s="220"/>
    </row>
    <row r="51" ht="15.75" customHeight="1">
      <c r="A51" s="2"/>
      <c r="B51" s="221" t="s">
        <v>38</v>
      </c>
      <c r="C51" s="222"/>
      <c r="D51" s="223"/>
      <c r="E51" s="224"/>
      <c r="F51" s="224"/>
      <c r="G51" s="224"/>
      <c r="H51" s="224"/>
      <c r="I51" s="224"/>
      <c r="J51" s="224"/>
      <c r="K51" s="224"/>
      <c r="L51" s="224"/>
      <c r="M51" s="224"/>
      <c r="N51" s="225"/>
      <c r="O51" s="226"/>
      <c r="P51" s="227">
        <f t="shared" ref="P51:U51" si="23">((P17+P20)/365)*$E$49</f>
        <v>441.3263603</v>
      </c>
      <c r="Q51" s="227">
        <f t="shared" si="23"/>
        <v>473.5431846</v>
      </c>
      <c r="R51" s="227">
        <f t="shared" si="23"/>
        <v>508.1118371</v>
      </c>
      <c r="S51" s="227">
        <f t="shared" si="23"/>
        <v>545.2040012</v>
      </c>
      <c r="T51" s="227">
        <f t="shared" si="23"/>
        <v>585.0038933</v>
      </c>
      <c r="U51" s="228">
        <f t="shared" si="23"/>
        <v>627.7091775</v>
      </c>
      <c r="V51" s="220"/>
      <c r="W51" s="220"/>
      <c r="X51" s="220"/>
      <c r="Y51" s="220"/>
      <c r="Z51" s="220"/>
      <c r="AA51" s="220"/>
    </row>
    <row r="52" ht="15.75" customHeight="1">
      <c r="A52" s="2"/>
      <c r="B52" s="221" t="s">
        <v>39</v>
      </c>
      <c r="C52" s="222"/>
      <c r="D52" s="223"/>
      <c r="E52" s="224"/>
      <c r="F52" s="224"/>
      <c r="G52" s="224"/>
      <c r="H52" s="224"/>
      <c r="I52" s="224"/>
      <c r="J52" s="224"/>
      <c r="K52" s="224"/>
      <c r="L52" s="224"/>
      <c r="M52" s="224"/>
      <c r="N52" s="224"/>
      <c r="O52" s="226"/>
      <c r="P52" s="227">
        <f t="shared" ref="P52:U52" si="24">$E$48*(P14/365)</f>
        <v>1197.891321</v>
      </c>
      <c r="Q52" s="227">
        <f t="shared" si="24"/>
        <v>1285.337387</v>
      </c>
      <c r="R52" s="227">
        <f t="shared" si="24"/>
        <v>1379.167016</v>
      </c>
      <c r="S52" s="227">
        <f t="shared" si="24"/>
        <v>1479.846208</v>
      </c>
      <c r="T52" s="227">
        <f t="shared" si="24"/>
        <v>1587.874982</v>
      </c>
      <c r="U52" s="228">
        <f t="shared" si="24"/>
        <v>1703.789855</v>
      </c>
      <c r="V52" s="220"/>
      <c r="W52" s="220"/>
      <c r="X52" s="220"/>
      <c r="Y52" s="220"/>
      <c r="Z52" s="220"/>
      <c r="AA52" s="220"/>
    </row>
    <row r="53" ht="15.75" customHeight="1">
      <c r="A53" s="229"/>
      <c r="B53" s="221" t="s">
        <v>40</v>
      </c>
      <c r="C53" s="222"/>
      <c r="D53" s="230"/>
      <c r="E53" s="224"/>
      <c r="F53" s="224"/>
      <c r="G53" s="224"/>
      <c r="H53" s="224"/>
      <c r="I53" s="224"/>
      <c r="J53" s="224"/>
      <c r="K53" s="224"/>
      <c r="L53" s="224"/>
      <c r="M53" s="224"/>
      <c r="N53" s="224"/>
      <c r="O53" s="231"/>
      <c r="P53" s="227">
        <f t="shared" ref="P53:U53" si="25">$E$50*P17/365</f>
        <v>1742.332466</v>
      </c>
      <c r="Q53" s="227">
        <f t="shared" si="25"/>
        <v>1869.522736</v>
      </c>
      <c r="R53" s="227">
        <f t="shared" si="25"/>
        <v>2005.997896</v>
      </c>
      <c r="S53" s="227">
        <f t="shared" si="25"/>
        <v>2152.435742</v>
      </c>
      <c r="T53" s="227">
        <f t="shared" si="25"/>
        <v>2309.563551</v>
      </c>
      <c r="U53" s="228">
        <f t="shared" si="25"/>
        <v>2478.161691</v>
      </c>
      <c r="V53" s="220"/>
      <c r="W53" s="220"/>
      <c r="X53" s="220"/>
      <c r="Y53" s="220"/>
      <c r="Z53" s="220"/>
      <c r="AA53" s="220"/>
    </row>
    <row r="54" ht="15.75" customHeight="1">
      <c r="A54" s="232"/>
      <c r="B54" s="233"/>
      <c r="C54" s="141"/>
      <c r="D54" s="150"/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5"/>
      <c r="P54" s="236"/>
      <c r="Q54" s="236"/>
      <c r="R54" s="236"/>
      <c r="S54" s="236"/>
      <c r="T54" s="236"/>
      <c r="U54" s="236"/>
      <c r="V54" s="220"/>
      <c r="W54" s="220"/>
      <c r="X54" s="220"/>
      <c r="Y54" s="220"/>
      <c r="Z54" s="220"/>
      <c r="AA54" s="220"/>
    </row>
    <row r="55" ht="15.75" customHeight="1">
      <c r="A55" s="229"/>
      <c r="B55" s="36" t="s">
        <v>41</v>
      </c>
      <c r="C55" s="37"/>
      <c r="D55" s="237"/>
      <c r="E55" s="238">
        <v>1207.9</v>
      </c>
      <c r="F55" s="239">
        <v>1291.6</v>
      </c>
      <c r="G55" s="239">
        <v>1445.1</v>
      </c>
      <c r="H55" s="239">
        <v>1584.8</v>
      </c>
      <c r="I55" s="239">
        <v>1878.8</v>
      </c>
      <c r="J55" s="239">
        <v>1912.5</v>
      </c>
      <c r="K55" s="239">
        <v>1886.9</v>
      </c>
      <c r="L55" s="239">
        <v>2174.4</v>
      </c>
      <c r="M55" s="239">
        <v>2335.0</v>
      </c>
      <c r="N55" s="239">
        <v>2359.6</v>
      </c>
      <c r="O55" s="240">
        <v>2524.8</v>
      </c>
      <c r="P55" s="241">
        <f t="shared" ref="P55:U55" si="26">P53+P52+P46-P51</f>
        <v>2741.803166</v>
      </c>
      <c r="Q55" s="241">
        <f t="shared" si="26"/>
        <v>2941.954798</v>
      </c>
      <c r="R55" s="241">
        <f t="shared" si="26"/>
        <v>3156.717498</v>
      </c>
      <c r="S55" s="241">
        <f t="shared" si="26"/>
        <v>3387.157875</v>
      </c>
      <c r="T55" s="241">
        <f t="shared" si="26"/>
        <v>3634.4204</v>
      </c>
      <c r="U55" s="242">
        <f t="shared" si="26"/>
        <v>3899.733089</v>
      </c>
      <c r="V55" s="220"/>
      <c r="W55" s="220"/>
      <c r="X55" s="220"/>
      <c r="Y55" s="220"/>
      <c r="Z55" s="220"/>
      <c r="AA55" s="220"/>
    </row>
    <row r="56" ht="15.75" customHeight="1">
      <c r="A56" s="229"/>
      <c r="B56" s="164" t="s">
        <v>23</v>
      </c>
      <c r="C56" s="243"/>
      <c r="D56" s="244"/>
      <c r="E56" s="245">
        <f t="shared" ref="E56:O56" si="27">E55/E14</f>
        <v>0.3235301995</v>
      </c>
      <c r="F56" s="246">
        <f t="shared" si="27"/>
        <v>0.3338157759</v>
      </c>
      <c r="G56" s="246">
        <f t="shared" si="27"/>
        <v>0.3647400303</v>
      </c>
      <c r="H56" s="246">
        <f t="shared" si="27"/>
        <v>0.3609611662</v>
      </c>
      <c r="I56" s="246">
        <f t="shared" si="27"/>
        <v>0.3784012407</v>
      </c>
      <c r="J56" s="246">
        <f t="shared" si="27"/>
        <v>0.3585690984</v>
      </c>
      <c r="K56" s="246">
        <f t="shared" si="27"/>
        <v>0.3341242718</v>
      </c>
      <c r="L56" s="246">
        <f t="shared" si="27"/>
        <v>0.3617428339</v>
      </c>
      <c r="M56" s="246">
        <f t="shared" si="27"/>
        <v>0.3344984672</v>
      </c>
      <c r="N56" s="246">
        <f t="shared" si="27"/>
        <v>0.3211782161</v>
      </c>
      <c r="O56" s="247">
        <f t="shared" si="27"/>
        <v>0.3345878611</v>
      </c>
      <c r="P56" s="248"/>
      <c r="Q56" s="248"/>
      <c r="R56" s="248"/>
      <c r="S56" s="248"/>
      <c r="T56" s="248"/>
      <c r="U56" s="249"/>
      <c r="V56" s="250"/>
      <c r="W56" s="250"/>
      <c r="X56" s="250"/>
      <c r="Y56" s="250"/>
      <c r="Z56" s="250"/>
      <c r="AA56" s="250"/>
    </row>
    <row r="57" ht="15.75" customHeight="1">
      <c r="A57" s="251"/>
      <c r="B57" s="209"/>
      <c r="C57" s="54"/>
      <c r="D57" s="55"/>
      <c r="E57" s="252"/>
      <c r="F57" s="252"/>
      <c r="G57" s="252"/>
      <c r="H57" s="252"/>
      <c r="I57" s="252"/>
      <c r="J57" s="252"/>
      <c r="K57" s="252"/>
      <c r="L57" s="252"/>
      <c r="M57" s="252"/>
      <c r="N57" s="252"/>
      <c r="O57" s="253"/>
      <c r="P57" s="254"/>
      <c r="Q57" s="61"/>
      <c r="R57" s="61"/>
      <c r="S57" s="61"/>
      <c r="T57" s="61"/>
      <c r="U57" s="62"/>
      <c r="V57" s="250"/>
      <c r="W57" s="250"/>
      <c r="X57" s="250"/>
      <c r="Y57" s="250"/>
      <c r="Z57" s="250"/>
      <c r="AA57" s="250"/>
    </row>
    <row r="58" ht="15.75" customHeight="1">
      <c r="A58" s="251"/>
      <c r="B58" s="84" t="s">
        <v>42</v>
      </c>
      <c r="C58" s="37"/>
      <c r="D58" s="38"/>
      <c r="E58" s="255"/>
      <c r="F58" s="256">
        <f t="shared" ref="F58:U58" si="28">F55-E55</f>
        <v>83.7</v>
      </c>
      <c r="G58" s="256">
        <f t="shared" si="28"/>
        <v>153.5</v>
      </c>
      <c r="H58" s="256">
        <f t="shared" si="28"/>
        <v>139.7</v>
      </c>
      <c r="I58" s="256">
        <f t="shared" si="28"/>
        <v>294</v>
      </c>
      <c r="J58" s="256">
        <f t="shared" si="28"/>
        <v>33.7</v>
      </c>
      <c r="K58" s="256">
        <f t="shared" si="28"/>
        <v>-25.6</v>
      </c>
      <c r="L58" s="256">
        <f t="shared" si="28"/>
        <v>287.5</v>
      </c>
      <c r="M58" s="256">
        <f t="shared" si="28"/>
        <v>160.6</v>
      </c>
      <c r="N58" s="256">
        <f t="shared" si="28"/>
        <v>24.6</v>
      </c>
      <c r="O58" s="257">
        <f t="shared" si="28"/>
        <v>165.2</v>
      </c>
      <c r="P58" s="256">
        <f t="shared" si="28"/>
        <v>217.0031664</v>
      </c>
      <c r="Q58" s="256">
        <f t="shared" si="28"/>
        <v>200.1516311</v>
      </c>
      <c r="R58" s="256">
        <f t="shared" si="28"/>
        <v>214.7627002</v>
      </c>
      <c r="S58" s="256">
        <f t="shared" si="28"/>
        <v>230.4403773</v>
      </c>
      <c r="T58" s="256">
        <f t="shared" si="28"/>
        <v>247.2625249</v>
      </c>
      <c r="U58" s="257">
        <f t="shared" si="28"/>
        <v>265.3126892</v>
      </c>
      <c r="V58" s="250"/>
      <c r="W58" s="250"/>
      <c r="X58" s="250"/>
      <c r="Y58" s="250"/>
      <c r="Z58" s="250"/>
      <c r="AA58" s="250"/>
    </row>
    <row r="59" ht="15.75" customHeight="1">
      <c r="A59" s="251"/>
      <c r="B59" s="258"/>
      <c r="C59" s="259"/>
      <c r="D59" s="260"/>
      <c r="E59" s="261"/>
      <c r="F59" s="248"/>
      <c r="G59" s="248"/>
      <c r="H59" s="248"/>
      <c r="I59" s="248"/>
      <c r="J59" s="248"/>
      <c r="K59" s="248"/>
      <c r="L59" s="248"/>
      <c r="M59" s="248"/>
      <c r="N59" s="248"/>
      <c r="O59" s="249"/>
      <c r="P59" s="248"/>
      <c r="Q59" s="248"/>
      <c r="R59" s="248"/>
      <c r="S59" s="248"/>
      <c r="T59" s="248"/>
      <c r="U59" s="249"/>
      <c r="V59" s="250"/>
      <c r="W59" s="250"/>
      <c r="X59" s="250"/>
      <c r="Y59" s="250"/>
      <c r="Z59" s="250"/>
      <c r="AA59" s="250"/>
    </row>
    <row r="60" ht="15.75" customHeight="1">
      <c r="A60" s="251"/>
      <c r="B60" s="262" t="s">
        <v>43</v>
      </c>
      <c r="C60" s="263"/>
      <c r="D60" s="264"/>
      <c r="E60" s="265">
        <f t="shared" ref="E60:U60" si="29">E30+E37-E58-E40</f>
        <v>383.5848</v>
      </c>
      <c r="F60" s="266">
        <f t="shared" si="29"/>
        <v>375.671</v>
      </c>
      <c r="G60" s="266">
        <f t="shared" si="29"/>
        <v>270.5516</v>
      </c>
      <c r="H60" s="266">
        <f t="shared" si="29"/>
        <v>459.8334</v>
      </c>
      <c r="I60" s="266">
        <f t="shared" si="29"/>
        <v>438.7904</v>
      </c>
      <c r="J60" s="266">
        <f t="shared" si="29"/>
        <v>676.5576</v>
      </c>
      <c r="K60" s="266">
        <f t="shared" si="29"/>
        <v>895.9844</v>
      </c>
      <c r="L60" s="266">
        <f t="shared" si="29"/>
        <v>667.5284</v>
      </c>
      <c r="M60" s="266">
        <f t="shared" si="29"/>
        <v>951.068</v>
      </c>
      <c r="N60" s="266">
        <f t="shared" si="29"/>
        <v>1141.6833</v>
      </c>
      <c r="O60" s="267">
        <f t="shared" si="29"/>
        <v>948.23</v>
      </c>
      <c r="P60" s="268">
        <f t="shared" si="29"/>
        <v>853.3985112</v>
      </c>
      <c r="Q60" s="268">
        <f t="shared" si="29"/>
        <v>954.2094994</v>
      </c>
      <c r="R60" s="268">
        <f t="shared" si="29"/>
        <v>1029.921475</v>
      </c>
      <c r="S60" s="268">
        <f t="shared" si="29"/>
        <v>1111.404428</v>
      </c>
      <c r="T60" s="268">
        <f t="shared" si="29"/>
        <v>1199.089473</v>
      </c>
      <c r="U60" s="269">
        <f t="shared" si="29"/>
        <v>1293.439594</v>
      </c>
      <c r="V60" s="250"/>
      <c r="W60" s="250"/>
      <c r="X60" s="250"/>
      <c r="Y60" s="250"/>
      <c r="Z60" s="250"/>
      <c r="AA60" s="250"/>
    </row>
    <row r="61" ht="15.75" customHeight="1">
      <c r="A61" s="23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14"/>
      <c r="P61" s="2"/>
      <c r="Q61" s="2"/>
      <c r="R61" s="2"/>
      <c r="S61" s="2"/>
      <c r="T61" s="2"/>
      <c r="U61" s="2"/>
      <c r="V61" s="250"/>
      <c r="W61" s="250"/>
      <c r="X61" s="250"/>
      <c r="Y61" s="250"/>
      <c r="Z61" s="250"/>
      <c r="AA61" s="250"/>
    </row>
    <row r="62" ht="15.75" customHeight="1">
      <c r="A62" s="2"/>
      <c r="B62" s="119" t="s">
        <v>44</v>
      </c>
      <c r="C62" s="120"/>
      <c r="D62" s="121"/>
      <c r="E62" s="119"/>
      <c r="F62" s="120"/>
      <c r="G62" s="120"/>
      <c r="H62" s="120"/>
      <c r="I62" s="120"/>
      <c r="J62" s="19"/>
      <c r="K62" s="19"/>
      <c r="L62" s="19"/>
      <c r="M62" s="19"/>
      <c r="N62" s="19"/>
      <c r="O62" s="270">
        <f>O60/(1+wacc)^O12</f>
        <v>948.23</v>
      </c>
      <c r="P62" s="271">
        <f>P60/(1+wacc)^P12</f>
        <v>782.1809369</v>
      </c>
      <c r="Q62" s="271">
        <f>Q60/(1+wacc)^Q12</f>
        <v>801.5939459</v>
      </c>
      <c r="R62" s="271">
        <f>R60/(1+wacc)^R12</f>
        <v>792.9944589</v>
      </c>
      <c r="S62" s="271">
        <f>S60/(1+wacc)^S12</f>
        <v>784.3203946</v>
      </c>
      <c r="T62" s="271">
        <f>T60/(1+wacc)^T12</f>
        <v>775.5830732</v>
      </c>
      <c r="U62" s="272">
        <f>U60/(1+wacc)^U12</f>
        <v>766.7931586</v>
      </c>
      <c r="V62" s="250"/>
      <c r="W62" s="250"/>
      <c r="X62" s="250"/>
      <c r="Y62" s="250"/>
      <c r="Z62" s="250"/>
      <c r="AA62" s="250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73"/>
      <c r="K63" s="2"/>
      <c r="L63" s="2"/>
      <c r="M63" s="2"/>
      <c r="N63" s="2"/>
      <c r="O63" s="274"/>
      <c r="P63" s="2"/>
      <c r="Q63" s="2"/>
      <c r="R63" s="2"/>
      <c r="S63" s="2"/>
      <c r="T63" s="2"/>
      <c r="U63" s="2"/>
      <c r="V63" s="250"/>
      <c r="W63" s="250"/>
      <c r="X63" s="250"/>
      <c r="Y63" s="250"/>
      <c r="Z63" s="250"/>
      <c r="AA63" s="250"/>
    </row>
    <row r="64" ht="18.0" customHeight="1">
      <c r="A64" s="2"/>
      <c r="B64" s="18" t="s">
        <v>45</v>
      </c>
      <c r="C64" s="19"/>
      <c r="D64" s="19"/>
      <c r="E64" s="19"/>
      <c r="F64" s="19"/>
      <c r="G64" s="19"/>
      <c r="H64" s="19"/>
      <c r="I64" s="19"/>
      <c r="J64" s="275"/>
      <c r="K64" s="19"/>
      <c r="L64" s="19"/>
      <c r="M64" s="19"/>
      <c r="N64" s="276">
        <f>(U60*(1+tgr))/(wacc-tgr)</f>
        <v>24576.53784</v>
      </c>
      <c r="O64" s="2"/>
      <c r="P64" s="2"/>
      <c r="Q64" s="2"/>
      <c r="R64" s="2"/>
      <c r="S64" s="2"/>
      <c r="T64" s="2"/>
      <c r="U64" s="2"/>
      <c r="V64" s="250"/>
      <c r="W64" s="250"/>
      <c r="X64" s="250"/>
      <c r="Y64" s="250"/>
      <c r="Z64" s="250"/>
      <c r="AA64" s="250"/>
    </row>
    <row r="65" ht="15.75" customHeight="1">
      <c r="A65" s="2"/>
      <c r="B65" s="277" t="s">
        <v>46</v>
      </c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6">
        <f>N64/(1+wacc)^U12</f>
        <v>14569.77285</v>
      </c>
      <c r="O65" s="2"/>
      <c r="P65" s="2"/>
      <c r="Q65" s="2"/>
      <c r="R65" s="2"/>
      <c r="S65" s="2"/>
      <c r="T65" s="2"/>
      <c r="U65" s="2"/>
      <c r="V65" s="250"/>
      <c r="W65" s="250"/>
      <c r="X65" s="250"/>
      <c r="Y65" s="250"/>
      <c r="Z65" s="250"/>
      <c r="AA65" s="250"/>
    </row>
    <row r="66" ht="15.75" customHeight="1">
      <c r="A66" s="232"/>
      <c r="B66" s="119" t="s">
        <v>47</v>
      </c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279">
        <f>SUM(P62:U62,N65)</f>
        <v>19273.23882</v>
      </c>
      <c r="O66" s="2"/>
      <c r="P66" s="2"/>
      <c r="Q66" s="2"/>
      <c r="R66" s="2"/>
      <c r="S66" s="2"/>
      <c r="T66" s="2"/>
      <c r="U66" s="2"/>
      <c r="V66" s="220"/>
      <c r="W66" s="220"/>
      <c r="X66" s="220"/>
      <c r="Y66" s="220"/>
      <c r="Z66" s="220"/>
      <c r="AA66" s="220"/>
    </row>
    <row r="67" ht="15.75" customHeight="1">
      <c r="A67" s="2"/>
      <c r="B67" s="280" t="s">
        <v>48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81">
        <v>255.8</v>
      </c>
      <c r="O67" s="2"/>
      <c r="P67" s="2"/>
      <c r="Q67" s="2"/>
      <c r="R67" s="2"/>
      <c r="S67" s="2"/>
      <c r="T67" s="2"/>
      <c r="U67" s="2"/>
      <c r="V67" s="250"/>
      <c r="W67" s="250"/>
      <c r="X67" s="250"/>
      <c r="Y67" s="250"/>
      <c r="Z67" s="250"/>
      <c r="AA67" s="250"/>
    </row>
    <row r="68" ht="15.75" customHeight="1">
      <c r="A68" s="2"/>
      <c r="B68" s="280" t="s">
        <v>49</v>
      </c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82">
        <v>200.0</v>
      </c>
      <c r="O68" s="2"/>
      <c r="P68" s="2"/>
      <c r="Q68" s="2"/>
      <c r="R68" s="2"/>
      <c r="S68" s="2"/>
      <c r="T68" s="2"/>
      <c r="U68" s="2"/>
      <c r="V68" s="250"/>
      <c r="W68" s="250"/>
      <c r="X68" s="250"/>
      <c r="Y68" s="250"/>
      <c r="Z68" s="250"/>
      <c r="AA68" s="250"/>
    </row>
    <row r="69" ht="15.75" customHeight="1">
      <c r="A69" s="2"/>
      <c r="B69" s="119" t="s">
        <v>50</v>
      </c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279">
        <f>N66+N67-N68</f>
        <v>19329.03882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277" t="s">
        <v>51</v>
      </c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83">
        <v>571.982367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119" t="s">
        <v>52</v>
      </c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284">
        <f>N69/N70</f>
        <v>33.79306764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285" t="s">
        <v>53</v>
      </c>
      <c r="D73" s="7"/>
      <c r="E73" s="7"/>
      <c r="F73" s="2"/>
      <c r="G73" s="2"/>
      <c r="H73" s="285" t="s">
        <v>54</v>
      </c>
      <c r="I73" s="2"/>
      <c r="J73" s="285" t="s">
        <v>55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286"/>
      <c r="C74" s="274"/>
      <c r="D74" s="23" t="s">
        <v>56</v>
      </c>
      <c r="E74" s="287"/>
      <c r="F74" s="288"/>
      <c r="G74" s="2"/>
      <c r="H74" s="286"/>
      <c r="I74" s="274"/>
      <c r="J74" s="23" t="s">
        <v>56</v>
      </c>
      <c r="K74" s="287"/>
      <c r="L74" s="288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289"/>
      <c r="C75" s="2"/>
      <c r="D75" s="21">
        <v>0.0265</v>
      </c>
      <c r="E75" s="21">
        <v>0.0365</v>
      </c>
      <c r="F75" s="21">
        <v>0.0465</v>
      </c>
      <c r="G75" s="2"/>
      <c r="H75" s="289"/>
      <c r="I75" s="2"/>
      <c r="J75" s="21">
        <v>0.0265</v>
      </c>
      <c r="K75" s="21">
        <v>0.0365</v>
      </c>
      <c r="L75" s="21">
        <v>0.0465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290"/>
      <c r="C76" s="20">
        <v>0.08105</v>
      </c>
      <c r="D76" s="291">
        <v>20106.132166384516</v>
      </c>
      <c r="E76" s="291">
        <v>23710.879110639085</v>
      </c>
      <c r="F76" s="292">
        <v>29402.310248384005</v>
      </c>
      <c r="G76" s="2"/>
      <c r="H76" s="290"/>
      <c r="I76" s="20">
        <v>0.08105</v>
      </c>
      <c r="J76" s="293">
        <v>35.249219783001664</v>
      </c>
      <c r="K76" s="294">
        <v>41.55141920771674</v>
      </c>
      <c r="L76" s="295">
        <v>51.50178038335228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96" t="s">
        <v>9</v>
      </c>
      <c r="C77" s="20">
        <v>0.09105</v>
      </c>
      <c r="D77" s="291">
        <v>16897.31844351952</v>
      </c>
      <c r="E77" s="291">
        <v>19273.238816386867</v>
      </c>
      <c r="F77" s="292">
        <v>22715.79010861105</v>
      </c>
      <c r="G77" s="2"/>
      <c r="H77" s="296" t="s">
        <v>9</v>
      </c>
      <c r="I77" s="20">
        <v>0.09105</v>
      </c>
      <c r="J77" s="297">
        <v>29.639232643546723</v>
      </c>
      <c r="K77" s="298">
        <v>33.79306763907089</v>
      </c>
      <c r="L77" s="299">
        <v>39.81169949004923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300"/>
      <c r="C78" s="20">
        <v>0.10105</v>
      </c>
      <c r="D78" s="301">
        <v>14552.660947100128</v>
      </c>
      <c r="E78" s="301">
        <v>16213.65107248068</v>
      </c>
      <c r="F78" s="302">
        <v>18483.620162253734</v>
      </c>
      <c r="G78" s="2"/>
      <c r="H78" s="300"/>
      <c r="I78" s="20">
        <v>0.10105</v>
      </c>
      <c r="J78" s="303">
        <v>25.540054711337156</v>
      </c>
      <c r="K78" s="304">
        <v>28.443973120732025</v>
      </c>
      <c r="L78" s="305">
        <v>32.41257289012501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ht="15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ht="15.7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ht="15.7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ht="15.7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</sheetData>
  <hyperlinks>
    <hyperlink r:id="rId1" ref="E10"/>
  </hyperlinks>
  <printOptions/>
  <pageMargins bottom="0.75" footer="0.0" header="0.0" left="0.7" right="0.7" top="0.75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3.71"/>
    <col customWidth="1" min="2" max="4" width="9.71"/>
    <col customWidth="1" min="5" max="9" width="9.71" outlineLevel="1"/>
    <col customWidth="1" min="10" max="26" width="9.71"/>
  </cols>
  <sheetData>
    <row r="2">
      <c r="A2" s="306"/>
      <c r="B2" s="307" t="s">
        <v>9</v>
      </c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</row>
    <row r="4">
      <c r="A4" s="1" t="s">
        <v>57</v>
      </c>
      <c r="B4" s="308" t="s">
        <v>9</v>
      </c>
      <c r="C4" s="309"/>
      <c r="D4" s="309"/>
      <c r="E4" s="309"/>
      <c r="F4" s="309"/>
      <c r="G4" s="309"/>
      <c r="H4" s="309"/>
      <c r="I4" s="309"/>
    </row>
    <row r="5">
      <c r="B5" s="310" t="s">
        <v>58</v>
      </c>
    </row>
    <row r="6">
      <c r="B6" s="310" t="s">
        <v>59</v>
      </c>
    </row>
    <row r="7">
      <c r="B7" s="311" t="s">
        <v>15</v>
      </c>
    </row>
    <row r="8">
      <c r="B8" s="1" t="s">
        <v>60</v>
      </c>
      <c r="D8" s="312">
        <v>200.0</v>
      </c>
    </row>
    <row r="9">
      <c r="B9" s="1" t="s">
        <v>61</v>
      </c>
      <c r="D9" s="313">
        <f>D8/D20</f>
        <v>0.05240678144</v>
      </c>
    </row>
    <row r="10">
      <c r="B10" s="1" t="s">
        <v>62</v>
      </c>
      <c r="D10" s="314">
        <v>0.0251</v>
      </c>
    </row>
    <row r="11">
      <c r="B11" s="1" t="s">
        <v>63</v>
      </c>
      <c r="D11" s="315">
        <v>0.245</v>
      </c>
    </row>
    <row r="13">
      <c r="B13" s="1" t="s">
        <v>50</v>
      </c>
      <c r="D13" s="312">
        <v>3616.3</v>
      </c>
    </row>
    <row r="14">
      <c r="B14" s="1" t="s">
        <v>64</v>
      </c>
      <c r="D14" s="316">
        <f>D13/D20</f>
        <v>0.9475932186</v>
      </c>
    </row>
    <row r="15">
      <c r="B15" s="1" t="s">
        <v>65</v>
      </c>
      <c r="D15" s="317">
        <f>D16+D17*D18</f>
        <v>0.095035</v>
      </c>
    </row>
    <row r="16">
      <c r="B16" s="1" t="s">
        <v>66</v>
      </c>
      <c r="D16" s="314">
        <v>0.0447</v>
      </c>
    </row>
    <row r="17">
      <c r="B17" s="1" t="s">
        <v>67</v>
      </c>
      <c r="D17" s="318">
        <v>1.0067</v>
      </c>
    </row>
    <row r="18">
      <c r="B18" s="1" t="s">
        <v>68</v>
      </c>
      <c r="D18" s="315">
        <v>0.05</v>
      </c>
    </row>
    <row r="20">
      <c r="B20" s="1" t="s">
        <v>69</v>
      </c>
      <c r="D20" s="319">
        <f>D8+D13</f>
        <v>3816.3</v>
      </c>
    </row>
    <row r="21" ht="15.75" customHeight="1"/>
    <row r="22" ht="15.75" customHeight="1">
      <c r="A22" s="1" t="s">
        <v>57</v>
      </c>
      <c r="B22" s="320" t="s">
        <v>9</v>
      </c>
      <c r="C22" s="321"/>
      <c r="D22" s="322">
        <f>(D9*D10*(1-D11))+(D14*D15)</f>
        <v>0.09104765624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